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drawings/drawing5.xml" ContentType="application/vnd.openxmlformats-officedocument.drawing+xml"/>
  <Override PartName="/xl/drawings/drawing6.xml" ContentType="application/vnd.openxmlformats-officedocument.drawing+xml"/>
  <Override PartName="/xl/embeddings/oleObject1.bin" ContentType="application/vnd.openxmlformats-officedocument.oleObject"/>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embeddings/oleObject2.bin" ContentType="application/vnd.openxmlformats-officedocument.oleObject"/>
  <Override PartName="/xl/comments1.xml" ContentType="application/vnd.openxmlformats-officedocument.spreadsheetml.comments+xml"/>
  <Override PartName="/xl/threadedComments/threadedComment1.xml" ContentType="application/vnd.ms-excel.threadedcomments+xml"/>
  <Override PartName="/xl/drawings/drawing12.xml" ContentType="application/vnd.openxmlformats-officedocument.drawing+xml"/>
  <Override PartName="/xl/comments2.xml" ContentType="application/vnd.openxmlformats-officedocument.spreadsheetml.comments+xml"/>
  <Override PartName="/xl/drawings/drawing13.xml" ContentType="application/vnd.openxmlformats-officedocument.drawing+xml"/>
  <Override PartName="/xl/charts/chart1.xml" ContentType="application/vnd.openxmlformats-officedocument.drawingml.chart+xml"/>
  <Override PartName="/xl/comments3.xml" ContentType="application/vnd.openxmlformats-officedocument.spreadsheetml.comments+xml"/>
  <Override PartName="/xl/drawings/drawing14.xml" ContentType="application/vnd.openxmlformats-officedocument.drawing+xml"/>
  <Override PartName="/xl/comments4.xml" ContentType="application/vnd.openxmlformats-officedocument.spreadsheetml.comments+xml"/>
  <Override PartName="/xl/drawings/drawing15.xml" ContentType="application/vnd.openxmlformats-officedocument.drawing+xml"/>
  <Override PartName="/xl/drawings/drawing16.xml" ContentType="application/vnd.openxmlformats-officedocument.drawing+xml"/>
  <Override PartName="/xl/comments5.xml" ContentType="application/vnd.openxmlformats-officedocument.spreadsheetml.comments+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codeName="ThisWorkbook"/>
  <mc:AlternateContent xmlns:mc="http://schemas.openxmlformats.org/markup-compatibility/2006">
    <mc:Choice Requires="x15">
      <x15ac:absPath xmlns:x15ac="http://schemas.microsoft.com/office/spreadsheetml/2010/11/ac" url="C:\Users\Victoria.Selepe\Desktop\70748\"/>
    </mc:Choice>
  </mc:AlternateContent>
  <xr:revisionPtr revIDLastSave="0" documentId="8_{45633A29-ECE4-4947-BC5F-02A2B65047CF}" xr6:coauthVersionLast="47" xr6:coauthVersionMax="47" xr10:uidLastSave="{00000000-0000-0000-0000-000000000000}"/>
  <bookViews>
    <workbookView xWindow="-120" yWindow="-120" windowWidth="20730" windowHeight="11160" tabRatio="816" firstSheet="14" activeTab="24" xr2:uid="{00000000-000D-0000-FFFF-FFFF00000000}"/>
  </bookViews>
  <sheets>
    <sheet name="Cover" sheetId="6" state="veryHidden" r:id="rId1"/>
    <sheet name="How This Guide Works" sheetId="5" state="veryHidden" r:id="rId2"/>
    <sheet name="Contents" sheetId="7" state="veryHidden" r:id="rId3"/>
    <sheet name="Project Life Cycle" sheetId="75" r:id="rId4"/>
    <sheet name="User Notes" sheetId="8" state="veryHidden" r:id="rId5"/>
    <sheet name="Estimating Classification" sheetId="38" r:id="rId6"/>
    <sheet name="Escalation" sheetId="10" r:id="rId7"/>
    <sheet name="BER Bldg Cost Report 2021Q4" sheetId="79" r:id="rId8"/>
    <sheet name="Trend Analysis" sheetId="33" state="hidden" r:id="rId9"/>
    <sheet name="Assumptions" sheetId="11" r:id="rId10"/>
    <sheet name="New Bldg Rates" sheetId="13" r:id="rId11"/>
    <sheet name="Bldg Refurb Rates" sheetId="17" r:id="rId12"/>
    <sheet name="Building Rates" sheetId="82" r:id="rId13"/>
    <sheet name="Civil Rates" sheetId="85" state="hidden" r:id="rId14"/>
    <sheet name="New Civil Rates" sheetId="21" r:id="rId15"/>
    <sheet name="Civil Rehab Rates " sheetId="77" r:id="rId16"/>
    <sheet name="Specialised Work" sheetId="76" r:id="rId17"/>
    <sheet name="Ground Floor Constrn" sheetId="70" r:id="rId18"/>
    <sheet name="Fleet Maint" sheetId="78" r:id="rId19"/>
    <sheet name="Electrical" sheetId="83" r:id="rId20"/>
    <sheet name="Project Summary" sheetId="23" r:id="rId21"/>
    <sheet name="List" sheetId="37" state="hidden" r:id="rId22"/>
    <sheet name="Cost Programming" sheetId="29" state="hidden" r:id="rId23"/>
    <sheet name="Indices " sheetId="30" r:id="rId24"/>
    <sheet name="Estimate Example" sheetId="32" r:id="rId25"/>
    <sheet name="Cashflow" sheetId="27" r:id="rId26"/>
    <sheet name="S Curve " sheetId="35" r:id="rId27"/>
    <sheet name="Proj. Programme Example" sheetId="72" r:id="rId28"/>
    <sheet name="Additional Information (2)" sheetId="36" r:id="rId29"/>
    <sheet name="Master Apron stands" sheetId="55" r:id="rId30"/>
    <sheet name="Code C,E &amp; F stands" sheetId="56" r:id="rId31"/>
    <sheet name="Code F,C Taxilane &amp; Serv Roads" sheetId="57" r:id="rId32"/>
    <sheet name="Sample Estimate" sheetId="58" r:id="rId33"/>
    <sheet name="ICAO Tables (Taxiw)" sheetId="59" r:id="rId34"/>
    <sheet name="Sketches (Taxiw)" sheetId="60" r:id="rId35"/>
    <sheet name="Master Taxiways" sheetId="61" r:id="rId36"/>
    <sheet name="Code F Runway &amp; SH (2)" sheetId="62" r:id="rId37"/>
    <sheet name="Code F Taxiway &amp; SH" sheetId="63" r:id="rId38"/>
    <sheet name="Sample Estimate (2)" sheetId="64" r:id="rId39"/>
    <sheet name="ICAO Tables" sheetId="65" r:id="rId40"/>
    <sheet name="Sketches" sheetId="66" r:id="rId41"/>
    <sheet name="Master Runways" sheetId="67" r:id="rId42"/>
    <sheet name="Code F Runway &amp; SH" sheetId="68" r:id="rId43"/>
    <sheet name="Sample Estimate (3)" sheetId="69" r:id="rId44"/>
    <sheet name="Comparison" sheetId="24" state="hidden" r:id="rId45"/>
  </sheets>
  <externalReferences>
    <externalReference r:id="rId46"/>
    <externalReference r:id="rId47"/>
    <externalReference r:id="rId48"/>
    <externalReference r:id="rId49"/>
    <externalReference r:id="rId50"/>
  </externalReferences>
  <definedNames>
    <definedName name="_1" localSheetId="36" hidden="1">#REF!</definedName>
    <definedName name="_1" localSheetId="17" hidden="1">#REF!</definedName>
    <definedName name="_1" localSheetId="27" hidden="1">#REF!</definedName>
    <definedName name="_1" hidden="1">#REF!</definedName>
    <definedName name="_2PAGE2_4">#N/A</definedName>
    <definedName name="_4PAGE2_4">#N/A</definedName>
    <definedName name="_Fill" localSheetId="36" hidden="1">#REF!</definedName>
    <definedName name="_Fill" localSheetId="17" hidden="1">#REF!</definedName>
    <definedName name="_Fill" localSheetId="27" hidden="1">#REF!</definedName>
    <definedName name="_Fill" hidden="1">#REF!</definedName>
    <definedName name="_xlnm._FilterDatabase" localSheetId="12" hidden="1">'Building Rates'!$A$6:$E$2896</definedName>
    <definedName name="_xlnm._FilterDatabase" localSheetId="13" hidden="1">'Civil Rates'!$A$6:$E$6</definedName>
    <definedName name="_xlnm._FilterDatabase" localSheetId="19" hidden="1">Electrical!$A$3:$F$218</definedName>
    <definedName name="_Key1" localSheetId="36" hidden="1">#REF!</definedName>
    <definedName name="_Key1" localSheetId="17" hidden="1">#REF!</definedName>
    <definedName name="_Key1" hidden="1">#REF!</definedName>
    <definedName name="_Key2" localSheetId="36" hidden="1">#REF!</definedName>
    <definedName name="_Key2" localSheetId="17" hidden="1">#REF!</definedName>
    <definedName name="_Key2" hidden="1">#REF!</definedName>
    <definedName name="_Order1" hidden="1">255</definedName>
    <definedName name="_Order2" hidden="1">255</definedName>
    <definedName name="_Sort" localSheetId="36" hidden="1">#REF!</definedName>
    <definedName name="_Sort" localSheetId="17" hidden="1">#REF!</definedName>
    <definedName name="_Sort" localSheetId="27" hidden="1">#REF!</definedName>
    <definedName name="_Sort" hidden="1">#REF!</definedName>
    <definedName name="_Table2_In2" localSheetId="28" hidden="1">'[1]FEAS(INPUT)'!#REF!</definedName>
    <definedName name="_Table2_In2" localSheetId="17" hidden="1">'[1]FEAS(INPUT)'!#REF!</definedName>
    <definedName name="_Table2_In2" localSheetId="27" hidden="1">'[1]FEAS(INPUT)'!#REF!</definedName>
    <definedName name="_Table2_In2" localSheetId="26" hidden="1">'[1]FEAS(INPUT)'!#REF!</definedName>
    <definedName name="_Table2_In2" hidden="1">'[1]FEAS(INPUT)'!#REF!</definedName>
    <definedName name="_Table2_Out" localSheetId="28" hidden="1">'[1]FEAS(INPUT)'!#REF!</definedName>
    <definedName name="_Table2_Out" localSheetId="17" hidden="1">'[1]FEAS(INPUT)'!#REF!</definedName>
    <definedName name="_Table2_Out" localSheetId="26" hidden="1">'[1]FEAS(INPUT)'!#REF!</definedName>
    <definedName name="_Table2_Out" hidden="1">'[1]FEAS(INPUT)'!#REF!</definedName>
    <definedName name="abcdef">#N/A</definedName>
    <definedName name="CASH" localSheetId="28">[2]Sheet2!#REF!</definedName>
    <definedName name="CASH" localSheetId="17">[2]Sheet2!#REF!</definedName>
    <definedName name="CASH" localSheetId="26">[2]Sheet2!#REF!</definedName>
    <definedName name="CASH">[2]Sheet2!#REF!</definedName>
    <definedName name="CASHFLOW" localSheetId="28">#REF!</definedName>
    <definedName name="CASHFLOW" localSheetId="17">#REF!</definedName>
    <definedName name="CASHFLOW" localSheetId="26">#REF!</definedName>
    <definedName name="CASHFLOW">#REF!</definedName>
    <definedName name="G_ÿ_P_" localSheetId="28">#REF!</definedName>
    <definedName name="G_ÿ_P_" localSheetId="17">#REF!</definedName>
    <definedName name="G_ÿ_P_" localSheetId="26">#REF!</definedName>
    <definedName name="G_ÿ_P_">#REF!</definedName>
    <definedName name="h" localSheetId="28">[2]Sheet2!#REF!</definedName>
    <definedName name="h" localSheetId="17">[2]Sheet2!#REF!</definedName>
    <definedName name="h">[2]Sheet2!#REF!</definedName>
    <definedName name="INPUT_SHEET" localSheetId="28">#REF!</definedName>
    <definedName name="INPUT_SHEET" localSheetId="17">#REF!</definedName>
    <definedName name="INPUT_SHEET" localSheetId="26">#REF!</definedName>
    <definedName name="INPUT_SHEET">#REF!</definedName>
    <definedName name="_xlnm.Print_Area" localSheetId="9">Assumptions!$B$1:$H$65</definedName>
    <definedName name="_xlnm.Print_Area" localSheetId="11">'Bldg Refurb Rates'!$A$1:$F$48</definedName>
    <definedName name="_xlnm.Print_Area" localSheetId="12">'Building Rates'!$A$1:$E$2896</definedName>
    <definedName name="_xlnm.Print_Area" localSheetId="25">Cashflow!$A$1:$S$27</definedName>
    <definedName name="_xlnm.Print_Area" localSheetId="13">'Civil Rates'!$A$1:$E$6</definedName>
    <definedName name="_xlnm.Print_Area" localSheetId="44">Comparison!$A$1:$J$54</definedName>
    <definedName name="_xlnm.Print_Area" localSheetId="2">Contents!$A$1:$N$46</definedName>
    <definedName name="_xlnm.Print_Area" localSheetId="0">Cover!$A$1:$N$33</definedName>
    <definedName name="_xlnm.Print_Area" localSheetId="19">Electrical!$A$1:$F$218</definedName>
    <definedName name="_xlnm.Print_Area" localSheetId="6">Escalation!$A$1:$Q$42</definedName>
    <definedName name="_xlnm.Print_Area" localSheetId="24">'Estimate Example'!$A$1:$J$96</definedName>
    <definedName name="_xlnm.Print_Area" localSheetId="1">'How This Guide Works'!$A$1:$N$33</definedName>
    <definedName name="_xlnm.Print_Area" localSheetId="23">'Indices '!$A$1:$G$187</definedName>
    <definedName name="_xlnm.Print_Area" localSheetId="29">'Master Apron stands'!$A$1:$W$76</definedName>
    <definedName name="_xlnm.Print_Area" localSheetId="10">'New Bldg Rates'!$A$1:$R$113</definedName>
    <definedName name="_xlnm.Print_Area" localSheetId="14">'New Civil Rates'!$A$1:$K$58</definedName>
    <definedName name="_xlnm.Print_Area" localSheetId="20">'Project Summary'!$A$1:$L$42</definedName>
    <definedName name="_xlnm.Print_Area" localSheetId="26">'S Curve '!$A$1:$K$1</definedName>
    <definedName name="_xlnm.Print_Area" localSheetId="32">'Sample Estimate'!$A$1:$L$66</definedName>
    <definedName name="_xlnm.Print_Area" localSheetId="38">'Sample Estimate (2)'!$A$1:$Q$66</definedName>
    <definedName name="_xlnm.Print_Area" localSheetId="43">'Sample Estimate (3)'!$A$1:$R$72</definedName>
    <definedName name="_xlnm.Print_Area" localSheetId="16">'Specialised Work'!$A$1:$N$37</definedName>
    <definedName name="_xlnm.Print_Area" localSheetId="4">'User Notes'!$A$1:$O$55</definedName>
    <definedName name="_xlnm.Print_Titles" localSheetId="10">'New Bldg Rates'!$8:$14</definedName>
    <definedName name="_xlnm.Print_Titles" localSheetId="14">'New Civil Rates'!$1:$3</definedName>
    <definedName name="s" localSheetId="28" hidden="1">'[1]FEAS(INPUT)'!#REF!</definedName>
    <definedName name="s" localSheetId="17" hidden="1">'[1]FEAS(INPUT)'!#REF!</definedName>
    <definedName name="s" localSheetId="26" hidden="1">'[1]FEAS(INPUT)'!#REF!</definedName>
    <definedName name="s" hidden="1">'[1]FEAS(INPUT)'!#REF!</definedName>
    <definedName name="SUMMARY" localSheetId="28">#REF!</definedName>
    <definedName name="SUMMARY" localSheetId="17">#REF!</definedName>
    <definedName name="SUMMARY" localSheetId="26">#REF!</definedName>
    <definedName name="SUMMARY">#REF!</definedName>
    <definedName name="TRANSFER" localSheetId="36">'[3]COLD RM'!#REF!</definedName>
    <definedName name="TRANSFER" localSheetId="17">'[3]COLD RM'!#REF!</definedName>
    <definedName name="TRANSFER">'[3]COLD RM'!#REF!</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Y92" i="32" l="1"/>
  <c r="J74" i="32"/>
  <c r="Z68" i="32"/>
  <c r="Z69" i="32" s="1"/>
  <c r="W74" i="32"/>
  <c r="W72" i="32"/>
  <c r="Y72" i="32" s="1"/>
  <c r="T72" i="32"/>
  <c r="T68" i="32"/>
  <c r="W68" i="32" s="1"/>
  <c r="Y68" i="32" s="1"/>
  <c r="T64" i="32"/>
  <c r="W64" i="32" s="1"/>
  <c r="Y64" i="32" s="1"/>
  <c r="R74" i="32"/>
  <c r="Z64" i="32" l="1"/>
  <c r="Z65" i="32" s="1"/>
  <c r="B85" i="32"/>
  <c r="I71" i="32"/>
  <c r="I67" i="32"/>
  <c r="I68" i="32" s="1"/>
  <c r="I63" i="32"/>
  <c r="I64" i="32" l="1"/>
  <c r="D46" i="32"/>
  <c r="F217" i="83"/>
  <c r="F215" i="83"/>
  <c r="F213" i="83"/>
  <c r="F211" i="83"/>
  <c r="F209" i="83"/>
  <c r="F207" i="83"/>
  <c r="F205" i="83"/>
  <c r="F203" i="83"/>
  <c r="F201" i="83"/>
  <c r="F199" i="83"/>
  <c r="F197" i="83"/>
  <c r="F195" i="83"/>
  <c r="F191" i="83"/>
  <c r="F189" i="83"/>
  <c r="F187" i="83"/>
  <c r="F185" i="83"/>
  <c r="F183" i="83"/>
  <c r="F181" i="83"/>
  <c r="F179" i="83"/>
  <c r="F177" i="83"/>
  <c r="F175" i="83"/>
  <c r="F173" i="83"/>
  <c r="F171" i="83"/>
  <c r="F167" i="83"/>
  <c r="F165" i="83"/>
  <c r="F162" i="83"/>
  <c r="F160" i="83"/>
  <c r="F157" i="83"/>
  <c r="F155" i="83"/>
  <c r="F153" i="83"/>
  <c r="F151" i="83"/>
  <c r="F149" i="83"/>
  <c r="F147" i="83"/>
  <c r="F145" i="83"/>
  <c r="F141" i="83"/>
  <c r="F139" i="83"/>
  <c r="F137" i="83"/>
  <c r="F135" i="83"/>
  <c r="F133" i="83"/>
  <c r="F131" i="83"/>
  <c r="F128" i="83"/>
  <c r="F124" i="83"/>
  <c r="F122" i="83"/>
  <c r="F120" i="83"/>
  <c r="F118" i="83"/>
  <c r="F116" i="83"/>
  <c r="F114" i="83"/>
  <c r="F112" i="83"/>
  <c r="F111" i="83"/>
  <c r="F109" i="83"/>
  <c r="F107" i="83"/>
  <c r="F106" i="83"/>
  <c r="F102" i="83"/>
  <c r="F100" i="83"/>
  <c r="F98" i="83"/>
  <c r="F96" i="83"/>
  <c r="F91" i="83"/>
  <c r="F89" i="83"/>
  <c r="F87" i="83"/>
  <c r="F85" i="83"/>
  <c r="F83" i="83"/>
  <c r="F81" i="83"/>
  <c r="F79" i="83"/>
  <c r="F77" i="83"/>
  <c r="F75" i="83"/>
  <c r="F73" i="83"/>
  <c r="F71" i="83"/>
  <c r="F69" i="83"/>
  <c r="F67" i="83"/>
  <c r="F65" i="83"/>
  <c r="F63" i="83"/>
  <c r="F57" i="83"/>
  <c r="F55" i="83"/>
  <c r="F49" i="83"/>
  <c r="F47" i="83"/>
  <c r="F45" i="83"/>
  <c r="F44" i="83"/>
  <c r="F42" i="83"/>
  <c r="F41" i="83"/>
  <c r="F39" i="83"/>
  <c r="F38" i="83"/>
  <c r="F36" i="83"/>
  <c r="F30" i="83"/>
  <c r="F26" i="83"/>
  <c r="F20" i="83"/>
  <c r="F18" i="83"/>
  <c r="F16" i="83"/>
  <c r="F14" i="83"/>
  <c r="F12" i="83"/>
  <c r="F10" i="83"/>
  <c r="F8" i="83"/>
  <c r="D14" i="78"/>
  <c r="D20" i="78"/>
  <c r="D21" i="78"/>
  <c r="D22" i="78"/>
  <c r="D19" i="78"/>
  <c r="D9" i="78"/>
  <c r="D10" i="78"/>
  <c r="D11" i="78"/>
  <c r="D12" i="78"/>
  <c r="D13" i="78"/>
  <c r="D8" i="78"/>
  <c r="E2896" i="82"/>
  <c r="E2894" i="82"/>
  <c r="E2892" i="82"/>
  <c r="E2890" i="82"/>
  <c r="E2888" i="82"/>
  <c r="E2882" i="82"/>
  <c r="E2880" i="82"/>
  <c r="E2878" i="82"/>
  <c r="E2872" i="82"/>
  <c r="E2870" i="82"/>
  <c r="E2864" i="82"/>
  <c r="E2858" i="82"/>
  <c r="E2852" i="82"/>
  <c r="E2850" i="82"/>
  <c r="E2844" i="82"/>
  <c r="E2836" i="82"/>
  <c r="E2832" i="82"/>
  <c r="E2828" i="82"/>
  <c r="E2818" i="82"/>
  <c r="E2810" i="82"/>
  <c r="E2808" i="82"/>
  <c r="E2806" i="82"/>
  <c r="E2802" i="82"/>
  <c r="E2798" i="82"/>
  <c r="E2796" i="82"/>
  <c r="E2794" i="82"/>
  <c r="E2792" i="82"/>
  <c r="E2790" i="82"/>
  <c r="E2788" i="82"/>
  <c r="E2786" i="82"/>
  <c r="E2784" i="82"/>
  <c r="E2782" i="82"/>
  <c r="E2780" i="82"/>
  <c r="E2778" i="82"/>
  <c r="E2776" i="82"/>
  <c r="E2772" i="82"/>
  <c r="E2770" i="82"/>
  <c r="E2762" i="82"/>
  <c r="E2760" i="82"/>
  <c r="E2758" i="82"/>
  <c r="E2754" i="82"/>
  <c r="E2746" i="82"/>
  <c r="E2744" i="82"/>
  <c r="E2742" i="82"/>
  <c r="E2740" i="82"/>
  <c r="E2730" i="82"/>
  <c r="E2728" i="82"/>
  <c r="E2726" i="82"/>
  <c r="E2724" i="82"/>
  <c r="E2720" i="82"/>
  <c r="E2716" i="82"/>
  <c r="E2712" i="82"/>
  <c r="E2710" i="82"/>
  <c r="E2706" i="82"/>
  <c r="E2704" i="82"/>
  <c r="E2702" i="82"/>
  <c r="E2698" i="82"/>
  <c r="E2696" i="82"/>
  <c r="E2694" i="82"/>
  <c r="E2690" i="82"/>
  <c r="E2688" i="82"/>
  <c r="E2686" i="82"/>
  <c r="E2680" i="82"/>
  <c r="E2678" i="82"/>
  <c r="E2676" i="82"/>
  <c r="E2674" i="82"/>
  <c r="E2668" i="82"/>
  <c r="E2662" i="82"/>
  <c r="E2658" i="82"/>
  <c r="E2650" i="82"/>
  <c r="E2646" i="82"/>
  <c r="E2640" i="82"/>
  <c r="E2636" i="82"/>
  <c r="E2632" i="82"/>
  <c r="E2626" i="82"/>
  <c r="E2624" i="82"/>
  <c r="E2620" i="82"/>
  <c r="E2618" i="82"/>
  <c r="E2612" i="82"/>
  <c r="E2610" i="82"/>
  <c r="E2606" i="82"/>
  <c r="E2604" i="82"/>
  <c r="E2602" i="82"/>
  <c r="E2600" i="82"/>
  <c r="E2598" i="82"/>
  <c r="E2596" i="82"/>
  <c r="E2590" i="82"/>
  <c r="E2588" i="82"/>
  <c r="E2586" i="82"/>
  <c r="E2584" i="82"/>
  <c r="E2578" i="82"/>
  <c r="E2576" i="82"/>
  <c r="E2574" i="82"/>
  <c r="E2570" i="82"/>
  <c r="E2562" i="82"/>
  <c r="E2560" i="82"/>
  <c r="E2554" i="82"/>
  <c r="E2552" i="82"/>
  <c r="E2546" i="82"/>
  <c r="E2540" i="82"/>
  <c r="E2534" i="82"/>
  <c r="E2532" i="82"/>
  <c r="E2530" i="82"/>
  <c r="E2524" i="82"/>
  <c r="E2522" i="82"/>
  <c r="E2520" i="82"/>
  <c r="E2518" i="82"/>
  <c r="E2516" i="82"/>
  <c r="E2514" i="82"/>
  <c r="E2510" i="82"/>
  <c r="E2508" i="82"/>
  <c r="E2506" i="82"/>
  <c r="E2500" i="82"/>
  <c r="E2498" i="82"/>
  <c r="E2496" i="82"/>
  <c r="E2494" i="82"/>
  <c r="E2492" i="82"/>
  <c r="E2490" i="82"/>
  <c r="E2488" i="82"/>
  <c r="E2486" i="82"/>
  <c r="E2484" i="82"/>
  <c r="E2482" i="82"/>
  <c r="E2480" i="82"/>
  <c r="E2478" i="82"/>
  <c r="E2476" i="82"/>
  <c r="E2474" i="82"/>
  <c r="E2472" i="82"/>
  <c r="E2470" i="82"/>
  <c r="E2466" i="82"/>
  <c r="E2462" i="82"/>
  <c r="E2456" i="82"/>
  <c r="E2454" i="82"/>
  <c r="E2450" i="82"/>
  <c r="E2448" i="82"/>
  <c r="E2446" i="82"/>
  <c r="E2444" i="82"/>
  <c r="E2442" i="82"/>
  <c r="E2440" i="82"/>
  <c r="E2438" i="82"/>
  <c r="E2436" i="82"/>
  <c r="E2434" i="82"/>
  <c r="E2432" i="82"/>
  <c r="E2430" i="82"/>
  <c r="E2428" i="82"/>
  <c r="E2426" i="82"/>
  <c r="E2424" i="82"/>
  <c r="E2420" i="82"/>
  <c r="E2416" i="82"/>
  <c r="E2414" i="82"/>
  <c r="E2412" i="82"/>
  <c r="E2410" i="82"/>
  <c r="E2408" i="82"/>
  <c r="E2406" i="82"/>
  <c r="E2404" i="82"/>
  <c r="E2402" i="82"/>
  <c r="E2400" i="82"/>
  <c r="E2398" i="82"/>
  <c r="E2396" i="82"/>
  <c r="E2394" i="82"/>
  <c r="E2392" i="82"/>
  <c r="E2390" i="82"/>
  <c r="E2388" i="82"/>
  <c r="E2386" i="82"/>
  <c r="E2384" i="82"/>
  <c r="E2378" i="82"/>
  <c r="E2372" i="82"/>
  <c r="E2366" i="82"/>
  <c r="E2364" i="82"/>
  <c r="E2358" i="82"/>
  <c r="E2356" i="82"/>
  <c r="E2352" i="82"/>
  <c r="E2350" i="82"/>
  <c r="E2344" i="82"/>
  <c r="E2342" i="82"/>
  <c r="E2338" i="82"/>
  <c r="E2334" i="82"/>
  <c r="E2332" i="82"/>
  <c r="E2324" i="82"/>
  <c r="E2320" i="82"/>
  <c r="E2318" i="82"/>
  <c r="E2316" i="82"/>
  <c r="E2310" i="82"/>
  <c r="E2308" i="82"/>
  <c r="E2306" i="82"/>
  <c r="E2304" i="82"/>
  <c r="E2302" i="82"/>
  <c r="E2296" i="82"/>
  <c r="E2294" i="82"/>
  <c r="E2288" i="82"/>
  <c r="E2286" i="82"/>
  <c r="E2284" i="82"/>
  <c r="E2282" i="82"/>
  <c r="E2280" i="82"/>
  <c r="E2278" i="82"/>
  <c r="E2276" i="82"/>
  <c r="E2274" i="82"/>
  <c r="E2268" i="82"/>
  <c r="E2266" i="82"/>
  <c r="E2264" i="82"/>
  <c r="E2262" i="82"/>
  <c r="E2260" i="82"/>
  <c r="E2254" i="82"/>
  <c r="E2252" i="82"/>
  <c r="E2250" i="82"/>
  <c r="E2246" i="82"/>
  <c r="E2244" i="82"/>
  <c r="E2242" i="82"/>
  <c r="E2240" i="82"/>
  <c r="E2238" i="82"/>
  <c r="E2236" i="82"/>
  <c r="E2234" i="82"/>
  <c r="E2232" i="82"/>
  <c r="E2230" i="82"/>
  <c r="E2228" i="82"/>
  <c r="E2226" i="82"/>
  <c r="E2220" i="82"/>
  <c r="E2218" i="82"/>
  <c r="E2216" i="82"/>
  <c r="E2214" i="82"/>
  <c r="E2206" i="82"/>
  <c r="E2202" i="82"/>
  <c r="E2200" i="82"/>
  <c r="E2194" i="82"/>
  <c r="E2192" i="82"/>
  <c r="E2190" i="82"/>
  <c r="E2186" i="82"/>
  <c r="E2184" i="82"/>
  <c r="E2182" i="82"/>
  <c r="E2180" i="82"/>
  <c r="E2178" i="82"/>
  <c r="E2176" i="82"/>
  <c r="E2174" i="82"/>
  <c r="E2172" i="82"/>
  <c r="E2170" i="82"/>
  <c r="E2168" i="82"/>
  <c r="E2164" i="82"/>
  <c r="E2162" i="82"/>
  <c r="E2160" i="82"/>
  <c r="E2158" i="82"/>
  <c r="E2156" i="82"/>
  <c r="E2154" i="82"/>
  <c r="E2152" i="82"/>
  <c r="E2150" i="82"/>
  <c r="E2148" i="82"/>
  <c r="E2146" i="82"/>
  <c r="E2144" i="82"/>
  <c r="E2142" i="82"/>
  <c r="E2140" i="82"/>
  <c r="E2138" i="82"/>
  <c r="E2134" i="82"/>
  <c r="E2126" i="82"/>
  <c r="E2122" i="82"/>
  <c r="E2116" i="82"/>
  <c r="E2114" i="82"/>
  <c r="E2110" i="82"/>
  <c r="E2108" i="82"/>
  <c r="E2106" i="82"/>
  <c r="E2104" i="82"/>
  <c r="E2102" i="82"/>
  <c r="E2100" i="82"/>
  <c r="E2096" i="82"/>
  <c r="E2094" i="82"/>
  <c r="E2092" i="82"/>
  <c r="E2090" i="82"/>
  <c r="E2088" i="82"/>
  <c r="E2086" i="82"/>
  <c r="E2080" i="82"/>
  <c r="E2078" i="82"/>
  <c r="E2076" i="82"/>
  <c r="E2072" i="82"/>
  <c r="E2068" i="82"/>
  <c r="E2064" i="82"/>
  <c r="E2062" i="82"/>
  <c r="E2060" i="82"/>
  <c r="E2056" i="82"/>
  <c r="E2054" i="82"/>
  <c r="E2052" i="82"/>
  <c r="E2050" i="82"/>
  <c r="E2040" i="82"/>
  <c r="E2038" i="82"/>
  <c r="E2036" i="82"/>
  <c r="E2034" i="82"/>
  <c r="E2032" i="82"/>
  <c r="E2026" i="82"/>
  <c r="E2024" i="82"/>
  <c r="E2022" i="82"/>
  <c r="E2016" i="82"/>
  <c r="E2010" i="82"/>
  <c r="E2008" i="82"/>
  <c r="E2006" i="82"/>
  <c r="E2000" i="82"/>
  <c r="E1996" i="82"/>
  <c r="E1994" i="82"/>
  <c r="E1988" i="82"/>
  <c r="E1986" i="82"/>
  <c r="E1980" i="82"/>
  <c r="E1978" i="82"/>
  <c r="E1976" i="82"/>
  <c r="E1974" i="82"/>
  <c r="E1972" i="82"/>
  <c r="E1966" i="82"/>
  <c r="E1962" i="82"/>
  <c r="E1960" i="82"/>
  <c r="E1958" i="82"/>
  <c r="E1956" i="82"/>
  <c r="E1948" i="82"/>
  <c r="E1946" i="82"/>
  <c r="E1940" i="82"/>
  <c r="E1938" i="82"/>
  <c r="E1932" i="82"/>
  <c r="E1926" i="82"/>
  <c r="E1920" i="82"/>
  <c r="E1916" i="82"/>
  <c r="E1908" i="82"/>
  <c r="E1904" i="82"/>
  <c r="E1902" i="82"/>
  <c r="E1898" i="82"/>
  <c r="E1896" i="82"/>
  <c r="E1894" i="82"/>
  <c r="E1888" i="82"/>
  <c r="E1882" i="82"/>
  <c r="E1876" i="82"/>
  <c r="E1874" i="82"/>
  <c r="E1872" i="82"/>
  <c r="E1870" i="82"/>
  <c r="E1868" i="82"/>
  <c r="E1866" i="82"/>
  <c r="E1864" i="82"/>
  <c r="E1862" i="82"/>
  <c r="E1858" i="82"/>
  <c r="E1856" i="82"/>
  <c r="E1854" i="82"/>
  <c r="E1852" i="82"/>
  <c r="E1850" i="82"/>
  <c r="E1848" i="82"/>
  <c r="E1846" i="82"/>
  <c r="E1844" i="82"/>
  <c r="E1842" i="82"/>
  <c r="E1840" i="82"/>
  <c r="E1838" i="82"/>
  <c r="E1836" i="82"/>
  <c r="E1834" i="82"/>
  <c r="E1832" i="82"/>
  <c r="E1830" i="82"/>
  <c r="E1828" i="82"/>
  <c r="E1824" i="82"/>
  <c r="E1822" i="82"/>
  <c r="E1820" i="82"/>
  <c r="E1818" i="82"/>
  <c r="E1816" i="82"/>
  <c r="E1814" i="82"/>
  <c r="E1808" i="82"/>
  <c r="E1806" i="82"/>
  <c r="E1804" i="82"/>
  <c r="E1802" i="82"/>
  <c r="E1800" i="82"/>
  <c r="E1798" i="82"/>
  <c r="E1796" i="82"/>
  <c r="E1794" i="82"/>
  <c r="E1792" i="82"/>
  <c r="E1790" i="82"/>
  <c r="E1788" i="82"/>
  <c r="E1786" i="82"/>
  <c r="E1784" i="82"/>
  <c r="E1782" i="82"/>
  <c r="E1780" i="82"/>
  <c r="E1778" i="82"/>
  <c r="E1776" i="82"/>
  <c r="E1774" i="82"/>
  <c r="E1772" i="82"/>
  <c r="E1770" i="82"/>
  <c r="E1768" i="82"/>
  <c r="E1766" i="82"/>
  <c r="E1764" i="82"/>
  <c r="E1762" i="82"/>
  <c r="E1760" i="82"/>
  <c r="E1758" i="82"/>
  <c r="E1756" i="82"/>
  <c r="E1754" i="82"/>
  <c r="E1752" i="82"/>
  <c r="E1750" i="82"/>
  <c r="E1748" i="82"/>
  <c r="E1746" i="82"/>
  <c r="E1744" i="82"/>
  <c r="E1742" i="82"/>
  <c r="E1740" i="82"/>
  <c r="E1738" i="82"/>
  <c r="E1736" i="82"/>
  <c r="E1734" i="82"/>
  <c r="E1732" i="82"/>
  <c r="E1730" i="82"/>
  <c r="E1728" i="82"/>
  <c r="E1726" i="82"/>
  <c r="E1724" i="82"/>
  <c r="E1722" i="82"/>
  <c r="E1720" i="82"/>
  <c r="E1718" i="82"/>
  <c r="E1716" i="82"/>
  <c r="E1714" i="82"/>
  <c r="E1712" i="82"/>
  <c r="E1710" i="82"/>
  <c r="E1708" i="82"/>
  <c r="E1706" i="82"/>
  <c r="E1704" i="82"/>
  <c r="E1702" i="82"/>
  <c r="E1700" i="82"/>
  <c r="E1698" i="82"/>
  <c r="E1696" i="82"/>
  <c r="E1694" i="82"/>
  <c r="E1692" i="82"/>
  <c r="E1690" i="82"/>
  <c r="E1688" i="82"/>
  <c r="E1686" i="82"/>
  <c r="E1684" i="82"/>
  <c r="E1682" i="82"/>
  <c r="E1680" i="82"/>
  <c r="E1678" i="82"/>
  <c r="E1676" i="82"/>
  <c r="E1674" i="82"/>
  <c r="E1672" i="82"/>
  <c r="E1670" i="82"/>
  <c r="E1668" i="82"/>
  <c r="E1666" i="82"/>
  <c r="E1664" i="82"/>
  <c r="E1662" i="82"/>
  <c r="E1660" i="82"/>
  <c r="E1658" i="82"/>
  <c r="E1656" i="82"/>
  <c r="E1654" i="82"/>
  <c r="E1652" i="82"/>
  <c r="E1650" i="82"/>
  <c r="E1646" i="82"/>
  <c r="E1644" i="82"/>
  <c r="E1642" i="82"/>
  <c r="E1636" i="82"/>
  <c r="E1634" i="82"/>
  <c r="E1632" i="82"/>
  <c r="E1630" i="82"/>
  <c r="E1628" i="82"/>
  <c r="E1598" i="82"/>
  <c r="E1594" i="82"/>
  <c r="E1592" i="82"/>
  <c r="E1588" i="82"/>
  <c r="E1586" i="82"/>
  <c r="E1582" i="82"/>
  <c r="E1580" i="82"/>
  <c r="E1578" i="82"/>
  <c r="E1576" i="82"/>
  <c r="E1574" i="82"/>
  <c r="E1572" i="82"/>
  <c r="E1570" i="82"/>
  <c r="E1568" i="82"/>
  <c r="E1566" i="82"/>
  <c r="E1560" i="82"/>
  <c r="E1552" i="82"/>
  <c r="E1548" i="82"/>
  <c r="E1542" i="82"/>
  <c r="E1538" i="82"/>
  <c r="E1536" i="82"/>
  <c r="E1534" i="82"/>
  <c r="E1532" i="82"/>
  <c r="E1530" i="82"/>
  <c r="E1528" i="82"/>
  <c r="E1526" i="82"/>
  <c r="E1524" i="82"/>
  <c r="E1522" i="82"/>
  <c r="E1514" i="82"/>
  <c r="E1508" i="82"/>
  <c r="E1502" i="82"/>
  <c r="E1500" i="82"/>
  <c r="E1496" i="82"/>
  <c r="E1492" i="82"/>
  <c r="E1490" i="82"/>
  <c r="E1488" i="82"/>
  <c r="E1482" i="82"/>
  <c r="E1476" i="82"/>
  <c r="E1474" i="82"/>
  <c r="E1470" i="82"/>
  <c r="E1464" i="82"/>
  <c r="E1458" i="82"/>
  <c r="E1456" i="82"/>
  <c r="E1452" i="82"/>
  <c r="E1448" i="82"/>
  <c r="E1446" i="82"/>
  <c r="E1442" i="82"/>
  <c r="E1438" i="82"/>
  <c r="E1436" i="82"/>
  <c r="E1434" i="82"/>
  <c r="E1432" i="82"/>
  <c r="E1430" i="82"/>
  <c r="E1426" i="82"/>
  <c r="E1420" i="82"/>
  <c r="E1416" i="82"/>
  <c r="E1412" i="82"/>
  <c r="E1408" i="82"/>
  <c r="E1406" i="82"/>
  <c r="E1404" i="82"/>
  <c r="E1388" i="82"/>
  <c r="E1384" i="82"/>
  <c r="E1382" i="82"/>
  <c r="E1380" i="82"/>
  <c r="E1376" i="82"/>
  <c r="E1374" i="82"/>
  <c r="E1370" i="82"/>
  <c r="E1368" i="82"/>
  <c r="E1364" i="82"/>
  <c r="E1360" i="82"/>
  <c r="E1358" i="82"/>
  <c r="E1356" i="82"/>
  <c r="E1352" i="82"/>
  <c r="E1350" i="82"/>
  <c r="E1348" i="82"/>
  <c r="E1342" i="82"/>
  <c r="E1340" i="82"/>
  <c r="E1338" i="82"/>
  <c r="E1336" i="82"/>
  <c r="E1330" i="82"/>
  <c r="E1328" i="82"/>
  <c r="E1318" i="82"/>
  <c r="E1316" i="82"/>
  <c r="E1314" i="82"/>
  <c r="E1312" i="82"/>
  <c r="E1310" i="82"/>
  <c r="E1308" i="82"/>
  <c r="E1300" i="82"/>
  <c r="E1298" i="82"/>
  <c r="E1296" i="82"/>
  <c r="E1292" i="82"/>
  <c r="E1290" i="82"/>
  <c r="E1288" i="82"/>
  <c r="E1286" i="82"/>
  <c r="E1282" i="82"/>
  <c r="E1280" i="82"/>
  <c r="E1278" i="82"/>
  <c r="E1276" i="82"/>
  <c r="E1274" i="82"/>
  <c r="E1272" i="82"/>
  <c r="E1266" i="82"/>
  <c r="E1264" i="82"/>
  <c r="E1262" i="82"/>
  <c r="E1260" i="82"/>
  <c r="E1258" i="82"/>
  <c r="E1256" i="82"/>
  <c r="E1252" i="82"/>
  <c r="E1250" i="82"/>
  <c r="E1248" i="82"/>
  <c r="E1246" i="82"/>
  <c r="E1238" i="82"/>
  <c r="E1236" i="82"/>
  <c r="E1232" i="82"/>
  <c r="E1228" i="82"/>
  <c r="E1226" i="82"/>
  <c r="E1222" i="82"/>
  <c r="E1216" i="82"/>
  <c r="E1210" i="82"/>
  <c r="E1206" i="82"/>
  <c r="E1200" i="82"/>
  <c r="E1198" i="82"/>
  <c r="E1196" i="82"/>
  <c r="E1194" i="82"/>
  <c r="E1190" i="82"/>
  <c r="E1188" i="82"/>
  <c r="E1184" i="82"/>
  <c r="E1182" i="82"/>
  <c r="E1180" i="82"/>
  <c r="E1178" i="82"/>
  <c r="E1176" i="82"/>
  <c r="E1174" i="82"/>
  <c r="E1172" i="82"/>
  <c r="E1170" i="82"/>
  <c r="E1166" i="82"/>
  <c r="E1164" i="82"/>
  <c r="E1162" i="82"/>
  <c r="E1160" i="82"/>
  <c r="E1158" i="82"/>
  <c r="E1156" i="82"/>
  <c r="E1154" i="82"/>
  <c r="E1152" i="82"/>
  <c r="E1150" i="82"/>
  <c r="E1148" i="82"/>
  <c r="E1144" i="82"/>
  <c r="E1142" i="82"/>
  <c r="E1140" i="82"/>
  <c r="E1138" i="82"/>
  <c r="E1136" i="82"/>
  <c r="E1134" i="82"/>
  <c r="E1132" i="82"/>
  <c r="E1130" i="82"/>
  <c r="E1128" i="82"/>
  <c r="E1126" i="82"/>
  <c r="E1124" i="82"/>
  <c r="E1122" i="82"/>
  <c r="E1120" i="82"/>
  <c r="E1118" i="82"/>
  <c r="E1116" i="82"/>
  <c r="E1114" i="82"/>
  <c r="E1112" i="82"/>
  <c r="E1110" i="82"/>
  <c r="E1106" i="82"/>
  <c r="E1104" i="82"/>
  <c r="E1102" i="82"/>
  <c r="E1100" i="82"/>
  <c r="E1098" i="82"/>
  <c r="E1096" i="82"/>
  <c r="E1094" i="82"/>
  <c r="E1092" i="82"/>
  <c r="E1090" i="82"/>
  <c r="E1086" i="82"/>
  <c r="E1084" i="82"/>
  <c r="E1082" i="82"/>
  <c r="E1080" i="82"/>
  <c r="E1078" i="82"/>
  <c r="E1076" i="82"/>
  <c r="E1074" i="82"/>
  <c r="E1072" i="82"/>
  <c r="E1070" i="82"/>
  <c r="E1068" i="82"/>
  <c r="E1066" i="82"/>
  <c r="E1064" i="82"/>
  <c r="E1062" i="82"/>
  <c r="E1060" i="82"/>
  <c r="E1058" i="82"/>
  <c r="E1056" i="82"/>
  <c r="E1054" i="82"/>
  <c r="E1052" i="82"/>
  <c r="E1050" i="82"/>
  <c r="E1048" i="82"/>
  <c r="E1046" i="82"/>
  <c r="E1044" i="82"/>
  <c r="E1042" i="82"/>
  <c r="E1040" i="82"/>
  <c r="E1038" i="82"/>
  <c r="E1036" i="82"/>
  <c r="E1034" i="82"/>
  <c r="E1032" i="82"/>
  <c r="E1030" i="82"/>
  <c r="E1024" i="82"/>
  <c r="E1020" i="82"/>
  <c r="E1018" i="82"/>
  <c r="E1016" i="82"/>
  <c r="E1014" i="82"/>
  <c r="E1012" i="82"/>
  <c r="E1010" i="82"/>
  <c r="E1008" i="82"/>
  <c r="E1000" i="82"/>
  <c r="E998" i="82"/>
  <c r="E996" i="82"/>
  <c r="E992" i="82"/>
  <c r="E990" i="82"/>
  <c r="E988" i="82"/>
  <c r="E986" i="82"/>
  <c r="E982" i="82"/>
  <c r="E978" i="82"/>
  <c r="E974" i="82"/>
  <c r="E970" i="82"/>
  <c r="E966" i="82"/>
  <c r="E962" i="82"/>
  <c r="E958" i="82"/>
  <c r="E954" i="82"/>
  <c r="E950" i="82"/>
  <c r="E946" i="82"/>
  <c r="E940" i="82"/>
  <c r="E934" i="82"/>
  <c r="E932" i="82"/>
  <c r="E928" i="82"/>
  <c r="E924" i="82"/>
  <c r="E922" i="82"/>
  <c r="E920" i="82"/>
  <c r="E918" i="82"/>
  <c r="E916" i="82"/>
  <c r="E914" i="82"/>
  <c r="E912" i="82"/>
  <c r="E910" i="82"/>
  <c r="E908" i="82"/>
  <c r="E902" i="82"/>
  <c r="E900" i="82"/>
  <c r="E898" i="82"/>
  <c r="E896" i="82"/>
  <c r="E894" i="82"/>
  <c r="E888" i="82"/>
  <c r="E886" i="82"/>
  <c r="E880" i="82"/>
  <c r="E878" i="82"/>
  <c r="E876" i="82"/>
  <c r="E874" i="82"/>
  <c r="E864" i="82"/>
  <c r="E860" i="82"/>
  <c r="E858" i="82"/>
  <c r="E856" i="82"/>
  <c r="E854" i="82"/>
  <c r="E852" i="82"/>
  <c r="E850" i="82"/>
  <c r="E848" i="82"/>
  <c r="E846" i="82"/>
  <c r="E844" i="82"/>
  <c r="E838" i="82"/>
  <c r="E836" i="82"/>
  <c r="E830" i="82"/>
  <c r="E824" i="82"/>
  <c r="E822" i="82"/>
  <c r="E818" i="82"/>
  <c r="E814" i="82"/>
  <c r="E812" i="82"/>
  <c r="E808" i="82"/>
  <c r="E804" i="82"/>
  <c r="E802" i="82"/>
  <c r="E798" i="82"/>
  <c r="E796" i="82"/>
  <c r="E790" i="82"/>
  <c r="E786" i="82"/>
  <c r="E784" i="82"/>
  <c r="E780" i="82"/>
  <c r="E776" i="82"/>
  <c r="E774" i="82"/>
  <c r="E770" i="82"/>
  <c r="E768" i="82"/>
  <c r="E764" i="82"/>
  <c r="E762" i="82"/>
  <c r="E758" i="82"/>
  <c r="E756" i="82"/>
  <c r="E752" i="82"/>
  <c r="E750" i="82"/>
  <c r="E748" i="82"/>
  <c r="E744" i="82"/>
  <c r="E742" i="82"/>
  <c r="E740" i="82"/>
  <c r="E738" i="82"/>
  <c r="E732" i="82"/>
  <c r="E728" i="82"/>
  <c r="E726" i="82"/>
  <c r="E722" i="82"/>
  <c r="E720" i="82"/>
  <c r="E718" i="82"/>
  <c r="E716" i="82"/>
  <c r="E714" i="82"/>
  <c r="E710" i="82"/>
  <c r="E709" i="82"/>
  <c r="E708" i="82"/>
  <c r="E707" i="82"/>
  <c r="E706" i="82"/>
  <c r="E705" i="82"/>
  <c r="E704" i="82"/>
  <c r="E703" i="82"/>
  <c r="E702" i="82"/>
  <c r="E701" i="82"/>
  <c r="E700" i="82"/>
  <c r="E699" i="82"/>
  <c r="E698" i="82"/>
  <c r="E697" i="82"/>
  <c r="E696" i="82"/>
  <c r="E695" i="82"/>
  <c r="E694" i="82"/>
  <c r="E693" i="82"/>
  <c r="E690" i="82"/>
  <c r="E689" i="82"/>
  <c r="E688" i="82"/>
  <c r="E687" i="82"/>
  <c r="E686" i="82"/>
  <c r="E685" i="82"/>
  <c r="E684" i="82"/>
  <c r="E683" i="82"/>
  <c r="E677" i="82"/>
  <c r="E676" i="82"/>
  <c r="E675" i="82"/>
  <c r="E674" i="82"/>
  <c r="E669" i="82"/>
  <c r="E668" i="82"/>
  <c r="E667" i="82"/>
  <c r="E662" i="82"/>
  <c r="E661" i="82"/>
  <c r="E656" i="82"/>
  <c r="E655" i="82"/>
  <c r="E652" i="82"/>
  <c r="E649" i="82"/>
  <c r="E648" i="82"/>
  <c r="E647" i="82"/>
  <c r="E646" i="82"/>
  <c r="E642" i="82"/>
  <c r="E639" i="82"/>
  <c r="E638" i="82"/>
  <c r="E637" i="82"/>
  <c r="E636" i="82"/>
  <c r="E635" i="82"/>
  <c r="E634" i="82"/>
  <c r="E633" i="82"/>
  <c r="E632" i="82"/>
  <c r="E629" i="82"/>
  <c r="E628" i="82"/>
  <c r="E627" i="82"/>
  <c r="E623" i="82"/>
  <c r="E622" i="82"/>
  <c r="E619" i="82"/>
  <c r="E611" i="82"/>
  <c r="E607" i="82"/>
  <c r="E598" i="82"/>
  <c r="E594" i="82"/>
  <c r="E585" i="82"/>
  <c r="E576" i="82"/>
  <c r="E570" i="82"/>
  <c r="E565" i="82"/>
  <c r="E563" i="82"/>
  <c r="E559" i="82"/>
  <c r="E553" i="82"/>
  <c r="E542" i="82"/>
  <c r="E540" i="82"/>
  <c r="E537" i="82"/>
  <c r="E535" i="82"/>
  <c r="E533" i="82"/>
  <c r="E531" i="82"/>
  <c r="E523" i="82"/>
  <c r="E519" i="82"/>
  <c r="E517" i="82"/>
  <c r="E511" i="82"/>
  <c r="E503" i="82"/>
  <c r="E499" i="82"/>
  <c r="E495" i="82"/>
  <c r="E491" i="82"/>
  <c r="E489" i="82"/>
  <c r="E485" i="82"/>
  <c r="E483" i="82"/>
  <c r="E473" i="82"/>
  <c r="E469" i="82"/>
  <c r="E467" i="82"/>
  <c r="E461" i="82"/>
  <c r="E453" i="82"/>
  <c r="E449" i="82"/>
  <c r="E441" i="82"/>
  <c r="E436" i="82"/>
  <c r="E432" i="82"/>
  <c r="E428" i="82"/>
  <c r="E426" i="82"/>
  <c r="E420" i="82"/>
  <c r="E414" i="82"/>
  <c r="E412" i="82"/>
  <c r="E404" i="82"/>
  <c r="E399" i="82"/>
  <c r="E392" i="82"/>
  <c r="E383" i="82"/>
  <c r="E379" i="82"/>
  <c r="E372" i="82"/>
  <c r="E370" i="82"/>
  <c r="E366" i="82"/>
  <c r="E357" i="82"/>
  <c r="E354" i="82"/>
  <c r="E349" i="82"/>
  <c r="E344" i="82"/>
  <c r="E342" i="82"/>
  <c r="E340" i="82"/>
  <c r="E336" i="82"/>
  <c r="E334" i="82"/>
  <c r="E332" i="82"/>
  <c r="E330" i="82"/>
  <c r="E321" i="82"/>
  <c r="E311" i="82"/>
  <c r="E307" i="82"/>
  <c r="E305" i="82"/>
  <c r="E303" i="82"/>
  <c r="E301" i="82"/>
  <c r="E299" i="82"/>
  <c r="E297" i="82"/>
  <c r="E295" i="82"/>
  <c r="E293" i="82"/>
  <c r="E291" i="82"/>
  <c r="E285" i="82"/>
  <c r="E283" i="82"/>
  <c r="E277" i="82"/>
  <c r="E271" i="82"/>
  <c r="E269" i="82"/>
  <c r="E265" i="82"/>
  <c r="E261" i="82"/>
  <c r="E259" i="82"/>
  <c r="E255" i="82"/>
  <c r="E251" i="82"/>
  <c r="E249" i="82"/>
  <c r="E245" i="82"/>
  <c r="E243" i="82"/>
  <c r="E237" i="82"/>
  <c r="E235" i="82"/>
  <c r="E231" i="82"/>
  <c r="E227" i="82"/>
  <c r="E225" i="82"/>
  <c r="E221" i="82"/>
  <c r="E219" i="82"/>
  <c r="E215" i="82"/>
  <c r="E213" i="82"/>
  <c r="E209" i="82"/>
  <c r="E207" i="82"/>
  <c r="E203" i="82"/>
  <c r="E201" i="82"/>
  <c r="E199" i="82"/>
  <c r="E195" i="82"/>
  <c r="E193" i="82"/>
  <c r="E191" i="82"/>
  <c r="E189" i="82"/>
  <c r="E183" i="82"/>
  <c r="E179" i="82"/>
  <c r="E177" i="82"/>
  <c r="E173" i="82"/>
  <c r="E171" i="82"/>
  <c r="E169" i="82"/>
  <c r="E167" i="82"/>
  <c r="E165" i="82"/>
  <c r="E158" i="82"/>
  <c r="E154" i="82"/>
  <c r="E152" i="82"/>
  <c r="E148" i="82"/>
  <c r="E143" i="82"/>
  <c r="E139" i="82"/>
  <c r="E137" i="82"/>
  <c r="E133" i="82"/>
  <c r="E131" i="82"/>
  <c r="E123" i="82"/>
  <c r="E117" i="82"/>
  <c r="E115" i="82"/>
  <c r="E111" i="82"/>
  <c r="E109" i="82"/>
  <c r="E105" i="82"/>
  <c r="E101" i="82"/>
  <c r="E99" i="82"/>
  <c r="E97" i="82"/>
  <c r="E95" i="82"/>
  <c r="E93" i="82"/>
  <c r="E91" i="82"/>
  <c r="E89" i="82"/>
  <c r="E87" i="82"/>
  <c r="E85" i="82"/>
  <c r="E83" i="82"/>
  <c r="E81" i="82"/>
  <c r="E79" i="82"/>
  <c r="E77" i="82"/>
  <c r="E75" i="82"/>
  <c r="E73" i="82"/>
  <c r="E71" i="82"/>
  <c r="E69" i="82"/>
  <c r="E65" i="82"/>
  <c r="E63" i="82"/>
  <c r="E61" i="82"/>
  <c r="E57" i="82"/>
  <c r="E55" i="82"/>
  <c r="E53" i="82"/>
  <c r="E51" i="82"/>
  <c r="E47" i="82"/>
  <c r="E45" i="82"/>
  <c r="E43" i="82"/>
  <c r="E41" i="82"/>
  <c r="E39" i="82"/>
  <c r="E37" i="82"/>
  <c r="E35" i="82"/>
  <c r="E31" i="82"/>
  <c r="E27" i="82"/>
  <c r="E25" i="82"/>
  <c r="E21" i="82"/>
  <c r="E14" i="82"/>
  <c r="E11" i="82"/>
  <c r="D4" i="17"/>
  <c r="J82" i="13"/>
  <c r="Q82" i="13" s="1"/>
  <c r="Q75" i="13"/>
  <c r="Q77" i="13"/>
  <c r="J76" i="13"/>
  <c r="Q76" i="13" s="1"/>
  <c r="J75" i="13"/>
  <c r="J77" i="13"/>
  <c r="J78" i="13"/>
  <c r="Q78" i="13" s="1"/>
  <c r="J73" i="13"/>
  <c r="Q73" i="13" s="1"/>
  <c r="J72" i="13"/>
  <c r="Q72" i="13" s="1"/>
  <c r="J71" i="13"/>
  <c r="Q71" i="13" s="1"/>
  <c r="J70" i="13"/>
  <c r="Q70" i="13" s="1"/>
  <c r="J74" i="13"/>
  <c r="Q74" i="13" s="1"/>
  <c r="J67" i="13"/>
  <c r="Q67" i="13" s="1"/>
  <c r="Q38" i="13"/>
  <c r="R38" i="13" s="1"/>
  <c r="Q37" i="13"/>
  <c r="Q50" i="13"/>
  <c r="R50" i="13" s="1"/>
  <c r="Q27" i="13"/>
  <c r="Q28" i="13"/>
  <c r="R28" i="13" s="1"/>
  <c r="L5" i="13" l="1"/>
  <c r="J48" i="13" s="1"/>
  <c r="D47" i="32" l="1"/>
  <c r="B3" i="85"/>
  <c r="C12" i="62"/>
  <c r="C15" i="63" s="1"/>
  <c r="C15" i="68" s="1"/>
  <c r="C14" i="57"/>
  <c r="L18" i="56"/>
  <c r="M18" i="57" s="1"/>
  <c r="G39" i="70"/>
  <c r="G38" i="70"/>
  <c r="G37" i="70"/>
  <c r="G36" i="70"/>
  <c r="G35" i="70"/>
  <c r="G34" i="70"/>
  <c r="G33" i="70"/>
  <c r="G32" i="70"/>
  <c r="G31" i="70"/>
  <c r="G30" i="70"/>
  <c r="G25" i="70"/>
  <c r="G24" i="70"/>
  <c r="G23" i="70"/>
  <c r="G22" i="70"/>
  <c r="G21" i="70"/>
  <c r="G20" i="70"/>
  <c r="G19" i="70"/>
  <c r="G6" i="70"/>
  <c r="G7" i="70"/>
  <c r="G8" i="70"/>
  <c r="G9" i="70"/>
  <c r="G10" i="70"/>
  <c r="G11" i="70"/>
  <c r="G12" i="70"/>
  <c r="G5" i="70"/>
  <c r="G13" i="70" s="1"/>
  <c r="B3" i="82"/>
  <c r="J35" i="76" l="1"/>
  <c r="K35" i="76" s="1"/>
  <c r="L35" i="76" s="1"/>
  <c r="J34" i="76"/>
  <c r="K34" i="76" s="1"/>
  <c r="D207" i="83"/>
  <c r="D205" i="83"/>
  <c r="D199" i="83"/>
  <c r="D197" i="83"/>
  <c r="D195" i="83"/>
  <c r="D107" i="83"/>
  <c r="D106" i="83"/>
  <c r="D100" i="83"/>
  <c r="D98" i="83"/>
  <c r="D96" i="83"/>
  <c r="D85" i="83"/>
  <c r="D83" i="83"/>
  <c r="D81" i="83"/>
  <c r="D79" i="83"/>
  <c r="D77" i="83"/>
  <c r="D75" i="83"/>
  <c r="D73" i="83"/>
  <c r="D71" i="83"/>
  <c r="D69" i="83"/>
  <c r="D65" i="83"/>
  <c r="D67" i="83" s="1"/>
  <c r="D63" i="83"/>
  <c r="B57" i="83"/>
  <c r="B55" i="83"/>
  <c r="K33" i="76" l="1"/>
  <c r="L34" i="76"/>
  <c r="L33" i="76" s="1"/>
  <c r="J33" i="76"/>
  <c r="J40" i="21"/>
  <c r="J47" i="21"/>
  <c r="R78" i="13"/>
  <c r="R77" i="13"/>
  <c r="J31" i="76"/>
  <c r="K31" i="76" s="1"/>
  <c r="L31" i="76" s="1"/>
  <c r="J30" i="76"/>
  <c r="J29" i="76" l="1"/>
  <c r="K30" i="76"/>
  <c r="R75" i="13"/>
  <c r="J26" i="76"/>
  <c r="K26" i="76" s="1"/>
  <c r="L26" i="76" s="1"/>
  <c r="J25" i="76"/>
  <c r="K25" i="76" s="1"/>
  <c r="L25" i="76" s="1"/>
  <c r="L24" i="76" s="1"/>
  <c r="J22" i="76"/>
  <c r="K22" i="76" s="1"/>
  <c r="L22" i="76" s="1"/>
  <c r="J21" i="76"/>
  <c r="J18" i="76"/>
  <c r="K18" i="76" s="1"/>
  <c r="L18" i="76" s="1"/>
  <c r="J14" i="76"/>
  <c r="K14" i="76" s="1"/>
  <c r="L14" i="76" s="1"/>
  <c r="K29" i="76" l="1"/>
  <c r="L30" i="76"/>
  <c r="L29" i="76" s="1"/>
  <c r="J20" i="76"/>
  <c r="K21" i="76"/>
  <c r="K24" i="76"/>
  <c r="J24" i="76"/>
  <c r="K20" i="76" l="1"/>
  <c r="L21" i="76"/>
  <c r="L20" i="76" s="1"/>
  <c r="I60" i="32"/>
  <c r="Z18" i="57"/>
  <c r="L19" i="62" s="1"/>
  <c r="AL18" i="56"/>
  <c r="Y18" i="56"/>
  <c r="J50" i="21"/>
  <c r="J49" i="21"/>
  <c r="J48" i="21"/>
  <c r="J46" i="21"/>
  <c r="J45" i="21"/>
  <c r="J51" i="77"/>
  <c r="J50" i="77"/>
  <c r="J48" i="77"/>
  <c r="J47" i="77"/>
  <c r="J46" i="77"/>
  <c r="J45" i="77"/>
  <c r="J44" i="77"/>
  <c r="J42" i="77"/>
  <c r="J39" i="77" a="1"/>
  <c r="J39" i="77" s="1"/>
  <c r="J38" i="77"/>
  <c r="J37" i="77"/>
  <c r="J36" i="77"/>
  <c r="J35" i="77"/>
  <c r="J34" i="77"/>
  <c r="J29" i="77" a="1"/>
  <c r="J29" i="77" s="1"/>
  <c r="J28" i="77"/>
  <c r="J27" i="77"/>
  <c r="J26" i="77"/>
  <c r="J25" i="77"/>
  <c r="J24" i="77"/>
  <c r="J21" i="77" a="1"/>
  <c r="J21" i="77" s="1"/>
  <c r="J20" i="77"/>
  <c r="J19" i="77"/>
  <c r="J18" i="77"/>
  <c r="J17" i="77"/>
  <c r="J16" i="77"/>
  <c r="J15" i="77"/>
  <c r="J14" i="77"/>
  <c r="J13" i="77"/>
  <c r="J12" i="77"/>
  <c r="J11" i="77"/>
  <c r="J8" i="77"/>
  <c r="J7" i="77"/>
  <c r="J6" i="77"/>
  <c r="J53" i="21"/>
  <c r="J52" i="21"/>
  <c r="J41" i="21"/>
  <c r="J42" i="21"/>
  <c r="J43" i="21"/>
  <c r="J39" i="21"/>
  <c r="J38" i="21"/>
  <c r="J36" i="21"/>
  <c r="J33" i="21" a="1"/>
  <c r="J33" i="21" s="1"/>
  <c r="J24" i="21" a="1"/>
  <c r="J24" i="21" s="1"/>
  <c r="J15" i="21" a="1"/>
  <c r="J15" i="21" s="1"/>
  <c r="J14" i="21"/>
  <c r="J32" i="21"/>
  <c r="J31" i="21"/>
  <c r="J30" i="21"/>
  <c r="J29" i="21"/>
  <c r="J28" i="21"/>
  <c r="J27" i="21"/>
  <c r="J21" i="21"/>
  <c r="J23" i="21"/>
  <c r="J22" i="21"/>
  <c r="J20" i="21"/>
  <c r="J19" i="21"/>
  <c r="J18" i="21"/>
  <c r="M20" i="63" l="1"/>
  <c r="AP19" i="62"/>
  <c r="AA19" i="62"/>
  <c r="AM18" i="57"/>
  <c r="AZ18" i="57"/>
  <c r="J26" i="21"/>
  <c r="J17" i="21"/>
  <c r="J17" i="76"/>
  <c r="J13" i="76"/>
  <c r="J7" i="21"/>
  <c r="J8" i="21"/>
  <c r="J9" i="21"/>
  <c r="J10" i="21"/>
  <c r="J11" i="21"/>
  <c r="J12" i="21"/>
  <c r="J13" i="21"/>
  <c r="J6" i="21"/>
  <c r="J5" i="21"/>
  <c r="J16" i="76" l="1"/>
  <c r="K17" i="76"/>
  <c r="J12" i="76"/>
  <c r="K13" i="76"/>
  <c r="AQ20" i="63"/>
  <c r="AB20" i="63"/>
  <c r="L19" i="68"/>
  <c r="J4" i="21"/>
  <c r="Q48" i="13"/>
  <c r="R48" i="13" s="1"/>
  <c r="R76" i="13"/>
  <c r="R74" i="13"/>
  <c r="B17" i="13"/>
  <c r="B18" i="13" s="1"/>
  <c r="B19" i="13" s="1"/>
  <c r="B20" i="13" s="1"/>
  <c r="B23" i="13" s="1"/>
  <c r="B24" i="13" s="1"/>
  <c r="B25" i="13" s="1"/>
  <c r="B26" i="13" s="1"/>
  <c r="B27" i="13" s="1"/>
  <c r="K16" i="76" l="1"/>
  <c r="L17" i="76"/>
  <c r="L16" i="76" s="1"/>
  <c r="K12" i="76"/>
  <c r="L13" i="76"/>
  <c r="L12" i="76" s="1"/>
  <c r="B28" i="13"/>
  <c r="B29" i="13" s="1"/>
  <c r="B30" i="13" s="1"/>
  <c r="B33" i="13" s="1"/>
  <c r="B34" i="13" s="1"/>
  <c r="B35" i="13" s="1"/>
  <c r="B36" i="13" s="1"/>
  <c r="B37" i="13" s="1"/>
  <c r="AP54" i="68"/>
  <c r="AA19" i="68"/>
  <c r="AP19" i="68"/>
  <c r="B38" i="13" l="1"/>
  <c r="B39" i="13" s="1"/>
  <c r="B40" i="13" s="1"/>
  <c r="B43" i="13" s="1"/>
  <c r="B44" i="13" s="1"/>
  <c r="B47" i="13" s="1"/>
  <c r="B48" i="13" s="1"/>
  <c r="B49" i="13" s="1"/>
  <c r="R18" i="27"/>
  <c r="B50" i="13" l="1"/>
  <c r="B51" i="13" s="1"/>
  <c r="B54" i="13" s="1"/>
  <c r="B55" i="13" s="1"/>
  <c r="B56" i="13" s="1"/>
  <c r="B59" i="13" s="1"/>
  <c r="B60" i="13" s="1"/>
  <c r="B61" i="13" s="1"/>
  <c r="B62" i="13" s="1"/>
  <c r="B63" i="13" s="1"/>
  <c r="B64" i="13" s="1"/>
  <c r="B67" i="13" s="1"/>
  <c r="B70" i="13" s="1"/>
  <c r="B71" i="13" s="1"/>
  <c r="B72" i="13" s="1"/>
  <c r="B73" i="13" s="1"/>
  <c r="B74" i="13" s="1"/>
  <c r="B75" i="13" s="1"/>
  <c r="B76" i="13" s="1"/>
  <c r="B77" i="13" s="1"/>
  <c r="B78" i="13" s="1"/>
  <c r="S19" i="27"/>
  <c r="R19" i="27"/>
  <c r="Q18" i="27"/>
  <c r="P18" i="27"/>
  <c r="O18" i="27"/>
  <c r="N18" i="27"/>
  <c r="M18" i="27"/>
  <c r="G75" i="32"/>
  <c r="F31" i="72"/>
  <c r="C32" i="72" s="1"/>
  <c r="D31" i="72"/>
  <c r="G13" i="72"/>
  <c r="G12" i="72"/>
  <c r="G11" i="72"/>
  <c r="G10" i="72"/>
  <c r="G9" i="72"/>
  <c r="G8" i="72"/>
  <c r="F6" i="72"/>
  <c r="G6" i="72" s="1"/>
  <c r="D6" i="72"/>
  <c r="C5" i="72"/>
  <c r="F5" i="72" s="1"/>
  <c r="G5" i="72" s="1"/>
  <c r="G4" i="72"/>
  <c r="D4" i="72"/>
  <c r="S18" i="27" l="1"/>
  <c r="F32" i="72"/>
  <c r="D32" i="72"/>
  <c r="C7" i="72"/>
  <c r="G31" i="72"/>
  <c r="D5" i="72"/>
  <c r="F7" i="72" l="1"/>
  <c r="D7" i="72"/>
  <c r="C33" i="72"/>
  <c r="G32" i="72"/>
  <c r="G7" i="72" l="1"/>
  <c r="C14" i="72"/>
  <c r="F33" i="72"/>
  <c r="D33" i="72"/>
  <c r="C34" i="72" l="1"/>
  <c r="G33" i="72"/>
  <c r="D14" i="72"/>
  <c r="C15" i="72"/>
  <c r="F14" i="72"/>
  <c r="G14" i="72" s="1"/>
  <c r="F34" i="72" l="1"/>
  <c r="D34" i="72"/>
  <c r="C16" i="72"/>
  <c r="F15" i="72"/>
  <c r="G15" i="72" s="1"/>
  <c r="D15" i="72"/>
  <c r="C35" i="72" l="1"/>
  <c r="G34" i="72"/>
  <c r="D16" i="72"/>
  <c r="F16" i="72"/>
  <c r="D35" i="72" l="1"/>
  <c r="F35" i="72"/>
  <c r="G16" i="72"/>
  <c r="C17" i="72"/>
  <c r="D17" i="72" l="1"/>
  <c r="F17" i="72"/>
  <c r="C36" i="72"/>
  <c r="G35" i="72"/>
  <c r="C18" i="72" l="1"/>
  <c r="G17" i="72"/>
  <c r="F36" i="72"/>
  <c r="G36" i="72" s="1"/>
  <c r="D36" i="72"/>
  <c r="D18" i="72" l="1"/>
  <c r="F18" i="72"/>
  <c r="C19" i="72" l="1"/>
  <c r="G18" i="72"/>
  <c r="F19" i="72" l="1"/>
  <c r="D19" i="72"/>
  <c r="C20" i="72" l="1"/>
  <c r="G19" i="72"/>
  <c r="D20" i="72" l="1"/>
  <c r="F20" i="72"/>
  <c r="C21" i="72" l="1"/>
  <c r="G20" i="72"/>
  <c r="F21" i="72" l="1"/>
  <c r="D21" i="72"/>
  <c r="G21" i="72" l="1"/>
  <c r="C23" i="72"/>
  <c r="D23" i="72" l="1"/>
  <c r="F23" i="72"/>
  <c r="C24" i="72" l="1"/>
  <c r="G23" i="72"/>
  <c r="D24" i="72" l="1"/>
  <c r="F24" i="72"/>
  <c r="C25" i="72" l="1"/>
  <c r="G24" i="72"/>
  <c r="F25" i="72" l="1"/>
  <c r="D25" i="72"/>
  <c r="C26" i="72" l="1"/>
  <c r="G25" i="72"/>
  <c r="D26" i="72" l="1"/>
  <c r="C22" i="72"/>
  <c r="F26" i="72"/>
  <c r="C27" i="72" l="1"/>
  <c r="G26" i="72"/>
  <c r="D22" i="72"/>
  <c r="F22" i="72"/>
  <c r="G22" i="72" s="1"/>
  <c r="D27" i="72" l="1"/>
  <c r="F27" i="72"/>
  <c r="C28" i="72" l="1"/>
  <c r="G27" i="72"/>
  <c r="D28" i="72" l="1"/>
  <c r="F28" i="72"/>
  <c r="G28" i="72" l="1"/>
  <c r="C29" i="72"/>
  <c r="F29" i="72" l="1"/>
  <c r="D29" i="72"/>
  <c r="C30" i="72" l="1"/>
  <c r="G29" i="72"/>
  <c r="D30" i="72" l="1"/>
  <c r="F30" i="72"/>
  <c r="G30" i="72" s="1"/>
  <c r="D15" i="68" l="1"/>
  <c r="D15" i="63"/>
  <c r="D12" i="62"/>
  <c r="L44" i="62" s="1"/>
  <c r="D14" i="57"/>
  <c r="D14" i="56"/>
  <c r="E4" i="17"/>
  <c r="E14" i="68"/>
  <c r="E14" i="63"/>
  <c r="E11" i="62"/>
  <c r="E13" i="57"/>
  <c r="E13" i="56"/>
  <c r="B3" i="17"/>
  <c r="F47" i="13"/>
  <c r="I18" i="70"/>
  <c r="H64" i="69"/>
  <c r="C61" i="69"/>
  <c r="H55" i="69"/>
  <c r="H53" i="69"/>
  <c r="H48" i="69"/>
  <c r="H58" i="64"/>
  <c r="C55" i="64"/>
  <c r="C54" i="64"/>
  <c r="C60" i="69" s="1"/>
  <c r="H49" i="64"/>
  <c r="H47" i="64"/>
  <c r="H42" i="64"/>
  <c r="H61" i="58"/>
  <c r="H52" i="58"/>
  <c r="H50" i="58"/>
  <c r="H45" i="58"/>
  <c r="V34" i="67"/>
  <c r="AN58" i="68"/>
  <c r="AN24" i="68"/>
  <c r="W27" i="61"/>
  <c r="AO25" i="63"/>
  <c r="K25" i="63"/>
  <c r="H38" i="58"/>
  <c r="X14" i="55"/>
  <c r="H21" i="58" s="1"/>
  <c r="J21" i="58" s="1"/>
  <c r="AX57" i="57"/>
  <c r="AK57" i="57"/>
  <c r="AK23" i="57"/>
  <c r="X23" i="57"/>
  <c r="K23" i="57"/>
  <c r="AJ22" i="56"/>
  <c r="W22" i="56"/>
  <c r="J31" i="56"/>
  <c r="J22" i="56"/>
  <c r="C59" i="69"/>
  <c r="A25" i="69"/>
  <c r="A27" i="69" s="1"/>
  <c r="A29" i="69" s="1"/>
  <c r="A31" i="69" s="1"/>
  <c r="A33" i="69" s="1"/>
  <c r="A35" i="69" s="1"/>
  <c r="B23" i="69"/>
  <c r="A23" i="69"/>
  <c r="N22" i="69"/>
  <c r="Q22" i="69" s="1"/>
  <c r="E29" i="69" s="1"/>
  <c r="N21" i="69"/>
  <c r="Q21" i="69" s="1"/>
  <c r="B21" i="69"/>
  <c r="O20" i="69"/>
  <c r="Q20" i="69" s="1"/>
  <c r="Q19" i="69"/>
  <c r="N19" i="69"/>
  <c r="O18" i="69"/>
  <c r="Q18" i="69" s="1"/>
  <c r="R18" i="69" s="1"/>
  <c r="E25" i="69" s="1"/>
  <c r="O17" i="69"/>
  <c r="F44" i="69" s="1"/>
  <c r="F71" i="69" s="1"/>
  <c r="Q16" i="69"/>
  <c r="F19" i="69" s="1"/>
  <c r="F43" i="69" s="1"/>
  <c r="F70" i="69" s="1"/>
  <c r="A7" i="69"/>
  <c r="A5" i="69"/>
  <c r="A3" i="69"/>
  <c r="AJ64" i="68"/>
  <c r="AJ61" i="68"/>
  <c r="AJ60" i="68"/>
  <c r="AL58" i="68"/>
  <c r="C56" i="68"/>
  <c r="E56" i="68" s="1"/>
  <c r="AL54" i="68"/>
  <c r="AL52" i="68"/>
  <c r="D50" i="68"/>
  <c r="F48" i="68"/>
  <c r="D48" i="68"/>
  <c r="H48" i="68" s="1"/>
  <c r="AJ46" i="68"/>
  <c r="AJ49" i="68" s="1"/>
  <c r="F46" i="68"/>
  <c r="D46" i="68"/>
  <c r="AJ45" i="68"/>
  <c r="AL45" i="68"/>
  <c r="AN45" i="68" s="1"/>
  <c r="AL44" i="68"/>
  <c r="AN44" i="68" s="1"/>
  <c r="D44" i="68"/>
  <c r="AJ43" i="68"/>
  <c r="AJ42" i="68"/>
  <c r="D42" i="68"/>
  <c r="D40" i="68"/>
  <c r="D38" i="68"/>
  <c r="AL37" i="68"/>
  <c r="AL35" i="68"/>
  <c r="D36" i="68"/>
  <c r="H36" i="68" s="1"/>
  <c r="J36" i="68" s="1"/>
  <c r="U34" i="68"/>
  <c r="U37" i="68" s="1"/>
  <c r="U33" i="68"/>
  <c r="W33" i="68" s="1"/>
  <c r="Y33" i="68" s="1"/>
  <c r="F33" i="68"/>
  <c r="H33" i="68" s="1"/>
  <c r="J33" i="68" s="1"/>
  <c r="W32" i="68"/>
  <c r="Y32" i="68" s="1"/>
  <c r="F32" i="68"/>
  <c r="F34" i="68"/>
  <c r="F53" i="68" s="1"/>
  <c r="E32" i="68"/>
  <c r="T31" i="68" s="1"/>
  <c r="W31" i="68" s="1"/>
  <c r="Y31" i="68" s="1"/>
  <c r="U31" i="68"/>
  <c r="F31" i="68"/>
  <c r="H30" i="68"/>
  <c r="J30" i="68" s="1"/>
  <c r="AJ29" i="68"/>
  <c r="AJ32" i="68" s="1"/>
  <c r="U29" i="68"/>
  <c r="U27" i="68" s="1"/>
  <c r="F29" i="68"/>
  <c r="AJ28" i="68"/>
  <c r="AL28" i="68"/>
  <c r="AN28" i="68" s="1"/>
  <c r="U28" i="68"/>
  <c r="F28" i="68"/>
  <c r="E28" i="68"/>
  <c r="T28" i="68" s="1"/>
  <c r="AL27" i="68"/>
  <c r="AN27" i="68" s="1"/>
  <c r="W27" i="68"/>
  <c r="Y27" i="68" s="1"/>
  <c r="F27" i="68"/>
  <c r="AJ26" i="68"/>
  <c r="U26" i="68"/>
  <c r="F26" i="68"/>
  <c r="E26" i="68"/>
  <c r="H26" i="68" s="1"/>
  <c r="J26" i="68" s="1"/>
  <c r="AJ25" i="68"/>
  <c r="U25" i="68"/>
  <c r="F25" i="68"/>
  <c r="AL24" i="68"/>
  <c r="AL41" i="68"/>
  <c r="AN41" i="68" s="1"/>
  <c r="W24" i="68"/>
  <c r="Y24" i="68" s="1"/>
  <c r="H24" i="68"/>
  <c r="J24" i="68" s="1"/>
  <c r="F24" i="68"/>
  <c r="F23" i="68"/>
  <c r="H23" i="68" s="1"/>
  <c r="J23" i="68" s="1"/>
  <c r="AG22" i="68"/>
  <c r="AL19" i="68"/>
  <c r="W19" i="68"/>
  <c r="H19" i="68"/>
  <c r="AL17" i="68"/>
  <c r="W17" i="68"/>
  <c r="H17" i="68"/>
  <c r="A7" i="68"/>
  <c r="A3" i="68"/>
  <c r="Q32" i="67"/>
  <c r="R32" i="67" s="1"/>
  <c r="R25" i="67"/>
  <c r="P25" i="67"/>
  <c r="R19" i="67"/>
  <c r="P19" i="67"/>
  <c r="P17" i="67"/>
  <c r="R17" i="67"/>
  <c r="R15" i="67"/>
  <c r="A3" i="67"/>
  <c r="A5" i="66"/>
  <c r="A5" i="67" s="1"/>
  <c r="A5" i="68" s="1"/>
  <c r="A3" i="66"/>
  <c r="D20" i="65"/>
  <c r="D22" i="65" s="1"/>
  <c r="D24" i="65"/>
  <c r="A3" i="65"/>
  <c r="D55" i="64"/>
  <c r="C53" i="64"/>
  <c r="D54" i="64" s="1"/>
  <c r="A23" i="64"/>
  <c r="A25" i="64" s="1"/>
  <c r="A27" i="64" s="1"/>
  <c r="A29" i="64" s="1"/>
  <c r="O18" i="64"/>
  <c r="Q18" i="64"/>
  <c r="E25" i="64" s="1"/>
  <c r="Q17" i="64"/>
  <c r="E23" i="64" s="1"/>
  <c r="O17" i="64"/>
  <c r="F38" i="64" s="1"/>
  <c r="F65" i="64"/>
  <c r="N17" i="64"/>
  <c r="Q16" i="64"/>
  <c r="N16" i="64"/>
  <c r="A7" i="64"/>
  <c r="A3" i="64"/>
  <c r="E57" i="63"/>
  <c r="K57" i="63" s="1"/>
  <c r="E51" i="63"/>
  <c r="F49" i="63" s="1"/>
  <c r="E50" i="63"/>
  <c r="H49" i="63" s="1"/>
  <c r="K49" i="63" s="1"/>
  <c r="E47" i="63"/>
  <c r="D47" i="63"/>
  <c r="C47" i="63"/>
  <c r="D46" i="63"/>
  <c r="E46" i="63" s="1"/>
  <c r="D45" i="63"/>
  <c r="E45" i="63"/>
  <c r="E48" i="63" s="1"/>
  <c r="D42" i="63"/>
  <c r="E42" i="63" s="1"/>
  <c r="C42" i="63"/>
  <c r="D41" i="63"/>
  <c r="E41" i="63"/>
  <c r="V36" i="63"/>
  <c r="V39" i="63"/>
  <c r="F36" i="63"/>
  <c r="H36" i="63" s="1"/>
  <c r="K36" i="63" s="1"/>
  <c r="X35" i="63"/>
  <c r="Z35" i="63" s="1"/>
  <c r="V35" i="63"/>
  <c r="F35" i="63"/>
  <c r="F37" i="63"/>
  <c r="E35" i="63"/>
  <c r="U33" i="63" s="1"/>
  <c r="X33" i="63" s="1"/>
  <c r="Z33" i="63" s="1"/>
  <c r="X34" i="63"/>
  <c r="Z34" i="63" s="1"/>
  <c r="F34" i="63"/>
  <c r="V33" i="63"/>
  <c r="H33" i="63"/>
  <c r="K33" i="63" s="1"/>
  <c r="F32" i="63"/>
  <c r="F31" i="63" s="1"/>
  <c r="V31" i="63"/>
  <c r="V29" i="63" s="1"/>
  <c r="E31" i="63"/>
  <c r="E32" i="63" s="1"/>
  <c r="V30" i="63"/>
  <c r="F30" i="63"/>
  <c r="X29" i="63"/>
  <c r="Z29" i="63" s="1"/>
  <c r="F29" i="63"/>
  <c r="E29" i="63"/>
  <c r="E30" i="63" s="1"/>
  <c r="H30" i="63" s="1"/>
  <c r="K30" i="63" s="1"/>
  <c r="AK28" i="63"/>
  <c r="AK31" i="63"/>
  <c r="V28" i="63"/>
  <c r="U28" i="63"/>
  <c r="T26" i="68" s="1"/>
  <c r="W26" i="68" s="1"/>
  <c r="Y26" i="68" s="1"/>
  <c r="F28" i="63"/>
  <c r="AK27" i="63"/>
  <c r="AM27" i="63" s="1"/>
  <c r="AO27" i="63" s="1"/>
  <c r="V27" i="63"/>
  <c r="H27" i="63"/>
  <c r="K27" i="63" s="1"/>
  <c r="F27" i="63"/>
  <c r="AM26" i="63"/>
  <c r="AO26" i="63" s="1"/>
  <c r="AL59" i="68"/>
  <c r="AN59" i="68" s="1"/>
  <c r="X26" i="63"/>
  <c r="Z26" i="63" s="1"/>
  <c r="F26" i="63"/>
  <c r="H26" i="63" s="1"/>
  <c r="K26" i="63" s="1"/>
  <c r="M26" i="63" s="1"/>
  <c r="AM20" i="63"/>
  <c r="X20" i="63"/>
  <c r="H20" i="63"/>
  <c r="AM18" i="63"/>
  <c r="X18" i="63"/>
  <c r="H18" i="63"/>
  <c r="A7" i="63"/>
  <c r="A3" i="63"/>
  <c r="AJ64" i="62"/>
  <c r="AJ61" i="62"/>
  <c r="AJ60" i="62"/>
  <c r="AL58" i="62"/>
  <c r="AN58" i="62"/>
  <c r="C56" i="62"/>
  <c r="E56" i="62"/>
  <c r="AL54" i="62"/>
  <c r="AL52" i="62"/>
  <c r="D50" i="62"/>
  <c r="F48" i="62"/>
  <c r="D48" i="62"/>
  <c r="H48" i="62" s="1"/>
  <c r="J48" i="62" s="1"/>
  <c r="L48" i="62" s="1"/>
  <c r="AJ46" i="62"/>
  <c r="AJ49" i="62" s="1"/>
  <c r="F46" i="62"/>
  <c r="D46" i="62"/>
  <c r="H46" i="62" s="1"/>
  <c r="AJ45" i="62"/>
  <c r="AL45" i="62" s="1"/>
  <c r="AN45" i="62" s="1"/>
  <c r="AP45" i="62" s="1"/>
  <c r="AL44" i="62"/>
  <c r="AN44" i="62" s="1"/>
  <c r="F44" i="62"/>
  <c r="D44" i="62"/>
  <c r="AJ43" i="62"/>
  <c r="AJ42" i="62"/>
  <c r="D42" i="62"/>
  <c r="F40" i="62"/>
  <c r="D40" i="62"/>
  <c r="F38" i="62"/>
  <c r="D38" i="62"/>
  <c r="AL37" i="62"/>
  <c r="AL35" i="62"/>
  <c r="D36" i="62"/>
  <c r="U33" i="62"/>
  <c r="W33" i="62" s="1"/>
  <c r="Y33" i="62" s="1"/>
  <c r="F33" i="62"/>
  <c r="H33" i="62" s="1"/>
  <c r="J33" i="62" s="1"/>
  <c r="L33" i="62" s="1"/>
  <c r="W32" i="62"/>
  <c r="Y32" i="62" s="1"/>
  <c r="F32" i="62"/>
  <c r="F34" i="62" s="1"/>
  <c r="F53" i="62" s="1"/>
  <c r="E32" i="62"/>
  <c r="T31" i="62" s="1"/>
  <c r="W31" i="62" s="1"/>
  <c r="Y31" i="62" s="1"/>
  <c r="U31" i="62"/>
  <c r="U34" i="62" s="1"/>
  <c r="U37" i="62" s="1"/>
  <c r="F31" i="62"/>
  <c r="H30" i="62"/>
  <c r="J30" i="62" s="1"/>
  <c r="AJ29" i="62"/>
  <c r="AJ32" i="62" s="1"/>
  <c r="U29" i="62"/>
  <c r="U27" i="62" s="1"/>
  <c r="F29" i="62"/>
  <c r="F28" i="62" s="1"/>
  <c r="AJ28" i="62"/>
  <c r="AL28" i="62"/>
  <c r="AN28" i="62" s="1"/>
  <c r="U28" i="62"/>
  <c r="E28" i="62"/>
  <c r="E29" i="62" s="1"/>
  <c r="AL27" i="62"/>
  <c r="AN27" i="62" s="1"/>
  <c r="W27" i="62"/>
  <c r="Y27" i="62" s="1"/>
  <c r="F27" i="62"/>
  <c r="AJ26" i="62"/>
  <c r="U26" i="62"/>
  <c r="F26" i="62"/>
  <c r="E26" i="62"/>
  <c r="H26" i="62" s="1"/>
  <c r="J26" i="62" s="1"/>
  <c r="L26" i="62" s="1"/>
  <c r="AJ25" i="62"/>
  <c r="U25" i="62"/>
  <c r="F25" i="62"/>
  <c r="E25" i="62"/>
  <c r="T25" i="62" s="1"/>
  <c r="W25" i="62" s="1"/>
  <c r="Y25" i="62" s="1"/>
  <c r="AL24" i="62"/>
  <c r="AN24" i="62" s="1"/>
  <c r="W24" i="62"/>
  <c r="Y24" i="62" s="1"/>
  <c r="H24" i="62"/>
  <c r="J24" i="62" s="1"/>
  <c r="F24" i="62"/>
  <c r="F23" i="62"/>
  <c r="H23" i="62" s="1"/>
  <c r="J23" i="62" s="1"/>
  <c r="AG22" i="62"/>
  <c r="AL19" i="62"/>
  <c r="W19" i="62"/>
  <c r="H19" i="62"/>
  <c r="AL17" i="62"/>
  <c r="W17" i="62"/>
  <c r="H17" i="62"/>
  <c r="A7" i="62"/>
  <c r="A3" i="62"/>
  <c r="S21" i="61"/>
  <c r="S19" i="61"/>
  <c r="S17" i="61"/>
  <c r="A5" i="61"/>
  <c r="A5" i="63" s="1"/>
  <c r="A5" i="64" s="1"/>
  <c r="A3" i="61"/>
  <c r="A5" i="60"/>
  <c r="A3" i="60"/>
  <c r="D19" i="59"/>
  <c r="D21" i="59" s="1"/>
  <c r="D23" i="59"/>
  <c r="AB16" i="59"/>
  <c r="AD16" i="59" s="1"/>
  <c r="AF16" i="59" s="1"/>
  <c r="X16" i="59"/>
  <c r="T16" i="59"/>
  <c r="V16" i="59" s="1"/>
  <c r="A3" i="59"/>
  <c r="D58" i="58"/>
  <c r="C56" i="58"/>
  <c r="D57" i="58" s="1"/>
  <c r="C38" i="58"/>
  <c r="J38" i="58" s="1"/>
  <c r="E36" i="58"/>
  <c r="A27" i="58"/>
  <c r="A31" i="58" s="1"/>
  <c r="A36" i="58"/>
  <c r="A38" i="58" s="1"/>
  <c r="A40" i="58" s="1"/>
  <c r="A23" i="58"/>
  <c r="O17" i="58"/>
  <c r="P16" i="58"/>
  <c r="O16" i="58"/>
  <c r="D28" i="58"/>
  <c r="A7" i="58"/>
  <c r="A5" i="58"/>
  <c r="A3" i="58"/>
  <c r="R57" i="57"/>
  <c r="D57" i="57"/>
  <c r="AT56" i="57"/>
  <c r="AG56" i="57"/>
  <c r="F51" i="57"/>
  <c r="AR45" i="57"/>
  <c r="AS45" i="57" s="1"/>
  <c r="AQ45" i="57"/>
  <c r="AE45" i="57"/>
  <c r="AF45" i="57"/>
  <c r="AD45" i="57"/>
  <c r="AS43" i="57"/>
  <c r="AS46" i="57" s="1"/>
  <c r="AR43" i="57"/>
  <c r="AE43" i="57"/>
  <c r="AF43" i="57"/>
  <c r="AR40" i="57"/>
  <c r="AQ40" i="57"/>
  <c r="AS40" i="57" s="1"/>
  <c r="AS41" i="57" s="1"/>
  <c r="AE40" i="57"/>
  <c r="AF40" i="57"/>
  <c r="AD40" i="57"/>
  <c r="AS39" i="57"/>
  <c r="AR39" i="57"/>
  <c r="AE39" i="57"/>
  <c r="AF39" i="57"/>
  <c r="AF41" i="57"/>
  <c r="T51" i="57"/>
  <c r="F35" i="57"/>
  <c r="H35" i="57"/>
  <c r="K35" i="57" s="1"/>
  <c r="V34" i="57"/>
  <c r="X34" i="57" s="1"/>
  <c r="T34" i="57"/>
  <c r="F34" i="57"/>
  <c r="F36" i="57" s="1"/>
  <c r="E34" i="57"/>
  <c r="H34" i="57" s="1"/>
  <c r="K34" i="57" s="1"/>
  <c r="AT33" i="57"/>
  <c r="AV33" i="57" s="1"/>
  <c r="AX33" i="57" s="1"/>
  <c r="AG33" i="57"/>
  <c r="AI33" i="57" s="1"/>
  <c r="AK33" i="57" s="1"/>
  <c r="T33" i="57"/>
  <c r="T36" i="57" s="1"/>
  <c r="H33" i="57"/>
  <c r="K33" i="57" s="1"/>
  <c r="AV32" i="57"/>
  <c r="AX32" i="57" s="1"/>
  <c r="AI32" i="57"/>
  <c r="AK32" i="57" s="1"/>
  <c r="V32" i="57"/>
  <c r="X32" i="57" s="1"/>
  <c r="H32" i="57"/>
  <c r="K32" i="57"/>
  <c r="AT31" i="57"/>
  <c r="AT34" i="57" s="1"/>
  <c r="AG31" i="57"/>
  <c r="AG34" i="57"/>
  <c r="V31" i="57"/>
  <c r="X31" i="57" s="1"/>
  <c r="F31" i="57"/>
  <c r="E31" i="57"/>
  <c r="H31" i="57" s="1"/>
  <c r="K31" i="57" s="1"/>
  <c r="AT30" i="57"/>
  <c r="AG30" i="57"/>
  <c r="AG29" i="57"/>
  <c r="F30" i="57"/>
  <c r="E30" i="57"/>
  <c r="S30" i="57" s="1"/>
  <c r="V30" i="57" s="1"/>
  <c r="X30" i="57" s="1"/>
  <c r="AT29" i="57"/>
  <c r="T29" i="57"/>
  <c r="F29" i="57"/>
  <c r="E29" i="57"/>
  <c r="H29" i="57" s="1"/>
  <c r="K29" i="57" s="1"/>
  <c r="S29" i="57"/>
  <c r="AF28" i="57" s="1"/>
  <c r="AI28" i="57" s="1"/>
  <c r="AK28" i="57" s="1"/>
  <c r="AT28" i="57"/>
  <c r="AG28" i="57"/>
  <c r="T28" i="57"/>
  <c r="F28" i="57"/>
  <c r="AT27" i="57"/>
  <c r="AG27" i="57"/>
  <c r="T27" i="57"/>
  <c r="F27" i="57"/>
  <c r="E27" i="57"/>
  <c r="AT26" i="57"/>
  <c r="AS26" i="57"/>
  <c r="AV26" i="57"/>
  <c r="AX26" i="57" s="1"/>
  <c r="AG26" i="57"/>
  <c r="AF26" i="57"/>
  <c r="AI26" i="57" s="1"/>
  <c r="AK26" i="57" s="1"/>
  <c r="V26" i="57"/>
  <c r="X26" i="57" s="1"/>
  <c r="T26" i="57"/>
  <c r="S26" i="57"/>
  <c r="H26" i="57"/>
  <c r="K26" i="57" s="1"/>
  <c r="F26" i="57"/>
  <c r="AV25" i="57"/>
  <c r="AX25" i="57" s="1"/>
  <c r="AT25" i="57"/>
  <c r="AG25" i="57"/>
  <c r="AI25" i="57" s="1"/>
  <c r="AK25" i="57" s="1"/>
  <c r="V25" i="57"/>
  <c r="X25" i="57" s="1"/>
  <c r="T25" i="57"/>
  <c r="F25" i="57"/>
  <c r="H25" i="57" s="1"/>
  <c r="K25" i="57" s="1"/>
  <c r="AV24" i="57"/>
  <c r="AX24" i="57" s="1"/>
  <c r="AT24" i="57"/>
  <c r="AI24" i="57"/>
  <c r="AK24" i="57" s="1"/>
  <c r="T24" i="57"/>
  <c r="V24" i="57" s="1"/>
  <c r="X24" i="57" s="1"/>
  <c r="F24" i="57"/>
  <c r="H24" i="57"/>
  <c r="K24" i="57" s="1"/>
  <c r="AV23" i="57"/>
  <c r="AX23" i="57" s="1"/>
  <c r="AV18" i="57"/>
  <c r="AI18" i="57"/>
  <c r="V18" i="57"/>
  <c r="H18" i="57"/>
  <c r="AV16" i="57"/>
  <c r="AI16" i="57"/>
  <c r="V16" i="57"/>
  <c r="H16" i="57"/>
  <c r="A7" i="57"/>
  <c r="A5" i="57"/>
  <c r="A3" i="57"/>
  <c r="AE72" i="56"/>
  <c r="R72" i="56"/>
  <c r="E72" i="56"/>
  <c r="AE66" i="56"/>
  <c r="R66" i="56"/>
  <c r="E66" i="56"/>
  <c r="AE65" i="56"/>
  <c r="R65" i="56"/>
  <c r="E65" i="56"/>
  <c r="AE64" i="56"/>
  <c r="R64" i="56"/>
  <c r="E64" i="56"/>
  <c r="AE60" i="56"/>
  <c r="AE61" i="56" s="1"/>
  <c r="P60" i="56"/>
  <c r="R60" i="56"/>
  <c r="R61" i="56" s="1"/>
  <c r="C60" i="56"/>
  <c r="E60" i="56" s="1"/>
  <c r="E61" i="56" s="1"/>
  <c r="AE57" i="56"/>
  <c r="R57" i="56"/>
  <c r="E57" i="56"/>
  <c r="AD56" i="56"/>
  <c r="AE56" i="56" s="1"/>
  <c r="AC56" i="56"/>
  <c r="Q56" i="56"/>
  <c r="R56" i="56" s="1"/>
  <c r="D56" i="56"/>
  <c r="E56" i="56" s="1"/>
  <c r="AD55" i="56"/>
  <c r="AE55" i="56" s="1"/>
  <c r="R55" i="56"/>
  <c r="D55" i="56"/>
  <c r="E55" i="56" s="1"/>
  <c r="AD54" i="56"/>
  <c r="AC54" i="56"/>
  <c r="Q54" i="56"/>
  <c r="P54" i="56"/>
  <c r="D54" i="56"/>
  <c r="AD50" i="56"/>
  <c r="AE50" i="56" s="1"/>
  <c r="Q50" i="56"/>
  <c r="R50" i="56" s="1"/>
  <c r="D50" i="56"/>
  <c r="E50" i="56" s="1"/>
  <c r="AD49" i="56"/>
  <c r="Q49" i="56"/>
  <c r="D49" i="56"/>
  <c r="AD48" i="56"/>
  <c r="Q48" i="56"/>
  <c r="D48" i="56"/>
  <c r="AD47" i="56"/>
  <c r="Q47" i="56"/>
  <c r="D47" i="56"/>
  <c r="AD43" i="56"/>
  <c r="AE43" i="56" s="1"/>
  <c r="Q43" i="56"/>
  <c r="R43" i="56" s="1"/>
  <c r="D43" i="56"/>
  <c r="E43" i="56"/>
  <c r="AD42" i="56"/>
  <c r="AE42" i="56" s="1"/>
  <c r="Q42" i="56"/>
  <c r="R42" i="56" s="1"/>
  <c r="D42" i="56"/>
  <c r="E42" i="56" s="1"/>
  <c r="AD41" i="56"/>
  <c r="Q41" i="56"/>
  <c r="D41" i="56"/>
  <c r="AD40" i="56"/>
  <c r="Q40" i="56"/>
  <c r="D40" i="56"/>
  <c r="AF34" i="56"/>
  <c r="AH34" i="56" s="1"/>
  <c r="S34" i="56"/>
  <c r="U34" i="56" s="1"/>
  <c r="F34" i="56"/>
  <c r="H34" i="56" s="1"/>
  <c r="AF33" i="56"/>
  <c r="S33" i="56"/>
  <c r="R33" i="56"/>
  <c r="AE33" i="56" s="1"/>
  <c r="AH33" i="56" s="1"/>
  <c r="H33" i="56"/>
  <c r="J33" i="56" s="1"/>
  <c r="F33" i="56"/>
  <c r="AH32" i="56"/>
  <c r="U32" i="56"/>
  <c r="W32" i="56" s="1"/>
  <c r="H32" i="56"/>
  <c r="H34" i="63" s="1"/>
  <c r="K34" i="63" s="1"/>
  <c r="AH31" i="56"/>
  <c r="U31" i="56"/>
  <c r="AF30" i="56"/>
  <c r="S30" i="56"/>
  <c r="R30" i="56"/>
  <c r="U30" i="56" s="1"/>
  <c r="H30" i="56"/>
  <c r="F30" i="56"/>
  <c r="AF29" i="56"/>
  <c r="AF28" i="56" s="1"/>
  <c r="S29" i="56"/>
  <c r="R29" i="56"/>
  <c r="AE28" i="56" s="1"/>
  <c r="AH28" i="56" s="1"/>
  <c r="H29" i="56"/>
  <c r="F29" i="56"/>
  <c r="S28" i="56"/>
  <c r="S27" i="56" s="1"/>
  <c r="R28" i="56"/>
  <c r="U28" i="56" s="1"/>
  <c r="H28" i="56"/>
  <c r="F28" i="56"/>
  <c r="F27" i="56" s="1"/>
  <c r="AF27" i="56"/>
  <c r="R27" i="56"/>
  <c r="H27" i="56"/>
  <c r="H35" i="56" s="1"/>
  <c r="R26" i="56"/>
  <c r="U26" i="56" s="1"/>
  <c r="H26" i="56"/>
  <c r="J26" i="56" s="1"/>
  <c r="AF25" i="56"/>
  <c r="S25" i="56"/>
  <c r="R25" i="56"/>
  <c r="U25" i="56" s="1"/>
  <c r="H25" i="56"/>
  <c r="J25" i="56" s="1"/>
  <c r="F25" i="56"/>
  <c r="AH24" i="56"/>
  <c r="U24" i="56"/>
  <c r="W24" i="56" s="1"/>
  <c r="H24" i="56"/>
  <c r="AH23" i="56"/>
  <c r="AJ23" i="56" s="1"/>
  <c r="AF23" i="56"/>
  <c r="U23" i="56"/>
  <c r="S23" i="56"/>
  <c r="H23" i="56"/>
  <c r="F23" i="56"/>
  <c r="AH18" i="56"/>
  <c r="AD18" i="56"/>
  <c r="AC18" i="56"/>
  <c r="AC40" i="56" s="1"/>
  <c r="U18" i="56"/>
  <c r="Q18" i="56"/>
  <c r="P18" i="56"/>
  <c r="D18" i="56"/>
  <c r="C48" i="56" s="1"/>
  <c r="C18" i="56"/>
  <c r="C40" i="56" s="1"/>
  <c r="E40" i="56" s="1"/>
  <c r="AH16" i="56"/>
  <c r="U16" i="56"/>
  <c r="A7" i="56"/>
  <c r="A5" i="56"/>
  <c r="A3" i="56"/>
  <c r="S51" i="55"/>
  <c r="S50" i="55"/>
  <c r="S49" i="55"/>
  <c r="S48" i="55"/>
  <c r="S47" i="55"/>
  <c r="S31" i="55"/>
  <c r="S30" i="55"/>
  <c r="S29" i="55"/>
  <c r="U23" i="55"/>
  <c r="U36" i="55" s="1"/>
  <c r="A3" i="55"/>
  <c r="AP58" i="62"/>
  <c r="S23" i="61"/>
  <c r="H42" i="62"/>
  <c r="J42" i="62"/>
  <c r="H36" i="62"/>
  <c r="J36" i="62" s="1"/>
  <c r="H44" i="62"/>
  <c r="J44" i="62" s="1"/>
  <c r="H50" i="62"/>
  <c r="J50" i="62" s="1"/>
  <c r="L50" i="62" s="1"/>
  <c r="H40" i="62"/>
  <c r="J40" i="62" s="1"/>
  <c r="J46" i="62"/>
  <c r="D32" i="58"/>
  <c r="O18" i="58"/>
  <c r="D36" i="58" s="1"/>
  <c r="F36" i="58" s="1"/>
  <c r="H28" i="68"/>
  <c r="J28" i="68" s="1"/>
  <c r="E27" i="68"/>
  <c r="H27" i="68" s="1"/>
  <c r="J27" i="68" s="1"/>
  <c r="H35" i="63"/>
  <c r="K35" i="63" s="1"/>
  <c r="AL59" i="62"/>
  <c r="AN59" i="62" s="1"/>
  <c r="H29" i="63"/>
  <c r="K29" i="63" s="1"/>
  <c r="H31" i="63"/>
  <c r="K31" i="63" s="1"/>
  <c r="M31" i="63" s="1"/>
  <c r="E48" i="56"/>
  <c r="X28" i="63"/>
  <c r="Z28" i="63" s="1"/>
  <c r="AB28" i="63" s="1"/>
  <c r="U30" i="63"/>
  <c r="X30" i="63" s="1"/>
  <c r="Z30" i="63" s="1"/>
  <c r="T26" i="62"/>
  <c r="W26" i="62" s="1"/>
  <c r="H44" i="63"/>
  <c r="K44" i="63" s="1"/>
  <c r="F44" i="63"/>
  <c r="A5" i="62"/>
  <c r="AV42" i="57"/>
  <c r="AX42" i="57" s="1"/>
  <c r="AT42" i="57"/>
  <c r="AL60" i="62"/>
  <c r="AN60" i="62" s="1"/>
  <c r="AL60" i="68"/>
  <c r="AN60" i="68" s="1"/>
  <c r="AM28" i="63"/>
  <c r="AM31" i="63" s="1"/>
  <c r="U21" i="61" s="1"/>
  <c r="AI42" i="68"/>
  <c r="AL42" i="68" s="1"/>
  <c r="AI25" i="68"/>
  <c r="AL25" i="68" s="1"/>
  <c r="AN25" i="68" s="1"/>
  <c r="AP25" i="68" s="1"/>
  <c r="W28" i="68"/>
  <c r="Y28" i="68" s="1"/>
  <c r="AA28" i="68" s="1"/>
  <c r="AI26" i="68"/>
  <c r="AL26" i="68" s="1"/>
  <c r="AN26" i="68" s="1"/>
  <c r="T30" i="62"/>
  <c r="V30" i="62" s="1"/>
  <c r="H29" i="62"/>
  <c r="J29" i="62" s="1"/>
  <c r="L29" i="62" s="1"/>
  <c r="R18" i="56"/>
  <c r="P48" i="56"/>
  <c r="R48" i="56" s="1"/>
  <c r="P40" i="56"/>
  <c r="R40" i="56" s="1"/>
  <c r="P47" i="56"/>
  <c r="Q19" i="64"/>
  <c r="F18" i="64" s="1"/>
  <c r="F36" i="64" s="1"/>
  <c r="F63" i="64" s="1"/>
  <c r="R20" i="69"/>
  <c r="E27" i="69" s="1"/>
  <c r="P41" i="56"/>
  <c r="R41" i="56" s="1"/>
  <c r="E43" i="63"/>
  <c r="H40" i="63" s="1"/>
  <c r="K40" i="63" s="1"/>
  <c r="M40" i="63" s="1"/>
  <c r="H50" i="68"/>
  <c r="H44" i="68"/>
  <c r="J44" i="68" s="1"/>
  <c r="F50" i="68"/>
  <c r="H42" i="68"/>
  <c r="J42" i="68" s="1"/>
  <c r="H40" i="68"/>
  <c r="J40" i="68" s="1"/>
  <c r="H30" i="57"/>
  <c r="K30" i="57" s="1"/>
  <c r="S33" i="57"/>
  <c r="AF31" i="57" s="1"/>
  <c r="H25" i="62"/>
  <c r="J25" i="62" s="1"/>
  <c r="E27" i="62"/>
  <c r="H27" i="62" s="1"/>
  <c r="H28" i="62"/>
  <c r="J28" i="62" s="1"/>
  <c r="Q22" i="67"/>
  <c r="R22" i="67"/>
  <c r="Q28" i="67"/>
  <c r="R28" i="67"/>
  <c r="C41" i="56"/>
  <c r="E41" i="56" s="1"/>
  <c r="U33" i="56"/>
  <c r="T28" i="62"/>
  <c r="AI42" i="62" s="1"/>
  <c r="AL42" i="62" s="1"/>
  <c r="AN42" i="62" s="1"/>
  <c r="H32" i="62"/>
  <c r="J32" i="62" s="1"/>
  <c r="AL41" i="62"/>
  <c r="AN41" i="62" s="1"/>
  <c r="E28" i="63"/>
  <c r="U27" i="63" s="1"/>
  <c r="X27" i="63" s="1"/>
  <c r="E29" i="68"/>
  <c r="H29" i="68" s="1"/>
  <c r="J29" i="68" s="1"/>
  <c r="F19" i="64"/>
  <c r="F37" i="64" s="1"/>
  <c r="F64" i="64" s="1"/>
  <c r="O22" i="58"/>
  <c r="F19" i="58" s="1"/>
  <c r="E21" i="64"/>
  <c r="H32" i="68"/>
  <c r="J32" i="68" s="1"/>
  <c r="Q17" i="69"/>
  <c r="H31" i="68"/>
  <c r="J31" i="68" s="1"/>
  <c r="H28" i="63"/>
  <c r="Q24" i="69"/>
  <c r="F18" i="69"/>
  <c r="F42" i="69" s="1"/>
  <c r="F69" i="69" s="1"/>
  <c r="E23" i="69"/>
  <c r="AI26" i="62"/>
  <c r="AL26" i="62" s="1"/>
  <c r="AN26" i="62" s="1"/>
  <c r="W28" i="62"/>
  <c r="Y28" i="62" s="1"/>
  <c r="T40" i="13"/>
  <c r="T21" i="13"/>
  <c r="T24" i="13"/>
  <c r="T25" i="13"/>
  <c r="T26" i="13"/>
  <c r="T30" i="13"/>
  <c r="T31" i="13"/>
  <c r="T34" i="13"/>
  <c r="T35" i="13"/>
  <c r="T36" i="13"/>
  <c r="T37" i="13"/>
  <c r="T39" i="13"/>
  <c r="T43" i="13"/>
  <c r="T44" i="13"/>
  <c r="T47" i="13"/>
  <c r="T49" i="13"/>
  <c r="T51" i="13"/>
  <c r="T52" i="13"/>
  <c r="T54" i="13"/>
  <c r="T55" i="13"/>
  <c r="T56" i="13"/>
  <c r="T59" i="13"/>
  <c r="T60" i="13"/>
  <c r="T61" i="13"/>
  <c r="T62" i="13"/>
  <c r="T63" i="13"/>
  <c r="T64" i="13"/>
  <c r="R82" i="13"/>
  <c r="R73" i="13"/>
  <c r="R72" i="13"/>
  <c r="R71" i="13"/>
  <c r="R70" i="13"/>
  <c r="R27" i="13"/>
  <c r="R37" i="13"/>
  <c r="R67" i="13"/>
  <c r="G16" i="13"/>
  <c r="J16" i="13" s="1"/>
  <c r="G64" i="13"/>
  <c r="J64" i="13" s="1"/>
  <c r="Q64" i="13" s="1"/>
  <c r="G63" i="13"/>
  <c r="J63" i="13" s="1"/>
  <c r="Q63" i="13" s="1"/>
  <c r="G62" i="13"/>
  <c r="J62" i="13" s="1"/>
  <c r="Q62" i="13" s="1"/>
  <c r="G61" i="13"/>
  <c r="J61" i="13" s="1"/>
  <c r="Q61" i="13" s="1"/>
  <c r="G60" i="13"/>
  <c r="J60" i="13" s="1"/>
  <c r="Q60" i="13" s="1"/>
  <c r="G59" i="13"/>
  <c r="J59" i="13" s="1"/>
  <c r="Q59" i="13" s="1"/>
  <c r="G56" i="13"/>
  <c r="J56" i="13" s="1"/>
  <c r="Q56" i="13" s="1"/>
  <c r="G55" i="13"/>
  <c r="J55" i="13" s="1"/>
  <c r="Q55" i="13" s="1"/>
  <c r="G54" i="13"/>
  <c r="J54" i="13" s="1"/>
  <c r="Q54" i="13" s="1"/>
  <c r="G51" i="13"/>
  <c r="J51" i="13" s="1"/>
  <c r="Q51" i="13" s="1"/>
  <c r="G49" i="13"/>
  <c r="J49" i="13" s="1"/>
  <c r="Q49" i="13" s="1"/>
  <c r="G47" i="13"/>
  <c r="J47" i="13" s="1"/>
  <c r="Q47" i="13" s="1"/>
  <c r="G44" i="13"/>
  <c r="J44" i="13" s="1"/>
  <c r="Q44" i="13" s="1"/>
  <c r="G43" i="13"/>
  <c r="J43" i="13" s="1"/>
  <c r="Q43" i="13" s="1"/>
  <c r="G40" i="13"/>
  <c r="J40" i="13" s="1"/>
  <c r="Q40" i="13" s="1"/>
  <c r="G39" i="13"/>
  <c r="J39" i="13" s="1"/>
  <c r="Q39" i="13" s="1"/>
  <c r="G36" i="13"/>
  <c r="J36" i="13" s="1"/>
  <c r="Q36" i="13" s="1"/>
  <c r="G35" i="13"/>
  <c r="J35" i="13" s="1"/>
  <c r="Q35" i="13" s="1"/>
  <c r="G34" i="13"/>
  <c r="J34" i="13" s="1"/>
  <c r="Q34" i="13" s="1"/>
  <c r="G33" i="13"/>
  <c r="J33" i="13" s="1"/>
  <c r="Q33" i="13" s="1"/>
  <c r="G30" i="13"/>
  <c r="J30" i="13" s="1"/>
  <c r="Q30" i="13" s="1"/>
  <c r="G29" i="13"/>
  <c r="J29" i="13" s="1"/>
  <c r="Q29" i="13" s="1"/>
  <c r="G26" i="13"/>
  <c r="J26" i="13" s="1"/>
  <c r="Q26" i="13" s="1"/>
  <c r="G25" i="13"/>
  <c r="J25" i="13" s="1"/>
  <c r="Q25" i="13" s="1"/>
  <c r="G24" i="13"/>
  <c r="J24" i="13" s="1"/>
  <c r="Q24" i="13" s="1"/>
  <c r="G23" i="13"/>
  <c r="J23" i="13" s="1"/>
  <c r="Q23" i="13" s="1"/>
  <c r="G20" i="13"/>
  <c r="J20" i="13" s="1"/>
  <c r="G19" i="13"/>
  <c r="J19" i="13" s="1"/>
  <c r="G18" i="13"/>
  <c r="J18" i="13" s="1"/>
  <c r="G17" i="13"/>
  <c r="J17" i="13" s="1"/>
  <c r="T18" i="13"/>
  <c r="T19" i="13"/>
  <c r="T20" i="13"/>
  <c r="T17" i="13"/>
  <c r="F71" i="13"/>
  <c r="F72" i="13"/>
  <c r="F73" i="13"/>
  <c r="F70" i="13"/>
  <c r="F67" i="13"/>
  <c r="F37" i="13"/>
  <c r="F29" i="13"/>
  <c r="F27" i="13"/>
  <c r="C45" i="17"/>
  <c r="C40" i="17"/>
  <c r="C38" i="17"/>
  <c r="C33" i="17"/>
  <c r="C28" i="17"/>
  <c r="C23" i="17"/>
  <c r="C21" i="17"/>
  <c r="C17" i="17"/>
  <c r="C14" i="17"/>
  <c r="C10" i="17"/>
  <c r="A30" i="35"/>
  <c r="A31" i="35" s="1"/>
  <c r="A32" i="35" s="1"/>
  <c r="A33" i="35" s="1"/>
  <c r="A34" i="35" s="1"/>
  <c r="A35" i="35"/>
  <c r="A36" i="35" s="1"/>
  <c r="A37" i="35" s="1"/>
  <c r="A38" i="35" s="1"/>
  <c r="A39" i="35" s="1"/>
  <c r="A40" i="35" s="1"/>
  <c r="A41" i="35" s="1"/>
  <c r="A42" i="35" s="1"/>
  <c r="A43" i="35" s="1"/>
  <c r="A44" i="35" s="1"/>
  <c r="A45" i="35" s="1"/>
  <c r="A46" i="35" s="1"/>
  <c r="A47" i="35" s="1"/>
  <c r="A48" i="35" s="1"/>
  <c r="A49" i="35" s="1"/>
  <c r="A50" i="35" s="1"/>
  <c r="A51" i="35" s="1"/>
  <c r="A52" i="35" s="1"/>
  <c r="A53" i="35" s="1"/>
  <c r="A54" i="35"/>
  <c r="I29" i="35"/>
  <c r="I30" i="35" s="1"/>
  <c r="D37" i="29"/>
  <c r="C37" i="29"/>
  <c r="D36" i="29"/>
  <c r="C36" i="29"/>
  <c r="F37" i="29"/>
  <c r="F36" i="29"/>
  <c r="C30" i="29"/>
  <c r="C29" i="29"/>
  <c r="C26" i="29"/>
  <c r="C25" i="29"/>
  <c r="D24" i="29"/>
  <c r="C34" i="29" s="1"/>
  <c r="E95" i="32"/>
  <c r="E94" i="32"/>
  <c r="E93" i="32"/>
  <c r="E91" i="32"/>
  <c r="I59" i="32"/>
  <c r="H91" i="32" s="1"/>
  <c r="C20" i="27"/>
  <c r="E48" i="32"/>
  <c r="G82" i="32" s="1"/>
  <c r="E49" i="32"/>
  <c r="F16" i="13"/>
  <c r="K10" i="24"/>
  <c r="K11" i="24"/>
  <c r="K12" i="24"/>
  <c r="K13" i="24"/>
  <c r="K14" i="24"/>
  <c r="K18" i="24"/>
  <c r="K19" i="24"/>
  <c r="K20" i="24"/>
  <c r="K23" i="24"/>
  <c r="K24" i="24"/>
  <c r="K25" i="24"/>
  <c r="K27" i="24"/>
  <c r="K28" i="24"/>
  <c r="K29" i="24"/>
  <c r="K31" i="24"/>
  <c r="K32" i="24"/>
  <c r="K33" i="24"/>
  <c r="K34" i="24"/>
  <c r="K35" i="24"/>
  <c r="K36" i="24"/>
  <c r="K37" i="24"/>
  <c r="K38" i="24"/>
  <c r="K39" i="24"/>
  <c r="K40" i="24"/>
  <c r="K41" i="24"/>
  <c r="K42" i="24"/>
  <c r="K43" i="24"/>
  <c r="K44" i="24"/>
  <c r="K45" i="24"/>
  <c r="K46" i="24"/>
  <c r="K47" i="24"/>
  <c r="K48" i="24"/>
  <c r="K49" i="24"/>
  <c r="K50" i="24"/>
  <c r="K51" i="24"/>
  <c r="K52" i="24"/>
  <c r="K53" i="24"/>
  <c r="K54" i="24"/>
  <c r="K9" i="24"/>
  <c r="L11" i="24"/>
  <c r="L12" i="24" s="1"/>
  <c r="I10" i="24"/>
  <c r="J10" i="24"/>
  <c r="I11" i="24"/>
  <c r="I12" i="24"/>
  <c r="I13" i="24"/>
  <c r="J13" i="24" s="1"/>
  <c r="I14" i="24"/>
  <c r="J14" i="24"/>
  <c r="I18" i="24"/>
  <c r="I19" i="24"/>
  <c r="I20" i="24"/>
  <c r="I23" i="24"/>
  <c r="J23" i="24"/>
  <c r="I24" i="24"/>
  <c r="J24" i="24"/>
  <c r="I25" i="24"/>
  <c r="I27" i="24"/>
  <c r="J27" i="24"/>
  <c r="I28" i="24"/>
  <c r="J28" i="24"/>
  <c r="I29" i="24"/>
  <c r="J29" i="24" s="1"/>
  <c r="I31" i="24"/>
  <c r="I32" i="24"/>
  <c r="J32" i="24"/>
  <c r="I33" i="24"/>
  <c r="J33" i="24"/>
  <c r="I34" i="24"/>
  <c r="I35" i="24"/>
  <c r="I36" i="24"/>
  <c r="J36" i="24" s="1"/>
  <c r="I37" i="24"/>
  <c r="J37" i="24"/>
  <c r="I38" i="24"/>
  <c r="I39" i="24"/>
  <c r="I40" i="24"/>
  <c r="J40" i="24"/>
  <c r="I41" i="24"/>
  <c r="J41" i="24" s="1"/>
  <c r="I42" i="24"/>
  <c r="J42" i="24"/>
  <c r="I43" i="24"/>
  <c r="I44" i="24"/>
  <c r="J44" i="24" s="1"/>
  <c r="I45" i="24"/>
  <c r="J45" i="24"/>
  <c r="I46" i="24"/>
  <c r="I47" i="24"/>
  <c r="I48" i="24"/>
  <c r="J48" i="24" s="1"/>
  <c r="I49" i="24"/>
  <c r="J49" i="24" s="1"/>
  <c r="I50" i="24"/>
  <c r="I51" i="24"/>
  <c r="J51" i="24" s="1"/>
  <c r="I52" i="24"/>
  <c r="J52" i="24"/>
  <c r="I53" i="24"/>
  <c r="I54" i="24"/>
  <c r="I9" i="24"/>
  <c r="J9" i="24"/>
  <c r="F17" i="13"/>
  <c r="F18" i="13"/>
  <c r="J11" i="24"/>
  <c r="J12" i="24"/>
  <c r="J18" i="24"/>
  <c r="J19" i="24"/>
  <c r="J20" i="24"/>
  <c r="J25" i="24"/>
  <c r="J31" i="24"/>
  <c r="J34" i="24"/>
  <c r="J35" i="24"/>
  <c r="J38" i="24"/>
  <c r="J39" i="24"/>
  <c r="J43" i="24"/>
  <c r="J46" i="24"/>
  <c r="J47" i="24"/>
  <c r="J50" i="24"/>
  <c r="J53" i="24"/>
  <c r="J54" i="24"/>
  <c r="L18" i="27"/>
  <c r="K18" i="27"/>
  <c r="J18" i="27"/>
  <c r="I18" i="27"/>
  <c r="H18" i="27"/>
  <c r="H30" i="24"/>
  <c r="K30" i="24" s="1"/>
  <c r="H26" i="24"/>
  <c r="H22" i="24"/>
  <c r="K22" i="24" s="1"/>
  <c r="H21" i="24"/>
  <c r="H17" i="24"/>
  <c r="H15" i="24"/>
  <c r="K15" i="24"/>
  <c r="H16" i="24"/>
  <c r="F61" i="13"/>
  <c r="F64" i="13"/>
  <c r="F63" i="13"/>
  <c r="F62" i="13"/>
  <c r="F60" i="13"/>
  <c r="F59" i="13"/>
  <c r="F19" i="13"/>
  <c r="F20" i="13"/>
  <c r="F23" i="13"/>
  <c r="F24" i="13"/>
  <c r="F25" i="13"/>
  <c r="F26" i="13"/>
  <c r="F30" i="13"/>
  <c r="F31" i="13"/>
  <c r="F33" i="13"/>
  <c r="F34" i="13"/>
  <c r="F35" i="13"/>
  <c r="F36" i="13"/>
  <c r="F39" i="13"/>
  <c r="F40" i="13"/>
  <c r="F41" i="13"/>
  <c r="F43" i="13"/>
  <c r="F44" i="13"/>
  <c r="F45" i="13"/>
  <c r="F49" i="13"/>
  <c r="F51" i="13"/>
  <c r="F52" i="13"/>
  <c r="F54" i="13"/>
  <c r="F55" i="13"/>
  <c r="F56" i="13"/>
  <c r="I17" i="24"/>
  <c r="J17" i="24" s="1"/>
  <c r="K17" i="24"/>
  <c r="I16" i="24"/>
  <c r="J16" i="24"/>
  <c r="K16" i="24"/>
  <c r="I22" i="24"/>
  <c r="J22" i="24" s="1"/>
  <c r="K26" i="24"/>
  <c r="I26" i="24"/>
  <c r="J26" i="24" s="1"/>
  <c r="I31" i="35"/>
  <c r="I32" i="35" s="1"/>
  <c r="I33" i="35" s="1"/>
  <c r="I15" i="24"/>
  <c r="J15" i="24"/>
  <c r="I34" i="35"/>
  <c r="I35" i="35" s="1"/>
  <c r="I36" i="35" s="1"/>
  <c r="I37" i="35" s="1"/>
  <c r="I38" i="35" s="1"/>
  <c r="I39" i="35" s="1"/>
  <c r="I40" i="35" s="1"/>
  <c r="I41" i="35" s="1"/>
  <c r="I42" i="35" s="1"/>
  <c r="I43" i="35" s="1"/>
  <c r="I44" i="35" s="1"/>
  <c r="I45" i="35" s="1"/>
  <c r="I46" i="35" s="1"/>
  <c r="I47" i="35" s="1"/>
  <c r="I48" i="35" s="1"/>
  <c r="I49" i="35" s="1"/>
  <c r="I50" i="35" s="1"/>
  <c r="I51" i="35" s="1"/>
  <c r="I52" i="35" s="1"/>
  <c r="I53" i="35" s="1"/>
  <c r="I54" i="35" s="1"/>
  <c r="B34" i="29" l="1"/>
  <c r="D25" i="29"/>
  <c r="G25" i="29" s="1"/>
  <c r="D29" i="29" s="1"/>
  <c r="G29" i="29" s="1"/>
  <c r="D34" i="29" s="1"/>
  <c r="I62" i="32"/>
  <c r="AE54" i="56"/>
  <c r="R47" i="56"/>
  <c r="R44" i="56"/>
  <c r="T30" i="68"/>
  <c r="E67" i="56"/>
  <c r="AE58" i="56"/>
  <c r="AE18" i="56"/>
  <c r="V29" i="57"/>
  <c r="X29" i="57" s="1"/>
  <c r="F35" i="56"/>
  <c r="Y26" i="62"/>
  <c r="H32" i="63"/>
  <c r="K32" i="63" s="1"/>
  <c r="U32" i="63"/>
  <c r="X32" i="63" s="1"/>
  <c r="Z32" i="63" s="1"/>
  <c r="AB32" i="63" s="1"/>
  <c r="U31" i="63"/>
  <c r="AI25" i="62"/>
  <c r="AL25" i="62" s="1"/>
  <c r="AC47" i="56"/>
  <c r="AE27" i="56"/>
  <c r="AH27" i="56" s="1"/>
  <c r="AJ27" i="56" s="1"/>
  <c r="AL27" i="56" s="1"/>
  <c r="U29" i="56"/>
  <c r="W29" i="56" s="1"/>
  <c r="P49" i="56"/>
  <c r="R49" i="56" s="1"/>
  <c r="AF29" i="57"/>
  <c r="AI29" i="57" s="1"/>
  <c r="AK29" i="57" s="1"/>
  <c r="AF35" i="56"/>
  <c r="AE40" i="56"/>
  <c r="AL22" i="56"/>
  <c r="S59" i="56"/>
  <c r="U59" i="56" s="1"/>
  <c r="S35" i="56"/>
  <c r="M31" i="57"/>
  <c r="AE29" i="56"/>
  <c r="AH29" i="56" s="1"/>
  <c r="M30" i="63"/>
  <c r="W30" i="62"/>
  <c r="Y30" i="62" s="1"/>
  <c r="AA30" i="62" s="1"/>
  <c r="AE25" i="56"/>
  <c r="AH25" i="56" s="1"/>
  <c r="AJ25" i="56" s="1"/>
  <c r="AP45" i="68"/>
  <c r="Z30" i="57"/>
  <c r="M29" i="57"/>
  <c r="D60" i="69"/>
  <c r="I4" i="70"/>
  <c r="AP60" i="68"/>
  <c r="Y32" i="56"/>
  <c r="AA31" i="68"/>
  <c r="L46" i="68"/>
  <c r="L30" i="68"/>
  <c r="L40" i="68"/>
  <c r="L36" i="68"/>
  <c r="L31" i="68"/>
  <c r="L26" i="68"/>
  <c r="L28" i="68"/>
  <c r="L24" i="68"/>
  <c r="L32" i="68"/>
  <c r="L33" i="68"/>
  <c r="L23" i="68"/>
  <c r="L27" i="68"/>
  <c r="J56" i="68"/>
  <c r="L56" i="68" s="1"/>
  <c r="L38" i="68"/>
  <c r="L42" i="68"/>
  <c r="L29" i="68"/>
  <c r="L44" i="68"/>
  <c r="J48" i="68"/>
  <c r="L48" i="68" s="1"/>
  <c r="J50" i="68"/>
  <c r="L50" i="68" s="1"/>
  <c r="I29" i="70"/>
  <c r="U56" i="13"/>
  <c r="V56" i="13" s="1"/>
  <c r="U59" i="13"/>
  <c r="V59" i="13" s="1"/>
  <c r="AM33" i="57"/>
  <c r="AZ57" i="57"/>
  <c r="AP26" i="68"/>
  <c r="AA26" i="68"/>
  <c r="AA28" i="62"/>
  <c r="L36" i="62"/>
  <c r="L24" i="62"/>
  <c r="AP28" i="62"/>
  <c r="AP59" i="62"/>
  <c r="L46" i="62"/>
  <c r="L42" i="62"/>
  <c r="AA24" i="62"/>
  <c r="AA31" i="62"/>
  <c r="AP42" i="62"/>
  <c r="L32" i="62"/>
  <c r="L28" i="62"/>
  <c r="AP24" i="62"/>
  <c r="AP26" i="62"/>
  <c r="L40" i="62"/>
  <c r="AA25" i="62"/>
  <c r="AA32" i="62"/>
  <c r="AP44" i="62"/>
  <c r="AP27" i="62"/>
  <c r="L30" i="62"/>
  <c r="L23" i="62"/>
  <c r="AA33" i="62"/>
  <c r="AM32" i="57"/>
  <c r="Y22" i="56"/>
  <c r="M23" i="57"/>
  <c r="H18" i="13"/>
  <c r="Q18" i="13"/>
  <c r="R18" i="13" s="1"/>
  <c r="H60" i="13"/>
  <c r="R60" i="13"/>
  <c r="H19" i="13"/>
  <c r="Q19" i="13"/>
  <c r="R19" i="13" s="1"/>
  <c r="H47" i="13"/>
  <c r="R47" i="13"/>
  <c r="H61" i="13"/>
  <c r="H20" i="13"/>
  <c r="Q20" i="13"/>
  <c r="R20" i="13" s="1"/>
  <c r="H34" i="13"/>
  <c r="H62" i="13"/>
  <c r="H23" i="13"/>
  <c r="R23" i="13"/>
  <c r="H35" i="13"/>
  <c r="R35" i="13"/>
  <c r="H51" i="13"/>
  <c r="H63" i="13"/>
  <c r="H24" i="13"/>
  <c r="R24" i="13"/>
  <c r="H36" i="13"/>
  <c r="R36" i="13"/>
  <c r="U54" i="13"/>
  <c r="V54" i="13" s="1"/>
  <c r="H64" i="13"/>
  <c r="R64" i="13"/>
  <c r="H39" i="13"/>
  <c r="R39" i="13"/>
  <c r="H55" i="13"/>
  <c r="R55" i="13"/>
  <c r="H40" i="13"/>
  <c r="R40" i="13"/>
  <c r="H56" i="13"/>
  <c r="R56" i="13"/>
  <c r="H17" i="13"/>
  <c r="Q17" i="13"/>
  <c r="R17" i="13" s="1"/>
  <c r="H29" i="13"/>
  <c r="R29" i="13"/>
  <c r="H43" i="13"/>
  <c r="H59" i="13"/>
  <c r="R59" i="13"/>
  <c r="E28" i="17"/>
  <c r="U30" i="13"/>
  <c r="V30" i="13" s="1"/>
  <c r="H54" i="13"/>
  <c r="U17" i="13"/>
  <c r="V17" i="13" s="1"/>
  <c r="H16" i="13"/>
  <c r="AB29" i="63"/>
  <c r="M32" i="63"/>
  <c r="AB30" i="63"/>
  <c r="M29" i="63"/>
  <c r="AP59" i="68"/>
  <c r="M25" i="63"/>
  <c r="AB33" i="63"/>
  <c r="V27" i="13"/>
  <c r="H26" i="13"/>
  <c r="U31" i="13"/>
  <c r="V31" i="13" s="1"/>
  <c r="H30" i="13"/>
  <c r="U44" i="13"/>
  <c r="V44" i="13" s="1"/>
  <c r="H44" i="13"/>
  <c r="U18" i="13"/>
  <c r="V18" i="13" s="1"/>
  <c r="H33" i="13"/>
  <c r="R33" i="13" s="1"/>
  <c r="U26" i="13"/>
  <c r="V26" i="13" s="1"/>
  <c r="H25" i="13"/>
  <c r="H49" i="13"/>
  <c r="U61" i="13"/>
  <c r="V61" i="13" s="1"/>
  <c r="E23" i="17"/>
  <c r="AA33" i="68"/>
  <c r="L22" i="56"/>
  <c r="AP24" i="68"/>
  <c r="R43" i="13"/>
  <c r="AA24" i="68"/>
  <c r="AP28" i="68"/>
  <c r="L31" i="56"/>
  <c r="AP58" i="68"/>
  <c r="E38" i="17"/>
  <c r="U60" i="13"/>
  <c r="V60" i="13" s="1"/>
  <c r="E14" i="17"/>
  <c r="AA27" i="68"/>
  <c r="E45" i="17"/>
  <c r="AP27" i="68"/>
  <c r="E17" i="17"/>
  <c r="AA32" i="68"/>
  <c r="AP44" i="68"/>
  <c r="AZ24" i="57"/>
  <c r="M26" i="57"/>
  <c r="Z31" i="57"/>
  <c r="AZ32" i="57"/>
  <c r="AB35" i="63"/>
  <c r="M57" i="63"/>
  <c r="W25" i="61" s="1"/>
  <c r="M25" i="57"/>
  <c r="M36" i="63"/>
  <c r="M34" i="63"/>
  <c r="AB34" i="63"/>
  <c r="M35" i="63"/>
  <c r="AM25" i="57"/>
  <c r="AM26" i="57"/>
  <c r="M27" i="63"/>
  <c r="AQ25" i="63"/>
  <c r="M44" i="63"/>
  <c r="AQ27" i="63"/>
  <c r="M33" i="63"/>
  <c r="M49" i="63"/>
  <c r="Z23" i="57"/>
  <c r="M33" i="57"/>
  <c r="Z34" i="57"/>
  <c r="M24" i="57"/>
  <c r="Z25" i="57"/>
  <c r="Z26" i="57"/>
  <c r="M35" i="57"/>
  <c r="Z29" i="57"/>
  <c r="Z24" i="57"/>
  <c r="M32" i="57"/>
  <c r="AZ33" i="57"/>
  <c r="AM28" i="57"/>
  <c r="AZ25" i="57"/>
  <c r="AZ26" i="57"/>
  <c r="M34" i="57"/>
  <c r="AM23" i="57"/>
  <c r="AM29" i="57"/>
  <c r="M30" i="57"/>
  <c r="AZ42" i="57"/>
  <c r="Z32" i="57"/>
  <c r="AM57" i="57"/>
  <c r="U55" i="13"/>
  <c r="V55" i="13" s="1"/>
  <c r="U39" i="13"/>
  <c r="V39" i="13" s="1"/>
  <c r="U20" i="13"/>
  <c r="V20" i="13" s="1"/>
  <c r="U36" i="13"/>
  <c r="V36" i="13" s="1"/>
  <c r="U21" i="13"/>
  <c r="V21" i="13" s="1"/>
  <c r="U34" i="13"/>
  <c r="V34" i="13" s="1"/>
  <c r="E21" i="17"/>
  <c r="E10" i="17"/>
  <c r="E33" i="17"/>
  <c r="E40" i="17"/>
  <c r="I21" i="24"/>
  <c r="J21" i="24" s="1"/>
  <c r="K21" i="24"/>
  <c r="AA27" i="62"/>
  <c r="U39" i="56"/>
  <c r="W39" i="56" s="1"/>
  <c r="Y39" i="56" s="1"/>
  <c r="S39" i="56"/>
  <c r="H37" i="63"/>
  <c r="H54" i="63" s="1"/>
  <c r="U17" i="61" s="1"/>
  <c r="K28" i="63"/>
  <c r="U47" i="13"/>
  <c r="V47" i="13" s="1"/>
  <c r="I30" i="24"/>
  <c r="J30" i="24" s="1"/>
  <c r="J27" i="62"/>
  <c r="L27" i="62" s="1"/>
  <c r="L25" i="62"/>
  <c r="AH53" i="56"/>
  <c r="AJ53" i="56" s="1"/>
  <c r="AL53" i="56" s="1"/>
  <c r="AF53" i="56"/>
  <c r="AJ31" i="56"/>
  <c r="AL31" i="56" s="1"/>
  <c r="AF59" i="56"/>
  <c r="AH59" i="56" s="1"/>
  <c r="H27" i="57"/>
  <c r="S27" i="57"/>
  <c r="E28" i="57"/>
  <c r="AI31" i="57"/>
  <c r="AK31" i="57" s="1"/>
  <c r="AM31" i="57" s="1"/>
  <c r="AS31" i="57"/>
  <c r="AV31" i="57" s="1"/>
  <c r="AX31" i="57" s="1"/>
  <c r="AZ31" i="57" s="1"/>
  <c r="AJ29" i="56"/>
  <c r="AL29" i="56" s="1"/>
  <c r="W28" i="56"/>
  <c r="Y28" i="56" s="1"/>
  <c r="AZ23" i="57"/>
  <c r="Z27" i="63"/>
  <c r="AB27" i="63" s="1"/>
  <c r="AP60" i="62"/>
  <c r="AN61" i="62"/>
  <c r="AN64" i="62" s="1"/>
  <c r="E28" i="58"/>
  <c r="E32" i="58" s="1"/>
  <c r="F32" i="58" s="1"/>
  <c r="D24" i="58"/>
  <c r="F24" i="58" s="1"/>
  <c r="U62" i="13"/>
  <c r="V62" i="13" s="1"/>
  <c r="AP41" i="62"/>
  <c r="AN42" i="68"/>
  <c r="AP42" i="68" s="1"/>
  <c r="AE26" i="56"/>
  <c r="AH26" i="56" s="1"/>
  <c r="U27" i="56"/>
  <c r="U35" i="56" s="1"/>
  <c r="U63" i="13"/>
  <c r="V63" i="13" s="1"/>
  <c r="AN25" i="62"/>
  <c r="AL29" i="62"/>
  <c r="AL32" i="62" s="1"/>
  <c r="R51" i="56"/>
  <c r="X57" i="57"/>
  <c r="Z57" i="57" s="1"/>
  <c r="T57" i="57"/>
  <c r="R58" i="57"/>
  <c r="AF69" i="56"/>
  <c r="AH69" i="56"/>
  <c r="AJ69" i="56" s="1"/>
  <c r="AL69" i="56" s="1"/>
  <c r="AI38" i="57"/>
  <c r="AK38" i="57" s="1"/>
  <c r="AM38" i="57" s="1"/>
  <c r="AG38" i="57"/>
  <c r="AV38" i="57"/>
  <c r="AX38" i="57" s="1"/>
  <c r="AZ38" i="57" s="1"/>
  <c r="AT38" i="57"/>
  <c r="AT51" i="57" s="1"/>
  <c r="AS29" i="57"/>
  <c r="AF30" i="57"/>
  <c r="AI30" i="57" s="1"/>
  <c r="AK30" i="57" s="1"/>
  <c r="AM30" i="57" s="1"/>
  <c r="E44" i="56"/>
  <c r="AJ33" i="56"/>
  <c r="AL33" i="56" s="1"/>
  <c r="AJ34" i="56"/>
  <c r="AL34" i="56" s="1"/>
  <c r="W33" i="56"/>
  <c r="Y33" i="56" s="1"/>
  <c r="W25" i="56"/>
  <c r="Y25" i="56" s="1"/>
  <c r="AS28" i="57"/>
  <c r="AV28" i="57" s="1"/>
  <c r="AX28" i="57" s="1"/>
  <c r="AZ28" i="57" s="1"/>
  <c r="AL29" i="68"/>
  <c r="AL32" i="68" s="1"/>
  <c r="T32" i="67" s="1"/>
  <c r="AJ28" i="56"/>
  <c r="AL28" i="56" s="1"/>
  <c r="AC48" i="56"/>
  <c r="AE48" i="56" s="1"/>
  <c r="AC41" i="56"/>
  <c r="AE41" i="56" s="1"/>
  <c r="AE44" i="56" s="1"/>
  <c r="AL23" i="56"/>
  <c r="J27" i="56"/>
  <c r="L27" i="56" s="1"/>
  <c r="F57" i="57"/>
  <c r="K57" i="57"/>
  <c r="M57" i="57" s="1"/>
  <c r="D58" i="57"/>
  <c r="L25" i="56"/>
  <c r="L33" i="56"/>
  <c r="U19" i="13"/>
  <c r="V19" i="13" s="1"/>
  <c r="U37" i="13"/>
  <c r="V37" i="13" s="1"/>
  <c r="U52" i="13"/>
  <c r="V52" i="13" s="1"/>
  <c r="U64" i="13"/>
  <c r="V64" i="13" s="1"/>
  <c r="U49" i="13"/>
  <c r="V49" i="13" s="1"/>
  <c r="U69" i="56"/>
  <c r="W69" i="56" s="1"/>
  <c r="Y69" i="56" s="1"/>
  <c r="S69" i="56"/>
  <c r="W32" i="63"/>
  <c r="AL61" i="68"/>
  <c r="AL64" i="68" s="1"/>
  <c r="C54" i="56"/>
  <c r="E54" i="56" s="1"/>
  <c r="E58" i="56" s="1"/>
  <c r="AJ24" i="56"/>
  <c r="AL24" i="56" s="1"/>
  <c r="J30" i="56"/>
  <c r="L30" i="56" s="1"/>
  <c r="R54" i="56"/>
  <c r="R58" i="56" s="1"/>
  <c r="R67" i="56"/>
  <c r="E25" i="68"/>
  <c r="F50" i="62"/>
  <c r="H38" i="62"/>
  <c r="J38" i="62" s="1"/>
  <c r="L38" i="62" s="1"/>
  <c r="AB26" i="63"/>
  <c r="Y24" i="56"/>
  <c r="V33" i="57"/>
  <c r="X33" i="57" s="1"/>
  <c r="Z33" i="57" s="1"/>
  <c r="F40" i="63"/>
  <c r="F54" i="63" s="1"/>
  <c r="C47" i="56"/>
  <c r="E18" i="56"/>
  <c r="H63" i="56" s="1"/>
  <c r="J63" i="56" s="1"/>
  <c r="L63" i="56" s="1"/>
  <c r="J23" i="56"/>
  <c r="L23" i="56" s="1"/>
  <c r="AE30" i="56"/>
  <c r="AH30" i="56" s="1"/>
  <c r="J32" i="56"/>
  <c r="L32" i="56" s="1"/>
  <c r="H31" i="62"/>
  <c r="J31" i="62" s="1"/>
  <c r="L31" i="62" s="1"/>
  <c r="AE67" i="56"/>
  <c r="AF46" i="57"/>
  <c r="AL61" i="62"/>
  <c r="AL64" i="62" s="1"/>
  <c r="W26" i="56"/>
  <c r="Y26" i="56" s="1"/>
  <c r="J29" i="56"/>
  <c r="L29" i="56" s="1"/>
  <c r="W30" i="56"/>
  <c r="Y30" i="56" s="1"/>
  <c r="J34" i="56"/>
  <c r="L34" i="56" s="1"/>
  <c r="AM24" i="57"/>
  <c r="AQ26" i="63"/>
  <c r="AO28" i="63"/>
  <c r="AO31" i="63" s="1"/>
  <c r="AP41" i="68"/>
  <c r="H46" i="68"/>
  <c r="J46" i="68" s="1"/>
  <c r="D61" i="69"/>
  <c r="U35" i="13"/>
  <c r="V35" i="13" s="1"/>
  <c r="W23" i="56"/>
  <c r="Y23" i="56" s="1"/>
  <c r="J28" i="56"/>
  <c r="L28" i="56" s="1"/>
  <c r="AJ32" i="56"/>
  <c r="AL32" i="56" s="1"/>
  <c r="W34" i="56"/>
  <c r="Y34" i="56" s="1"/>
  <c r="H38" i="68"/>
  <c r="J38" i="68" s="1"/>
  <c r="E21" i="69"/>
  <c r="U25" i="61"/>
  <c r="L26" i="56"/>
  <c r="AN29" i="68"/>
  <c r="AN32" i="68" s="1"/>
  <c r="X23" i="55"/>
  <c r="X36" i="55" s="1"/>
  <c r="J24" i="56"/>
  <c r="L24" i="56" s="1"/>
  <c r="AN61" i="68"/>
  <c r="AN64" i="68" s="1"/>
  <c r="W31" i="56"/>
  <c r="Y31" i="56" s="1"/>
  <c r="G37" i="32"/>
  <c r="D41" i="32" s="1"/>
  <c r="G25" i="23" s="1"/>
  <c r="E37" i="29"/>
  <c r="E36" i="29"/>
  <c r="U51" i="13"/>
  <c r="V51" i="13" s="1"/>
  <c r="U25" i="13"/>
  <c r="V25" i="13" s="1"/>
  <c r="U43" i="13"/>
  <c r="V43" i="13" s="1"/>
  <c r="R51" i="13"/>
  <c r="U40" i="13"/>
  <c r="V40" i="13" s="1"/>
  <c r="U24" i="13"/>
  <c r="V24" i="13" s="1"/>
  <c r="V30" i="68" l="1"/>
  <c r="W30" i="68"/>
  <c r="Y30" i="68" s="1"/>
  <c r="AA30" i="68" s="1"/>
  <c r="AL25" i="56"/>
  <c r="J34" i="62"/>
  <c r="J53" i="62" s="1"/>
  <c r="AA26" i="62"/>
  <c r="AC49" i="56"/>
  <c r="AE49" i="56" s="1"/>
  <c r="AE47" i="56"/>
  <c r="AE51" i="56" s="1"/>
  <c r="AH35" i="56"/>
  <c r="Y29" i="56"/>
  <c r="T29" i="68"/>
  <c r="X31" i="63"/>
  <c r="T29" i="62"/>
  <c r="D26" i="29"/>
  <c r="G26" i="29" s="1"/>
  <c r="D30" i="29" s="1"/>
  <c r="C35" i="29" s="1"/>
  <c r="R49" i="13"/>
  <c r="H41" i="58"/>
  <c r="AP61" i="62"/>
  <c r="AP64" i="62" s="1"/>
  <c r="R54" i="13"/>
  <c r="H30" i="64"/>
  <c r="H36" i="69"/>
  <c r="AP61" i="68"/>
  <c r="AP64" i="68" s="1"/>
  <c r="V28" i="67" s="1"/>
  <c r="Y28" i="67" s="1"/>
  <c r="AQ28" i="63"/>
  <c r="AQ31" i="63" s="1"/>
  <c r="F25" i="64" s="1"/>
  <c r="J25" i="64" s="1"/>
  <c r="AP29" i="68"/>
  <c r="AP32" i="68" s="1"/>
  <c r="V32" i="67" s="1"/>
  <c r="F29" i="69" s="1"/>
  <c r="J29" i="69" s="1"/>
  <c r="R25" i="13"/>
  <c r="R44" i="13"/>
  <c r="R26" i="13"/>
  <c r="R62" i="13"/>
  <c r="Q16" i="13"/>
  <c r="R16" i="13" s="1"/>
  <c r="R61" i="13"/>
  <c r="R30" i="13"/>
  <c r="R34" i="13"/>
  <c r="R63" i="13"/>
  <c r="L34" i="62"/>
  <c r="L53" i="62" s="1"/>
  <c r="L35" i="56"/>
  <c r="AH39" i="56"/>
  <c r="AJ39" i="56" s="1"/>
  <c r="AL39" i="56" s="1"/>
  <c r="AF39" i="56"/>
  <c r="T25" i="67"/>
  <c r="T28" i="67"/>
  <c r="S28" i="57"/>
  <c r="V28" i="57" s="1"/>
  <c r="X28" i="57" s="1"/>
  <c r="Z28" i="57" s="1"/>
  <c r="H28" i="57"/>
  <c r="K28" i="57" s="1"/>
  <c r="M28" i="57" s="1"/>
  <c r="K37" i="63"/>
  <c r="K54" i="63" s="1"/>
  <c r="M28" i="63"/>
  <c r="M37" i="63" s="1"/>
  <c r="M54" i="63" s="1"/>
  <c r="S63" i="56"/>
  <c r="U63" i="56"/>
  <c r="W63" i="56" s="1"/>
  <c r="Y63" i="56" s="1"/>
  <c r="AF27" i="57"/>
  <c r="V27" i="57"/>
  <c r="C49" i="56"/>
  <c r="E49" i="56" s="1"/>
  <c r="E47" i="56"/>
  <c r="E51" i="56" s="1"/>
  <c r="S53" i="56"/>
  <c r="U53" i="56"/>
  <c r="W53" i="56" s="1"/>
  <c r="Y53" i="56" s="1"/>
  <c r="F63" i="56"/>
  <c r="K27" i="57"/>
  <c r="K58" i="57"/>
  <c r="M58" i="57" s="1"/>
  <c r="G58" i="57"/>
  <c r="H34" i="62"/>
  <c r="H53" i="62" s="1"/>
  <c r="F28" i="58"/>
  <c r="AJ30" i="56"/>
  <c r="AL30" i="56" s="1"/>
  <c r="H25" i="68"/>
  <c r="T25" i="68"/>
  <c r="W25" i="68" s="1"/>
  <c r="J35" i="56"/>
  <c r="F39" i="56"/>
  <c r="H39" i="56"/>
  <c r="W27" i="56"/>
  <c r="W35" i="56" s="1"/>
  <c r="AH63" i="56"/>
  <c r="AJ63" i="56" s="1"/>
  <c r="AL63" i="56" s="1"/>
  <c r="AF63" i="56"/>
  <c r="AN29" i="62"/>
  <c r="AN32" i="62" s="1"/>
  <c r="AP25" i="62"/>
  <c r="AP29" i="62" s="1"/>
  <c r="AP32" i="62" s="1"/>
  <c r="AG42" i="57"/>
  <c r="AG51" i="57" s="1"/>
  <c r="AI42" i="57"/>
  <c r="AK42" i="57" s="1"/>
  <c r="AM42" i="57" s="1"/>
  <c r="S46" i="56"/>
  <c r="U46" i="56"/>
  <c r="W46" i="56" s="1"/>
  <c r="Y46" i="56" s="1"/>
  <c r="AJ26" i="56"/>
  <c r="H69" i="56"/>
  <c r="J69" i="56" s="1"/>
  <c r="L69" i="56" s="1"/>
  <c r="F69" i="56"/>
  <c r="F59" i="56"/>
  <c r="H59" i="56" s="1"/>
  <c r="H53" i="56"/>
  <c r="J53" i="56" s="1"/>
  <c r="L53" i="56" s="1"/>
  <c r="F53" i="56"/>
  <c r="AS30" i="57"/>
  <c r="AV30" i="57" s="1"/>
  <c r="AX30" i="57" s="1"/>
  <c r="AZ30" i="57" s="1"/>
  <c r="AV29" i="57"/>
  <c r="AX29" i="57" s="1"/>
  <c r="AZ29" i="57" s="1"/>
  <c r="X58" i="57"/>
  <c r="Z58" i="57" s="1"/>
  <c r="U58" i="57"/>
  <c r="D38" i="32"/>
  <c r="G22" i="23" s="1"/>
  <c r="G41" i="32"/>
  <c r="D20" i="27" s="1"/>
  <c r="S75" i="56" l="1"/>
  <c r="AF46" i="56"/>
  <c r="AF75" i="56" s="1"/>
  <c r="AH46" i="56"/>
  <c r="AJ46" i="56" s="1"/>
  <c r="AL46" i="56" s="1"/>
  <c r="W75" i="56"/>
  <c r="AI43" i="62"/>
  <c r="AL43" i="62" s="1"/>
  <c r="W29" i="62"/>
  <c r="Y27" i="56"/>
  <c r="Y35" i="56" s="1"/>
  <c r="Y75" i="56" s="1"/>
  <c r="X30" i="55" s="1"/>
  <c r="U75" i="56"/>
  <c r="U30" i="55" s="1"/>
  <c r="Z31" i="63"/>
  <c r="X36" i="63"/>
  <c r="X39" i="63" s="1"/>
  <c r="U19" i="61" s="1"/>
  <c r="AJ35" i="56"/>
  <c r="AI43" i="68"/>
  <c r="AL43" i="68" s="1"/>
  <c r="W29" i="68"/>
  <c r="Y29" i="68" s="1"/>
  <c r="AA29" i="68" s="1"/>
  <c r="G30" i="29"/>
  <c r="D31" i="29" s="1"/>
  <c r="W21" i="61"/>
  <c r="I75" i="32"/>
  <c r="I76" i="32" s="1"/>
  <c r="V25" i="67"/>
  <c r="F27" i="69" s="1"/>
  <c r="J27" i="69" s="1"/>
  <c r="Y32" i="67"/>
  <c r="J25" i="68"/>
  <c r="L25" i="68" s="1"/>
  <c r="H34" i="68"/>
  <c r="H53" i="68" s="1"/>
  <c r="W34" i="68"/>
  <c r="W37" i="68" s="1"/>
  <c r="T17" i="67" s="1"/>
  <c r="Y25" i="68"/>
  <c r="M27" i="57"/>
  <c r="M36" i="57" s="1"/>
  <c r="M51" i="57" s="1"/>
  <c r="K36" i="57"/>
  <c r="K51" i="57" s="1"/>
  <c r="X27" i="57"/>
  <c r="V36" i="57"/>
  <c r="V51" i="57" s="1"/>
  <c r="U49" i="55" s="1"/>
  <c r="G38" i="32"/>
  <c r="H22" i="23" s="1"/>
  <c r="J39" i="56"/>
  <c r="L39" i="56" s="1"/>
  <c r="H36" i="57"/>
  <c r="AI27" i="57"/>
  <c r="AS27" i="57"/>
  <c r="AV27" i="57" s="1"/>
  <c r="F33" i="58"/>
  <c r="F34" i="58" s="1"/>
  <c r="R20" i="27"/>
  <c r="S20" i="27"/>
  <c r="F46" i="56"/>
  <c r="F75" i="56" s="1"/>
  <c r="H46" i="56"/>
  <c r="J46" i="56" s="1"/>
  <c r="L46" i="56" s="1"/>
  <c r="AL26" i="56"/>
  <c r="AL35" i="56" s="1"/>
  <c r="AL75" i="56" s="1"/>
  <c r="X31" i="55" s="1"/>
  <c r="H28" i="58" s="1"/>
  <c r="H34" i="58" s="1"/>
  <c r="J34" i="58" s="1"/>
  <c r="AH75" i="56"/>
  <c r="U31" i="55" s="1"/>
  <c r="AJ75" i="56"/>
  <c r="F21" i="64"/>
  <c r="J21" i="64" s="1"/>
  <c r="W17" i="61"/>
  <c r="O20" i="27"/>
  <c r="I20" i="27"/>
  <c r="G20" i="27"/>
  <c r="P20" i="27"/>
  <c r="L20" i="27"/>
  <c r="J20" i="27"/>
  <c r="N20" i="27"/>
  <c r="M20" i="27"/>
  <c r="Q20" i="27"/>
  <c r="K20" i="27"/>
  <c r="Y29" i="62" l="1"/>
  <c r="W34" i="62"/>
  <c r="W37" i="62" s="1"/>
  <c r="AN43" i="68"/>
  <c r="AL46" i="68"/>
  <c r="AL49" i="68" s="1"/>
  <c r="AN43" i="62"/>
  <c r="AL46" i="62"/>
  <c r="AL49" i="62" s="1"/>
  <c r="Z36" i="63"/>
  <c r="Z39" i="63" s="1"/>
  <c r="AB31" i="63"/>
  <c r="AB36" i="63" s="1"/>
  <c r="AB39" i="63" s="1"/>
  <c r="D35" i="29"/>
  <c r="I78" i="32"/>
  <c r="I77" i="32"/>
  <c r="H92" i="32" s="1"/>
  <c r="H93" i="32" s="1"/>
  <c r="G20" i="35"/>
  <c r="Y25" i="67"/>
  <c r="AX27" i="57"/>
  <c r="AV34" i="57"/>
  <c r="AV51" i="57" s="1"/>
  <c r="U20" i="55" s="1"/>
  <c r="AK27" i="57"/>
  <c r="AI34" i="57"/>
  <c r="AI51" i="57" s="1"/>
  <c r="U18" i="55" s="1"/>
  <c r="U19" i="55" s="1"/>
  <c r="X48" i="55"/>
  <c r="X47" i="55"/>
  <c r="X41" i="55" s="1"/>
  <c r="X36" i="57"/>
  <c r="X51" i="57" s="1"/>
  <c r="Z27" i="57"/>
  <c r="Z36" i="57" s="1"/>
  <c r="Z51" i="57" s="1"/>
  <c r="X49" i="55" s="1"/>
  <c r="H36" i="58" s="1"/>
  <c r="J36" i="58" s="1"/>
  <c r="H51" i="57"/>
  <c r="J36" i="57"/>
  <c r="L75" i="56"/>
  <c r="X29" i="55" s="1"/>
  <c r="AA25" i="68"/>
  <c r="AA34" i="68" s="1"/>
  <c r="AA37" i="68" s="1"/>
  <c r="V17" i="67" s="1"/>
  <c r="Y34" i="68"/>
  <c r="Y37" i="68" s="1"/>
  <c r="J75" i="56"/>
  <c r="H75" i="56"/>
  <c r="U29" i="55" s="1"/>
  <c r="J28" i="58"/>
  <c r="T15" i="67"/>
  <c r="L34" i="68"/>
  <c r="J34" i="68"/>
  <c r="J53" i="68" s="1"/>
  <c r="AP43" i="62" l="1"/>
  <c r="AP46" i="62" s="1"/>
  <c r="AP49" i="62" s="1"/>
  <c r="AN46" i="62"/>
  <c r="AN49" i="62" s="1"/>
  <c r="W19" i="61"/>
  <c r="F23" i="64"/>
  <c r="J23" i="64" s="1"/>
  <c r="J32" i="64" s="1"/>
  <c r="J36" i="64" s="1"/>
  <c r="T19" i="67"/>
  <c r="T22" i="67"/>
  <c r="AA29" i="62"/>
  <c r="AA34" i="62" s="1"/>
  <c r="AA37" i="62" s="1"/>
  <c r="Y34" i="62"/>
  <c r="Y37" i="62" s="1"/>
  <c r="AP43" i="68"/>
  <c r="AP46" i="68" s="1"/>
  <c r="AP49" i="68" s="1"/>
  <c r="AN46" i="68"/>
  <c r="AN49" i="68" s="1"/>
  <c r="F56" i="62"/>
  <c r="H95" i="32"/>
  <c r="I81" i="32"/>
  <c r="I82" i="32" s="1"/>
  <c r="I83" i="32" s="1"/>
  <c r="H94" i="32"/>
  <c r="I93" i="32" s="1"/>
  <c r="E20" i="27" s="1"/>
  <c r="H20" i="27" s="1"/>
  <c r="H32" i="64"/>
  <c r="L53" i="68"/>
  <c r="F56" i="68" s="1"/>
  <c r="C21" i="27"/>
  <c r="G42" i="32"/>
  <c r="D43" i="32" s="1"/>
  <c r="J42" i="64"/>
  <c r="J45" i="64" s="1"/>
  <c r="J47" i="64" s="1"/>
  <c r="J49" i="64" s="1"/>
  <c r="H24" i="58"/>
  <c r="J24" i="58" s="1"/>
  <c r="H25" i="58"/>
  <c r="J25" i="58" s="1"/>
  <c r="J37" i="64"/>
  <c r="H36" i="64"/>
  <c r="AM27" i="57"/>
  <c r="AM34" i="57" s="1"/>
  <c r="AM51" i="57" s="1"/>
  <c r="X18" i="55" s="1"/>
  <c r="AK34" i="57"/>
  <c r="AK51" i="57" s="1"/>
  <c r="Y17" i="67"/>
  <c r="F23" i="69"/>
  <c r="J23" i="69" s="1"/>
  <c r="U47" i="55"/>
  <c r="U41" i="55" s="1"/>
  <c r="U48" i="55"/>
  <c r="J65" i="57"/>
  <c r="AZ27" i="57"/>
  <c r="AZ34" i="57" s="1"/>
  <c r="AZ51" i="57" s="1"/>
  <c r="X20" i="55" s="1"/>
  <c r="AX34" i="57"/>
  <c r="AX51" i="57" s="1"/>
  <c r="I85" i="32" l="1"/>
  <c r="I86" i="32" s="1"/>
  <c r="I87" i="32" s="1"/>
  <c r="V22" i="67"/>
  <c r="Y22" i="67" s="1"/>
  <c r="V19" i="67"/>
  <c r="C14" i="29"/>
  <c r="C15" i="29" s="1"/>
  <c r="C16" i="29" s="1"/>
  <c r="C17" i="29" s="1"/>
  <c r="J54" i="64"/>
  <c r="J55" i="64" s="1"/>
  <c r="V15" i="67"/>
  <c r="H25" i="23"/>
  <c r="D21" i="27"/>
  <c r="N21" i="27" s="1"/>
  <c r="G21" i="35"/>
  <c r="D25" i="35" s="1"/>
  <c r="J43" i="58"/>
  <c r="J45" i="58" s="1"/>
  <c r="J48" i="58" s="1"/>
  <c r="J38" i="64"/>
  <c r="H38" i="64" s="1"/>
  <c r="H37" i="64"/>
  <c r="I92" i="32" l="1"/>
  <c r="E21" i="27" s="1"/>
  <c r="E22" i="27" s="1"/>
  <c r="F25" i="69"/>
  <c r="J25" i="69" s="1"/>
  <c r="Y19" i="67"/>
  <c r="Q21" i="27"/>
  <c r="G21" i="27"/>
  <c r="S21" i="27"/>
  <c r="O21" i="27"/>
  <c r="R21" i="27"/>
  <c r="P21" i="27"/>
  <c r="J21" i="27"/>
  <c r="J58" i="64"/>
  <c r="J60" i="64" s="1"/>
  <c r="J63" i="64" s="1"/>
  <c r="H63" i="64" s="1"/>
  <c r="F21" i="69"/>
  <c r="J21" i="69" s="1"/>
  <c r="Y15" i="67"/>
  <c r="Y36" i="67" s="1"/>
  <c r="D24" i="35"/>
  <c r="H43" i="58"/>
  <c r="J57" i="58"/>
  <c r="J58" i="58" s="1"/>
  <c r="H48" i="58"/>
  <c r="J50" i="58"/>
  <c r="K21" i="27"/>
  <c r="I21" i="27"/>
  <c r="H21" i="27"/>
  <c r="I94" i="32" l="1"/>
  <c r="J94" i="32" s="1"/>
  <c r="J95" i="32" s="1"/>
  <c r="L21" i="27"/>
  <c r="M21" i="27"/>
  <c r="J38" i="69"/>
  <c r="H38" i="69" s="1"/>
  <c r="J64" i="64"/>
  <c r="J65" i="64" s="1"/>
  <c r="H65" i="64" s="1"/>
  <c r="G27" i="23"/>
  <c r="D51" i="35"/>
  <c r="E51" i="35" s="1"/>
  <c r="D49" i="35"/>
  <c r="E49" i="35" s="1"/>
  <c r="D46" i="35"/>
  <c r="E46" i="35" s="1"/>
  <c r="H54" i="35"/>
  <c r="H35" i="35"/>
  <c r="J30" i="35"/>
  <c r="H40" i="35"/>
  <c r="H48" i="35"/>
  <c r="H47" i="35"/>
  <c r="E54" i="35"/>
  <c r="H42" i="35"/>
  <c r="D37" i="35"/>
  <c r="E37" i="35" s="1"/>
  <c r="J53" i="35"/>
  <c r="D41" i="35"/>
  <c r="C54" i="35"/>
  <c r="J29" i="35"/>
  <c r="J50" i="35"/>
  <c r="D43" i="35"/>
  <c r="E43" i="35" s="1"/>
  <c r="J33" i="35"/>
  <c r="J47" i="35"/>
  <c r="J48" i="35"/>
  <c r="D34" i="35"/>
  <c r="E34" i="35" s="1"/>
  <c r="D48" i="35"/>
  <c r="E48" i="35" s="1"/>
  <c r="D29" i="35"/>
  <c r="E29" i="35" s="1"/>
  <c r="D35" i="35"/>
  <c r="E35" i="35" s="1"/>
  <c r="H53" i="35"/>
  <c r="J51" i="35"/>
  <c r="J45" i="35"/>
  <c r="J52" i="35"/>
  <c r="J35" i="35"/>
  <c r="H49" i="35"/>
  <c r="H50" i="35"/>
  <c r="D42" i="35"/>
  <c r="E42" i="35" s="1"/>
  <c r="H36" i="35"/>
  <c r="H33" i="35"/>
  <c r="D36" i="35"/>
  <c r="E36" i="35" s="1"/>
  <c r="E53" i="35"/>
  <c r="H46" i="35"/>
  <c r="H37" i="35"/>
  <c r="H30" i="35"/>
  <c r="J38" i="35"/>
  <c r="D38" i="35"/>
  <c r="E38" i="35" s="1"/>
  <c r="J46" i="35"/>
  <c r="J37" i="35"/>
  <c r="J31" i="35"/>
  <c r="D44" i="35"/>
  <c r="E44" i="35" s="1"/>
  <c r="C53" i="35"/>
  <c r="D33" i="35"/>
  <c r="E33" i="35" s="1"/>
  <c r="D40" i="35"/>
  <c r="E40" i="35" s="1"/>
  <c r="H51" i="35"/>
  <c r="H39" i="35"/>
  <c r="J39" i="35"/>
  <c r="D30" i="35"/>
  <c r="E30" i="35" s="1"/>
  <c r="D39" i="35"/>
  <c r="E39" i="35" s="1"/>
  <c r="H45" i="35"/>
  <c r="H38" i="35"/>
  <c r="J54" i="35"/>
  <c r="H41" i="35"/>
  <c r="D31" i="35"/>
  <c r="E31" i="35" s="1"/>
  <c r="J42" i="35"/>
  <c r="J40" i="35"/>
  <c r="H31" i="35"/>
  <c r="J32" i="35"/>
  <c r="J34" i="35"/>
  <c r="H34" i="35"/>
  <c r="D47" i="35"/>
  <c r="H44" i="35"/>
  <c r="J36" i="35"/>
  <c r="H32" i="35"/>
  <c r="D52" i="35"/>
  <c r="D45" i="35"/>
  <c r="E45" i="35" s="1"/>
  <c r="J41" i="35"/>
  <c r="J43" i="35"/>
  <c r="D32" i="35"/>
  <c r="E32" i="35" s="1"/>
  <c r="J49" i="35"/>
  <c r="H29" i="35"/>
  <c r="J44" i="35"/>
  <c r="H52" i="35"/>
  <c r="H43" i="35"/>
  <c r="D50" i="35"/>
  <c r="J52" i="58"/>
  <c r="J61" i="58" s="1"/>
  <c r="J65" i="58" s="1"/>
  <c r="H65" i="58" s="1"/>
  <c r="I95" i="32" l="1"/>
  <c r="J48" i="69"/>
  <c r="J51" i="69" s="1"/>
  <c r="J60" i="69" s="1"/>
  <c r="J61" i="69" s="1"/>
  <c r="J42" i="69"/>
  <c r="H42" i="69" s="1"/>
  <c r="J43" i="69"/>
  <c r="H43" i="69" s="1"/>
  <c r="B52" i="35"/>
  <c r="C52" i="35" s="1"/>
  <c r="H64" i="64"/>
  <c r="J53" i="69"/>
  <c r="J55" i="69" s="1"/>
  <c r="J64" i="69" s="1"/>
  <c r="J66" i="69" s="1"/>
  <c r="J69" i="69" s="1"/>
  <c r="J70" i="69" s="1"/>
  <c r="B50" i="35"/>
  <c r="C50" i="35" s="1"/>
  <c r="B42" i="35"/>
  <c r="C42" i="35" s="1"/>
  <c r="B47" i="35"/>
  <c r="C47" i="35" s="1"/>
  <c r="E41" i="35"/>
  <c r="B43" i="35"/>
  <c r="C43" i="35" s="1"/>
  <c r="B35" i="35"/>
  <c r="C35" i="35" s="1"/>
  <c r="B38" i="35"/>
  <c r="C38" i="35" s="1"/>
  <c r="B41" i="35"/>
  <c r="C41" i="35" s="1"/>
  <c r="B44" i="35"/>
  <c r="C44" i="35" s="1"/>
  <c r="E47" i="35"/>
  <c r="B40" i="35"/>
  <c r="C40" i="35" s="1"/>
  <c r="B32" i="35"/>
  <c r="C32" i="35" s="1"/>
  <c r="B39" i="35"/>
  <c r="C39" i="35" s="1"/>
  <c r="B49" i="35"/>
  <c r="C49" i="35" s="1"/>
  <c r="B36" i="35"/>
  <c r="C36" i="35" s="1"/>
  <c r="B37" i="35"/>
  <c r="C37" i="35" s="1"/>
  <c r="B33" i="35"/>
  <c r="C33" i="35" s="1"/>
  <c r="B48" i="35"/>
  <c r="C48" i="35" s="1"/>
  <c r="B31" i="35"/>
  <c r="C31" i="35" s="1"/>
  <c r="B45" i="35"/>
  <c r="C45" i="35" s="1"/>
  <c r="B51" i="35"/>
  <c r="C51" i="35" s="1"/>
  <c r="E50" i="35"/>
  <c r="B46" i="35"/>
  <c r="C46" i="35" s="1"/>
  <c r="E52" i="35"/>
  <c r="B34" i="35"/>
  <c r="C34" i="35" s="1"/>
  <c r="B30" i="35"/>
  <c r="C30" i="35" s="1"/>
  <c r="B29" i="35"/>
  <c r="C29" i="35" s="1"/>
  <c r="J44" i="69" l="1"/>
  <c r="H44" i="69" s="1"/>
  <c r="H69" i="69"/>
  <c r="J71" i="69"/>
  <c r="H71" i="69" s="1"/>
  <c r="H70" i="6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tc={C0CB949B-D0D7-460A-B8B5-07E891C19104}</author>
  </authors>
  <commentList>
    <comment ref="A128" authorId="0" shapeId="0" xr:uid="{C0CB949B-D0D7-460A-B8B5-07E891C19104}">
      <text>
        <t>[Threaded comment]
Your version of Excel allows you to read this threaded comment; however, any edits to it will get removed if the file is opened in a newer version of Excel. Learn more: https://go.microsoft.com/fwlink/?linkid=870924
Comment:
    Refer to Table 2 BER Building Cost Index 2019Q1Report.</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phumzile.dlamini</author>
    <author>Karabo Thebe</author>
  </authors>
  <commentList>
    <comment ref="B48" authorId="0" shapeId="0" xr:uid="{00000000-0006-0000-1100-000001000000}">
      <text>
        <r>
          <rPr>
            <b/>
            <sz val="12"/>
            <color indexed="81"/>
            <rFont val="Tahoma"/>
            <family val="2"/>
          </rPr>
          <t>Indices in line with base date of  rates (jan 2012)</t>
        </r>
        <r>
          <rPr>
            <sz val="8"/>
            <color indexed="81"/>
            <rFont val="Tahoma"/>
            <family val="2"/>
          </rPr>
          <t xml:space="preserve">
</t>
        </r>
      </text>
    </comment>
    <comment ref="E50" authorId="1" shapeId="0" xr:uid="{DA5CA20F-16E9-4EC8-918F-729F2DEC53AA}">
      <text>
        <r>
          <rPr>
            <b/>
            <sz val="9"/>
            <color indexed="81"/>
            <rFont val="Tahoma"/>
            <charset val="1"/>
          </rPr>
          <t>Karabo Thebe:</t>
        </r>
        <r>
          <rPr>
            <sz val="9"/>
            <color indexed="81"/>
            <rFont val="Tahoma"/>
            <charset val="1"/>
          </rPr>
          <t xml:space="preserve">
metal increase of CPI 5% assumed since 2016</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Fortune.Zondi</author>
  </authors>
  <commentList>
    <comment ref="C3" authorId="0" shapeId="0" xr:uid="{9B4B0066-CF67-4F07-85F6-CD5A09283838}">
      <text>
        <r>
          <rPr>
            <b/>
            <sz val="9"/>
            <color indexed="81"/>
            <rFont val="Tahoma"/>
            <family val="2"/>
          </rPr>
          <t>Fortune.Zondi:</t>
        </r>
        <r>
          <rPr>
            <sz val="9"/>
            <color indexed="81"/>
            <rFont val="Tahoma"/>
            <family val="2"/>
          </rPr>
          <t xml:space="preserve">
Planned start dates as per project charter or business case</t>
        </r>
      </text>
    </comment>
    <comment ref="D3" authorId="0" shapeId="0" xr:uid="{2CF77143-8483-4F5B-B5B5-306127D03866}">
      <text>
        <r>
          <rPr>
            <b/>
            <sz val="9"/>
            <color indexed="81"/>
            <rFont val="Tahoma"/>
            <family val="2"/>
          </rPr>
          <t>Fortune.Zondi:</t>
        </r>
        <r>
          <rPr>
            <sz val="9"/>
            <color indexed="81"/>
            <rFont val="Tahoma"/>
            <family val="2"/>
          </rPr>
          <t xml:space="preserve">
If the milestone has been achieved, then it's an actual date that must be indicated. If not yet achieved then it's the forecast date.</t>
        </r>
      </text>
    </comment>
    <comment ref="E3" authorId="0" shapeId="0" xr:uid="{C64CEFC1-BCFB-402C-B441-A8D2C5C42431}">
      <text>
        <r>
          <rPr>
            <b/>
            <sz val="9"/>
            <color indexed="81"/>
            <rFont val="Tahoma"/>
            <family val="2"/>
          </rPr>
          <t>Fortune.Zondi:</t>
        </r>
        <r>
          <rPr>
            <sz val="9"/>
            <color indexed="81"/>
            <rFont val="Tahoma"/>
            <family val="2"/>
          </rPr>
          <t xml:space="preserve">
Variance between planned date and actual/forecast date. This must be in months</t>
        </r>
      </text>
    </comment>
    <comment ref="F3" authorId="0" shapeId="0" xr:uid="{B64C1262-7610-4D61-A245-D991A2855688}">
      <text>
        <r>
          <rPr>
            <b/>
            <sz val="9"/>
            <color indexed="81"/>
            <rFont val="Tahoma"/>
            <family val="2"/>
          </rPr>
          <t>Fortune.Zondi:</t>
        </r>
        <r>
          <rPr>
            <sz val="9"/>
            <color indexed="81"/>
            <rFont val="Tahoma"/>
            <family val="2"/>
          </rPr>
          <t xml:space="preserve">
Planned end dates as per project charter or business case</t>
        </r>
      </text>
    </comment>
    <comment ref="G3" authorId="0" shapeId="0" xr:uid="{8D52408B-CBAF-4E4D-BCBF-27950CF7AB5E}">
      <text>
        <r>
          <rPr>
            <b/>
            <sz val="9"/>
            <color indexed="81"/>
            <rFont val="Tahoma"/>
            <family val="2"/>
          </rPr>
          <t>Fortune.Zondi:</t>
        </r>
        <r>
          <rPr>
            <sz val="9"/>
            <color indexed="81"/>
            <rFont val="Tahoma"/>
            <family val="2"/>
          </rPr>
          <t xml:space="preserve">
If the milestone has been achieved, then it's an actual date that must be indicated. If not yet achieved then it's the forecast date.</t>
        </r>
      </text>
    </comment>
    <comment ref="H3" authorId="0" shapeId="0" xr:uid="{708343D7-A917-431D-869D-DA41F01BCACC}">
      <text>
        <r>
          <rPr>
            <b/>
            <sz val="9"/>
            <color indexed="81"/>
            <rFont val="Tahoma"/>
            <family val="2"/>
          </rPr>
          <t>Fortune.Zondi:</t>
        </r>
        <r>
          <rPr>
            <sz val="9"/>
            <color indexed="81"/>
            <rFont val="Tahoma"/>
            <family val="2"/>
          </rPr>
          <t xml:space="preserve">
</t>
        </r>
      </text>
    </comment>
    <comment ref="A4" authorId="0" shapeId="0" xr:uid="{E6B53658-2199-4F98-9655-32BD2F9567D1}">
      <text>
        <r>
          <rPr>
            <b/>
            <sz val="9"/>
            <color indexed="81"/>
            <rFont val="Tahoma"/>
            <family val="2"/>
          </rPr>
          <t>Fortune.Zondi:</t>
        </r>
        <r>
          <rPr>
            <sz val="9"/>
            <color indexed="81"/>
            <rFont val="Tahoma"/>
            <family val="2"/>
          </rPr>
          <t xml:space="preserve">
If applicable</t>
        </r>
      </text>
    </comment>
    <comment ref="A23" authorId="0" shapeId="0" xr:uid="{6848E6C1-5625-4875-AF5C-0CE399FE3433}">
      <text>
        <r>
          <rPr>
            <b/>
            <sz val="9"/>
            <color indexed="81"/>
            <rFont val="Tahoma"/>
            <family val="2"/>
          </rPr>
          <t>Fortune.Zondi:</t>
        </r>
        <r>
          <rPr>
            <sz val="9"/>
            <color indexed="81"/>
            <rFont val="Tahoma"/>
            <family val="2"/>
          </rPr>
          <t xml:space="preserve">
Or Supplier</t>
        </r>
      </text>
    </comment>
    <comment ref="B39" authorId="0" shapeId="0" xr:uid="{9BE6A60E-E628-4EB3-A9ED-16763F1FF7ED}">
      <text>
        <r>
          <rPr>
            <sz val="9"/>
            <color indexed="81"/>
            <rFont val="Tahoma"/>
            <family val="2"/>
          </rPr>
          <t>SNR MANAGER PER SITE/ AIRPORT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Auret.vLille</author>
  </authors>
  <commentList>
    <comment ref="Q29" authorId="0" shapeId="0" xr:uid="{00000000-0006-0000-1900-000001000000}">
      <text>
        <r>
          <rPr>
            <b/>
            <sz val="9"/>
            <color indexed="81"/>
            <rFont val="Tahoma"/>
            <family val="2"/>
          </rPr>
          <t>Auret.tvLille:</t>
        </r>
        <r>
          <rPr>
            <sz val="9"/>
            <color indexed="81"/>
            <rFont val="Tahoma"/>
            <family val="2"/>
          </rPr>
          <t xml:space="preserve">
Change here</t>
        </r>
      </text>
    </comment>
    <comment ref="R29" authorId="0" shapeId="0" xr:uid="{00000000-0006-0000-1900-000002000000}">
      <text>
        <r>
          <rPr>
            <b/>
            <sz val="9"/>
            <color indexed="81"/>
            <rFont val="Tahoma"/>
            <family val="2"/>
          </rPr>
          <t>Auret.tvLille:
Change here</t>
        </r>
      </text>
    </comment>
    <comment ref="Q30" authorId="0" shapeId="0" xr:uid="{00000000-0006-0000-1900-000003000000}">
      <text>
        <r>
          <rPr>
            <sz val="9"/>
            <color indexed="81"/>
            <rFont val="Tahoma"/>
            <family val="2"/>
          </rPr>
          <t>Auret.tvLille:
Change here</t>
        </r>
      </text>
    </comment>
    <comment ref="R30" authorId="0" shapeId="0" xr:uid="{00000000-0006-0000-1900-000004000000}">
      <text>
        <r>
          <rPr>
            <b/>
            <sz val="9"/>
            <color indexed="81"/>
            <rFont val="Tahoma"/>
            <family val="2"/>
          </rPr>
          <t>Auret.tvLille:
Change here</t>
        </r>
      </text>
    </comment>
    <comment ref="Q31" authorId="0" shapeId="0" xr:uid="{00000000-0006-0000-1900-000005000000}">
      <text>
        <r>
          <rPr>
            <b/>
            <sz val="9"/>
            <color indexed="81"/>
            <rFont val="Tahoma"/>
            <family val="2"/>
          </rPr>
          <t>Auret.tvLille:
Change here</t>
        </r>
      </text>
    </comment>
    <comment ref="R31" authorId="0" shapeId="0" xr:uid="{00000000-0006-0000-1900-000006000000}">
      <text>
        <r>
          <rPr>
            <b/>
            <sz val="9"/>
            <color indexed="81"/>
            <rFont val="Tahoma"/>
            <family val="2"/>
          </rPr>
          <t>Auret.tvLille:
Change here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Auret.vLille</author>
  </authors>
  <commentList>
    <comment ref="B25" authorId="0" shapeId="0" xr:uid="{00000000-0006-0000-1B00-000001000000}">
      <text>
        <r>
          <rPr>
            <b/>
            <sz val="9"/>
            <color indexed="81"/>
            <rFont val="Tahoma"/>
            <family val="2"/>
          </rPr>
          <t>Auret.vLille:</t>
        </r>
        <r>
          <rPr>
            <sz val="9"/>
            <color indexed="81"/>
            <rFont val="Tahoma"/>
            <family val="2"/>
          </rPr>
          <t xml:space="preserve">
BTB = Bitumen Treated Base</t>
        </r>
      </text>
    </comment>
    <comment ref="P25" authorId="0" shapeId="0" xr:uid="{00000000-0006-0000-1B00-000002000000}">
      <text>
        <r>
          <rPr>
            <b/>
            <sz val="9"/>
            <color indexed="81"/>
            <rFont val="Tahoma"/>
            <family val="2"/>
          </rPr>
          <t>Auret.vLille:</t>
        </r>
        <r>
          <rPr>
            <sz val="9"/>
            <color indexed="81"/>
            <rFont val="Tahoma"/>
            <family val="2"/>
          </rPr>
          <t xml:space="preserve">
BTB = Bitumen Treated Base</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<sst xmlns="http://schemas.openxmlformats.org/spreadsheetml/2006/main" count="8127" uniqueCount="3486">
  <si>
    <t>The guide presents some essentail</t>
  </si>
  <si>
    <t>information for the purposes of a project estimating for the permission.</t>
  </si>
  <si>
    <t>The rates are based on January 2019. BER Building Cost Report, 2019Q1.</t>
  </si>
  <si>
    <t>Project Life Cycle:</t>
  </si>
  <si>
    <t>Page 1</t>
  </si>
  <si>
    <t>User Notes</t>
  </si>
  <si>
    <t>Page 2</t>
  </si>
  <si>
    <t>Escalation</t>
  </si>
  <si>
    <t>Page 3</t>
  </si>
  <si>
    <t>Trend anaylsis</t>
  </si>
  <si>
    <t>Page 4</t>
  </si>
  <si>
    <t>New Building Works</t>
  </si>
  <si>
    <t>Assumptions &amp; Allowances</t>
  </si>
  <si>
    <t>Page 5</t>
  </si>
  <si>
    <t>Cost Rates Summary</t>
  </si>
  <si>
    <t>Page 6</t>
  </si>
  <si>
    <t>Building Reburbishment</t>
  </si>
  <si>
    <t>Page 7</t>
  </si>
  <si>
    <t>Page 8</t>
  </si>
  <si>
    <t>Civil Rehabilitation</t>
  </si>
  <si>
    <t>Page 9</t>
  </si>
  <si>
    <t>Page 10</t>
  </si>
  <si>
    <t>Rate Build Up Tool</t>
  </si>
  <si>
    <t>Page 11</t>
  </si>
  <si>
    <t>Ground Floor Construction</t>
  </si>
  <si>
    <t>Page 12</t>
  </si>
  <si>
    <t>Project Estimate</t>
  </si>
  <si>
    <t>Project Summary</t>
  </si>
  <si>
    <t>Page 13</t>
  </si>
  <si>
    <t>Estimate Example</t>
  </si>
  <si>
    <t>Page 14</t>
  </si>
  <si>
    <t>Cashflow</t>
  </si>
  <si>
    <t>Page 15</t>
  </si>
  <si>
    <t xml:space="preserve">Cost Programming </t>
  </si>
  <si>
    <t>Page 16</t>
  </si>
  <si>
    <t>Indices</t>
  </si>
  <si>
    <t>Page 17</t>
  </si>
  <si>
    <t>Master Apron Stands</t>
  </si>
  <si>
    <t>Page 18</t>
  </si>
  <si>
    <t>Code C,E &amp; F Stands</t>
  </si>
  <si>
    <t>Page 19</t>
  </si>
  <si>
    <t>Code F, C Taxilane &amp; Service Roads</t>
  </si>
  <si>
    <t>Page 20</t>
  </si>
  <si>
    <t>Sample Estimate</t>
  </si>
  <si>
    <t>Page 21</t>
  </si>
  <si>
    <t>ICAO Tables (Taxiway)</t>
  </si>
  <si>
    <t>Page 22</t>
  </si>
  <si>
    <t>Sketches (Taxiway)</t>
  </si>
  <si>
    <t>Page 23</t>
  </si>
  <si>
    <t>Master Taxiways</t>
  </si>
  <si>
    <t>Page 24</t>
  </si>
  <si>
    <t>Code F Taxiways</t>
  </si>
  <si>
    <t>Page 25</t>
  </si>
  <si>
    <t>Code F Runways</t>
  </si>
  <si>
    <t>Page 26</t>
  </si>
  <si>
    <t>Page 27</t>
  </si>
  <si>
    <t>ICAO Tables</t>
  </si>
  <si>
    <t>Page 28</t>
  </si>
  <si>
    <t>Sketches</t>
  </si>
  <si>
    <t>Page 29</t>
  </si>
  <si>
    <t>Master Runways</t>
  </si>
  <si>
    <t>Page 30</t>
  </si>
  <si>
    <t>Page 31</t>
  </si>
  <si>
    <t>Page 32</t>
  </si>
  <si>
    <t>Back to Contents</t>
  </si>
  <si>
    <t>Cost / m2 rates are indicative by their nature.  A detailed an comprehensive excersie is required to get a accurate cost of a building.</t>
  </si>
  <si>
    <t>These rates are however very useful when the exact scope and details of the project are still relatively unknown</t>
  </si>
  <si>
    <t>This is certainly the case when estimating for permission purposes.</t>
  </si>
  <si>
    <t>Estimating Classess:</t>
  </si>
  <si>
    <t>Reference:Estimating Framework</t>
  </si>
  <si>
    <t xml:space="preserve">Care must be taken when using indicative building cost rates.  </t>
  </si>
  <si>
    <t>The following elements must be considered when putting together an estimate:</t>
  </si>
  <si>
    <t>Specification (Weighting of sub- disciplines)</t>
  </si>
  <si>
    <t>Plumbing, electrical and mechanical installations</t>
  </si>
  <si>
    <t>Used primarily to establish and verify viability, initiate financing and obtain approval.</t>
  </si>
  <si>
    <t>IT installations</t>
  </si>
  <si>
    <t>Internal subdivisions</t>
  </si>
  <si>
    <t>Construction areas</t>
  </si>
  <si>
    <t>Site specific conditions ( P + G related)</t>
  </si>
  <si>
    <t>Risks</t>
  </si>
  <si>
    <t>Avertising costs</t>
  </si>
  <si>
    <t>Building rates in the coastal regions exceed those in the heartland . These disparities could be due to:</t>
  </si>
  <si>
    <t>Material cost</t>
  </si>
  <si>
    <t>Labour cost</t>
  </si>
  <si>
    <t>Composition of labour</t>
  </si>
  <si>
    <t>Building methods</t>
  </si>
  <si>
    <t>Competiveness in bidding</t>
  </si>
  <si>
    <t>Productivity</t>
  </si>
  <si>
    <t>FEL 1</t>
  </si>
  <si>
    <t>FEL 2</t>
  </si>
  <si>
    <t>FEL 3a</t>
  </si>
  <si>
    <t>FEL 3b</t>
  </si>
  <si>
    <t>Concept Study</t>
  </si>
  <si>
    <t>Pre-Feasibility</t>
  </si>
  <si>
    <t>Feasibility</t>
  </si>
  <si>
    <t>Control</t>
  </si>
  <si>
    <t>Definitive</t>
  </si>
  <si>
    <t>Order of Magnitude</t>
  </si>
  <si>
    <t>Budgetary</t>
  </si>
  <si>
    <t>Class</t>
  </si>
  <si>
    <t>Class 5</t>
  </si>
  <si>
    <t>Class 2</t>
  </si>
  <si>
    <t>Class 1</t>
  </si>
  <si>
    <t>Eng. Definition</t>
  </si>
  <si>
    <t>&lt;5%</t>
  </si>
  <si>
    <t>Plus %</t>
  </si>
  <si>
    <t>Minus %</t>
  </si>
  <si>
    <t>There are two type of building cost escalation nalmely, pretender and post tender escalation.</t>
  </si>
  <si>
    <t>Post tender escalation makes allowance for any change in material and labour over the contract period.</t>
  </si>
  <si>
    <t>The following indices  make allowance for this type of escalation:</t>
  </si>
  <si>
    <t>Safcec</t>
  </si>
  <si>
    <t>Haylett</t>
  </si>
  <si>
    <t>PPI</t>
  </si>
  <si>
    <t>When the opposite happens, contractors trim thier profit margins to try compete for the few jobs availble in the market.</t>
  </si>
  <si>
    <t>BER indices make allwance for this change in market conditions.</t>
  </si>
  <si>
    <t>6.6</t>
  </si>
  <si>
    <t>2.5</t>
  </si>
  <si>
    <t>6.4</t>
  </si>
  <si>
    <t>5.7</t>
  </si>
  <si>
    <t xml:space="preserve">BER Building Cost Index </t>
  </si>
  <si>
    <t>10.2</t>
  </si>
  <si>
    <t>4.0</t>
  </si>
  <si>
    <r>
      <rPr>
        <b/>
        <sz val="11"/>
        <color theme="0"/>
        <rFont val="Arial"/>
        <family val="2"/>
      </rPr>
      <t>Western Cape</t>
    </r>
    <r>
      <rPr>
        <sz val="11"/>
        <color theme="0"/>
        <rFont val="Arial"/>
        <family val="2"/>
      </rPr>
      <t>: The Western Cape has little mining resources; hence, the regional economy</t>
    </r>
  </si>
  <si>
    <t>grew less rapidly than in the country as a whole during the nineteen seventies and eighties at the time of</t>
  </si>
  <si>
    <t>the gold boom. However, during the nineties, after the transition to democracy, tourism and the services</t>
  </si>
  <si>
    <t>industry flourished in the Western Cape. These positive trends combined to push building costs upward,</t>
  </si>
  <si>
    <t>outstripping the national average in some years by between 5% and 15%.</t>
  </si>
  <si>
    <t>Eastern Cape: Long a region lagging economically, building costs in the Eastern Cape were</t>
  </si>
  <si>
    <t>below the national average for much of the seventies and eighties. However, the economy then expanded</t>
  </si>
  <si>
    <t>because of the new export harbour and other public sector investment projects, and building costs</t>
  </si>
  <si>
    <t>exceeded the nationwide average by between 5% and 15%.</t>
  </si>
  <si>
    <r>
      <rPr>
        <b/>
        <sz val="11"/>
        <color theme="0"/>
        <rFont val="Arial"/>
        <family val="2"/>
      </rPr>
      <t>KwaZulu-Natal</t>
    </r>
    <r>
      <rPr>
        <sz val="11"/>
        <color theme="0"/>
        <rFont val="Arial"/>
        <family val="2"/>
      </rPr>
      <t>: The level of building costs in this region exceeded the nationwide average</t>
    </r>
  </si>
  <si>
    <t>during the eighties and nineties by roughly 5% to 10%, but building rates are currently competitive and</t>
  </si>
  <si>
    <t>even moving below the national average.</t>
  </si>
  <si>
    <r>
      <rPr>
        <b/>
        <sz val="11"/>
        <color theme="0"/>
        <rFont val="Arial"/>
        <family val="2"/>
      </rPr>
      <t>Gauteng</t>
    </r>
    <r>
      <rPr>
        <sz val="11"/>
        <color theme="0"/>
        <rFont val="Arial"/>
        <family val="2"/>
      </rPr>
      <t>: It is evident that building rates in Gauteng exceeded the national average by roughly</t>
    </r>
  </si>
  <si>
    <t>4% to 7% at the time of the eighties gold boom. Thereafter, building rates were below the national</t>
  </si>
  <si>
    <t>average for a long period, varying between -5% and -8%. In recent times, this difference widened with</t>
  </si>
  <si>
    <t>tender prices being about -10% below the norm. However, just lately this margin has declined to -5%.</t>
  </si>
  <si>
    <t>In general, one can conclude that building costs are higher in the coastal regions (especially in the</t>
  </si>
  <si>
    <t>Western Cape and the Eastern Cape) than in the heartland. What could explain these regional</t>
  </si>
  <si>
    <t>disparities in building cost levels? We conducted a survey amongst quantity surveyors to ascertain</t>
  </si>
  <si>
    <t>possible reasons for this finding. The following suggestions were made.</t>
  </si>
  <si>
    <r>
      <rPr>
        <b/>
        <sz val="11"/>
        <color theme="0"/>
        <rFont val="Arial"/>
        <family val="2"/>
      </rPr>
      <t>Materials costs</t>
    </r>
    <r>
      <rPr>
        <sz val="11"/>
        <color theme="0"/>
        <rFont val="Arial"/>
        <family val="2"/>
      </rPr>
      <t>: Most manufacturers of construction materials are situated in Gauteng and transport</t>
    </r>
  </si>
  <si>
    <t>costs to the coastal regions are high. This also implies that savings on transport costs are passed on to</t>
  </si>
  <si>
    <t>clients and consumers in the inland area.</t>
  </si>
  <si>
    <r>
      <rPr>
        <b/>
        <sz val="11"/>
        <color theme="0"/>
        <rFont val="Arial"/>
        <family val="2"/>
      </rPr>
      <t>Labour costs</t>
    </r>
    <r>
      <rPr>
        <sz val="11"/>
        <color theme="0"/>
        <rFont val="Arial"/>
        <family val="2"/>
      </rPr>
      <t>: It is possible that labour costs are higher in the coastal regions than in the inland area.</t>
    </r>
  </si>
  <si>
    <r>
      <rPr>
        <b/>
        <sz val="11"/>
        <color theme="0"/>
        <rFont val="Arial"/>
        <family val="2"/>
      </rPr>
      <t>Composition of labour</t>
    </r>
    <r>
      <rPr>
        <sz val="11"/>
        <color theme="0"/>
        <rFont val="Arial"/>
        <family val="2"/>
      </rPr>
      <t>: It is possible that proportionately more (lower-paid) unskilled labour is</t>
    </r>
  </si>
  <si>
    <t>employed in the inland region than in the coastal areas.</t>
  </si>
  <si>
    <r>
      <rPr>
        <b/>
        <sz val="11"/>
        <color theme="0"/>
        <rFont val="Arial"/>
        <family val="2"/>
      </rPr>
      <t>Building methods</t>
    </r>
    <r>
      <rPr>
        <sz val="11"/>
        <color theme="0"/>
        <rFont val="Arial"/>
        <family val="2"/>
      </rPr>
      <t>: These may vary on a regional basis. For example, due to adverse weather conditions</t>
    </r>
  </si>
  <si>
    <t>at the coast more robust (and more expensive) building techniques are required (e.g. cavity walls</t>
  </si>
  <si>
    <t>compared to one-brick walls; aluminium windows; copper water heaters to combat rust at the coast).</t>
  </si>
  <si>
    <r>
      <rPr>
        <b/>
        <sz val="11"/>
        <color theme="0"/>
        <rFont val="Arial"/>
        <family val="2"/>
      </rPr>
      <t>Competitiveness in bidding</t>
    </r>
    <r>
      <rPr>
        <sz val="11"/>
        <color theme="0"/>
        <rFont val="Arial"/>
        <family val="2"/>
      </rPr>
      <t>: Differences in the workloads of building contractors may account for</t>
    </r>
  </si>
  <si>
    <t>some of the differences in tender prices. Furthermore, the existence of oligopolies in the supplies of,</t>
  </si>
  <si>
    <t>inter alia, sand, stone, steel, cement, etc. can bring about regional price differentials.</t>
  </si>
  <si>
    <r>
      <rPr>
        <b/>
        <sz val="11"/>
        <color theme="0"/>
        <rFont val="Arial"/>
        <family val="2"/>
      </rPr>
      <t>Productivity</t>
    </r>
    <r>
      <rPr>
        <sz val="11"/>
        <color theme="0"/>
        <rFont val="Arial"/>
        <family val="2"/>
      </rPr>
      <t>: Adverse weather conditions may prevail from time to time. For example, in the Cape</t>
    </r>
  </si>
  <si>
    <t>Town and Port Elizabeth regions construction cranes are sometimes unable to operate because of</t>
  </si>
  <si>
    <t>inclement weather and high wind velocities.</t>
  </si>
  <si>
    <t>Reference:Meduim-Term Forecasting Associates-Fourth Quarter 2018</t>
  </si>
  <si>
    <t xml:space="preserve">CONTRACTOR'S P&amp;G ALLOWANCES </t>
  </si>
  <si>
    <t>General building works in Greenfield environment</t>
  </si>
  <si>
    <t>Large building works in operational environment</t>
  </si>
  <si>
    <t>Small building works in operational environment</t>
  </si>
  <si>
    <t>Civil New Works</t>
  </si>
  <si>
    <t>Mechanical and Engineering Works</t>
  </si>
  <si>
    <t xml:space="preserve">CONSULTANT REMUNERATION (incl. Disbursements, Supervision, Tenant Co-ord) </t>
  </si>
  <si>
    <t>Building Works</t>
  </si>
  <si>
    <t>R0 - R25mil</t>
  </si>
  <si>
    <t>Civil Works</t>
  </si>
  <si>
    <t>incl. disbursements &amp; supervision</t>
  </si>
  <si>
    <t>R25 - R50mil</t>
  </si>
  <si>
    <t>R50 - R100mil</t>
  </si>
  <si>
    <t>incl. disbursements, supervision, QS &amp; PM</t>
  </si>
  <si>
    <t>R100mil+</t>
  </si>
  <si>
    <t>Small Civil Works</t>
  </si>
  <si>
    <t>Note : Add 1% to above for alteration projects</t>
  </si>
  <si>
    <t>CONTINGENCY ALLOWANCE</t>
  </si>
  <si>
    <t>ACSA DIRECT COSTS</t>
  </si>
  <si>
    <t>R0 - R50mil</t>
  </si>
  <si>
    <t xml:space="preserve">Insurance (Professional Indemnity, Public Liability, Construction Works) </t>
  </si>
  <si>
    <t>of project cost</t>
  </si>
  <si>
    <t>0.4%-3%</t>
  </si>
  <si>
    <t>0.6% - 1.2%</t>
  </si>
  <si>
    <t>Other (Operational accommodation, security access control,etc)</t>
  </si>
  <si>
    <t>Landside projects</t>
  </si>
  <si>
    <t>Airside projects</t>
  </si>
  <si>
    <t>BER Index</t>
  </si>
  <si>
    <t>Base Date</t>
  </si>
  <si>
    <t>Current Date</t>
  </si>
  <si>
    <t>TURNOUT FACTORS</t>
  </si>
  <si>
    <t>NOMINAL PRE-ESCALATION TURNOUT RATE</t>
  </si>
  <si>
    <t xml:space="preserve"> </t>
  </si>
  <si>
    <t>Below rates exclude P&amp;G, Sundry costs, Contingency, Esclation &amp; Fees</t>
  </si>
  <si>
    <t>Pure indicative guideline, can vary per region, type of construction, consultant involvement, information risk profile, direct costs. (Below are high-level for order-of-magnitude estimates only)</t>
  </si>
  <si>
    <t>Rates excluding Escalation</t>
  </si>
  <si>
    <t>ELEMENT</t>
  </si>
  <si>
    <t>UNIT</t>
  </si>
  <si>
    <t>Base Date Jan 2009 (ZAR)</t>
  </si>
  <si>
    <t>Base Date  July 2013 (ZAR)</t>
  </si>
  <si>
    <t>Base Date November 2017 (ZAR)</t>
  </si>
  <si>
    <t>P&amp;G</t>
  </si>
  <si>
    <t>SUNDRY DEVELOPMENT COSTS (1% Landside, 2% Airside)</t>
  </si>
  <si>
    <t>Contingency</t>
  </si>
  <si>
    <t>Fees</t>
  </si>
  <si>
    <t>Nominal Rate</t>
  </si>
  <si>
    <t>Check</t>
  </si>
  <si>
    <t>Concrete apron stands inclusive of stormwater, sleeves, fire water, electrical, fuel (average stand rate)</t>
  </si>
  <si>
    <t>m2</t>
  </si>
  <si>
    <t>Miscellaneous hard stand areas (allowance)</t>
  </si>
  <si>
    <t>Nose service Roads (average between high &amp; low traffic roads)</t>
  </si>
  <si>
    <t>Taxilanes and tail service roads</t>
  </si>
  <si>
    <t xml:space="preserve">Staging area (precast block paving) </t>
  </si>
  <si>
    <t>Taxiways including layerworks &amp; edge lighting</t>
  </si>
  <si>
    <t>Taxiway shoulders</t>
  </si>
  <si>
    <t>Taxiway strip</t>
  </si>
  <si>
    <t>Taxiway incl. layerworks &amp; edge lighting</t>
  </si>
  <si>
    <t>m</t>
  </si>
  <si>
    <t>Taxiway shoulders (17.5m both sides)</t>
  </si>
  <si>
    <t>No</t>
  </si>
  <si>
    <t>7 500 - 40 000</t>
  </si>
  <si>
    <t>11328-60414</t>
  </si>
  <si>
    <t>12 574 - 67 060</t>
  </si>
  <si>
    <t>Average rate per meter (25m Code F)</t>
  </si>
  <si>
    <t>Average rate per sq meter (25m Code F)</t>
  </si>
  <si>
    <t xml:space="preserve">New runway, inclusive of sleeves, lights, ILS, etc. </t>
  </si>
  <si>
    <t>Runway shoulders</t>
  </si>
  <si>
    <t>Runway ungraded strip</t>
  </si>
  <si>
    <t>Runway graded strip and Runway End Safety Area (RESA)</t>
  </si>
  <si>
    <t>Optional illumininated signs, stop bars</t>
  </si>
  <si>
    <t>11 328-60 414</t>
  </si>
  <si>
    <t>12 574-67 060</t>
  </si>
  <si>
    <t>EARTHWORKS/ROADWAYS</t>
  </si>
  <si>
    <t>Airside asphalt service roads, inclusive of layerworks, street lights &amp; stormwater</t>
  </si>
  <si>
    <t>At grade access roads ("provincial standard"), including layerworks, stormwater, lights, traffic signals</t>
  </si>
  <si>
    <t>PARKING, EXCLUDES BULK EARTHWORKS</t>
  </si>
  <si>
    <t>bay</t>
  </si>
  <si>
    <t>PERIMETER FENCE/SECURITY GATES</t>
  </si>
  <si>
    <t>no</t>
  </si>
  <si>
    <t>Telescopic air bridges</t>
  </si>
  <si>
    <t>unit</t>
  </si>
  <si>
    <t>ADS (per unit)</t>
  </si>
  <si>
    <t>DOMESTIC TERMINAL BUILDINGS</t>
  </si>
  <si>
    <t>Terminal building refurbishment excluding baggage and X ary machines ( Preliminary)</t>
  </si>
  <si>
    <t>7800-10800</t>
  </si>
  <si>
    <t>11063 - 15319</t>
  </si>
  <si>
    <t>12 279 - 17 004</t>
  </si>
  <si>
    <t>NEW OFFICE BUILDINGS**</t>
  </si>
  <si>
    <t>Low - rise office park development with standard specification</t>
  </si>
  <si>
    <t>14068-17331</t>
  </si>
  <si>
    <t>15 615 - 19 237</t>
  </si>
  <si>
    <t xml:space="preserve">Low - rise office presigious park development </t>
  </si>
  <si>
    <t>12000-13800</t>
  </si>
  <si>
    <t>13 320 - 15 318</t>
  </si>
  <si>
    <t>High - rise tower block with standard specification</t>
  </si>
  <si>
    <t xml:space="preserve">High - rise prestigious tower block </t>
  </si>
  <si>
    <t>15000-17250</t>
  </si>
  <si>
    <t>16 650 - 19 148</t>
  </si>
  <si>
    <t>Conference centres</t>
  </si>
  <si>
    <t>International standard center</t>
  </si>
  <si>
    <t>24900-28640</t>
  </si>
  <si>
    <t>27 639 - 31 790</t>
  </si>
  <si>
    <t>**</t>
  </si>
  <si>
    <t>Note: the rates exclude parking</t>
  </si>
  <si>
    <t>Large building refubishment works in operational environment R50-100mil</t>
  </si>
  <si>
    <t>Small building works in operational environment R0 - R50mil</t>
  </si>
  <si>
    <t>Projects used to assist with Percentages</t>
  </si>
  <si>
    <t xml:space="preserve">ORTIA-Refurbishment of duty free </t>
  </si>
  <si>
    <t>CTIA-Cargo center</t>
  </si>
  <si>
    <t>CTIA- Northern Lounge</t>
  </si>
  <si>
    <t>*Please note that the rates exclude an allowance for the relocation of tenants</t>
  </si>
  <si>
    <t>Major Refurb in Operational Enviroment</t>
  </si>
  <si>
    <t>Below rates exclude Turnout Factors [P&amp;G, Sundry costs, Contingency, Esclation &amp; Fees]</t>
  </si>
  <si>
    <t xml:space="preserve">Includes removal and replacement of suspended ceilings and bulkheads, flooring, wall finishes, shopfonts, </t>
  </si>
  <si>
    <t>/m2</t>
  </si>
  <si>
    <t>carpentry and joinery , plumbing fittings, services and light fittings</t>
  </si>
  <si>
    <t>Major  Rebubishment in Operational Enviroment-Cosmetic</t>
  </si>
  <si>
    <t>Includes removal and replacement of suspended ceilings and bulkheads, flooring and wall finishes</t>
  </si>
  <si>
    <t>Isolated Small Works</t>
  </si>
  <si>
    <t>carpentry and joinery , plumbing fittings, services ,light fittings,allwance for roof repairs and eternal work</t>
  </si>
  <si>
    <t>Isolated Small Works- Cosmentic</t>
  </si>
  <si>
    <t>Offices- Major Refubishment</t>
  </si>
  <si>
    <t>carpentry and joinery , plumbing fittings, services  and light fittings,</t>
  </si>
  <si>
    <t>Offices-Cosmetic Refubishment</t>
  </si>
  <si>
    <t>Warehouse- Major Refurbishment</t>
  </si>
  <si>
    <t xml:space="preserve">Includes removal and replacement of flooring, painting of soffits and walls, plumbing,servies , </t>
  </si>
  <si>
    <t>light fittings and an allowance for the removal and replacement of carpentry and joinery</t>
  </si>
  <si>
    <t>Warehouse- Cosmetic Refubishment</t>
  </si>
  <si>
    <t>Includes removal and replacement of  flooring, painting of soffits and walls</t>
  </si>
  <si>
    <t>Parking Major Refurbishment</t>
  </si>
  <si>
    <t>Includes painting to soffits, walls and colums, allowance for removal and replacement of services ,</t>
  </si>
  <si>
    <t>and an allowance for minor concrete repairs</t>
  </si>
  <si>
    <t>Parking Cosmetic Refurbishment</t>
  </si>
  <si>
    <t>Includes painting to soffits, walls and colums</t>
  </si>
  <si>
    <t>Civil Rehab Works</t>
  </si>
  <si>
    <t>10-19%</t>
  </si>
  <si>
    <t>Night Works Allowance</t>
  </si>
  <si>
    <t>5-10%</t>
  </si>
  <si>
    <t>PE- Rehabilitation of secondary runway 17/35</t>
  </si>
  <si>
    <t>KM- Rehabilitation of runways and taxiways</t>
  </si>
  <si>
    <t>Construction</t>
  </si>
  <si>
    <t>Demolition works</t>
  </si>
  <si>
    <t>Breaking up existing pavement layers</t>
  </si>
  <si>
    <t>/m</t>
  </si>
  <si>
    <t>Multi</t>
  </si>
  <si>
    <t>Lenth</t>
  </si>
  <si>
    <t>Width</t>
  </si>
  <si>
    <t>H/D</t>
  </si>
  <si>
    <t>Rate</t>
  </si>
  <si>
    <t>Excavation to reduce level</t>
  </si>
  <si>
    <t>Rip, scarify &amp; compact</t>
  </si>
  <si>
    <t>Add cement stabilizer</t>
  </si>
  <si>
    <t>800mm Interlocker paver</t>
  </si>
  <si>
    <t>Tarmac (Dependent on thickness of surface)</t>
  </si>
  <si>
    <t>Sundries</t>
  </si>
  <si>
    <t>Exclusions</t>
  </si>
  <si>
    <t>Removal of existing surface</t>
  </si>
  <si>
    <t>Kerbs, channels, etc</t>
  </si>
  <si>
    <t>Abnormal &amp; problematic soil conditions</t>
  </si>
  <si>
    <t>Unit</t>
  </si>
  <si>
    <t>Soil Poisining</t>
  </si>
  <si>
    <r>
      <t>/m</t>
    </r>
    <r>
      <rPr>
        <vertAlign val="superscript"/>
        <sz val="11"/>
        <rFont val="Calibri"/>
        <family val="2"/>
        <scheme val="minor"/>
      </rPr>
      <t>2</t>
    </r>
  </si>
  <si>
    <t>Fill</t>
  </si>
  <si>
    <t>DPM</t>
  </si>
  <si>
    <t xml:space="preserve"> /m2</t>
  </si>
  <si>
    <t>Concrete</t>
  </si>
  <si>
    <t>Woodfloat</t>
  </si>
  <si>
    <t>Mesh reinforcement</t>
  </si>
  <si>
    <t>Sawcut joints</t>
  </si>
  <si>
    <t xml:space="preserve"> /m</t>
  </si>
  <si>
    <t>Backing rope</t>
  </si>
  <si>
    <t>Polysulphide sealant</t>
  </si>
  <si>
    <t>Formwork</t>
  </si>
  <si>
    <t>GROUND FLOOR CONSTRUCTION</t>
  </si>
  <si>
    <t>Element/Component</t>
  </si>
  <si>
    <t>Unit Rate</t>
  </si>
  <si>
    <t>Element Rate</t>
  </si>
  <si>
    <t>Surface bed (100mm) Mesh Reinforced</t>
  </si>
  <si>
    <r>
      <t>m</t>
    </r>
    <r>
      <rPr>
        <b/>
        <vertAlign val="superscript"/>
        <sz val="11"/>
        <rFont val="Calibri"/>
        <family val="2"/>
        <scheme val="minor"/>
      </rPr>
      <t>2</t>
    </r>
  </si>
  <si>
    <t>Fill 150mm</t>
  </si>
  <si>
    <t>Compaction</t>
  </si>
  <si>
    <t>Power Float</t>
  </si>
  <si>
    <t>Mesh Ref</t>
  </si>
  <si>
    <t>Sundries @ 5%</t>
  </si>
  <si>
    <t>Surface Bed (125mm) Ramps</t>
  </si>
  <si>
    <t>Surface Bed (125mm)</t>
  </si>
  <si>
    <t>Sawcut Joints</t>
  </si>
  <si>
    <t>Backing Rope</t>
  </si>
  <si>
    <t>Polysulphide Sealant</t>
  </si>
  <si>
    <t>CAPEX PROJECT SUMMARY</t>
  </si>
  <si>
    <t>FILL IN ONLY THE GREEN BOXES</t>
  </si>
  <si>
    <t>Regulatory Category</t>
  </si>
  <si>
    <t>New Capacity</t>
  </si>
  <si>
    <t>Project Programme</t>
  </si>
  <si>
    <t>EIA</t>
  </si>
  <si>
    <t>Start Date</t>
  </si>
  <si>
    <t>End Date</t>
  </si>
  <si>
    <t>Please note that the programme dates and total capital cost boxes; are linked to the programme dates and cost you will be required to fill in on the estimate sheet</t>
  </si>
  <si>
    <t>Design &amp; Construction</t>
  </si>
  <si>
    <t>Total Capital Cost (excluding VAT)</t>
  </si>
  <si>
    <t>Project Description &amp; Motivation</t>
  </si>
  <si>
    <t>Efficiency Consideration/Technology</t>
  </si>
  <si>
    <t>Replacement and Refurbishment</t>
  </si>
  <si>
    <t>Statutory &amp; Compliance</t>
  </si>
  <si>
    <t>COMMERCIALISATION AND INFRASTRUCTURE DEVELOPMENT MANAGEMENT</t>
  </si>
  <si>
    <t>EAM PROJECTS</t>
  </si>
  <si>
    <t>EAS</t>
  </si>
  <si>
    <t>FLEET MANAGEMENT</t>
  </si>
  <si>
    <t>ORACLE NUMBER</t>
  </si>
  <si>
    <t>PROJECT PROTFOLIO MANAGEMENT</t>
  </si>
  <si>
    <t>SECURITY SERVICES MANAGEMENT</t>
  </si>
  <si>
    <t>PROJECT NAME/DESCRIPTION</t>
  </si>
  <si>
    <t>SERVICE DEVELOPMENT MANAGEMENT</t>
  </si>
  <si>
    <t>SITE / AIRPORT</t>
  </si>
  <si>
    <t>CAPE TOWN INTERNATIONAL AIRPORT</t>
  </si>
  <si>
    <t>FUNCTIONAL DIVISION (OWNER)</t>
  </si>
  <si>
    <t>PMO (EXECUTOR)</t>
  </si>
  <si>
    <t>PROJECT MANAGER/ ENGINEER</t>
  </si>
  <si>
    <t xml:space="preserve">PROJECT SCOPE </t>
  </si>
  <si>
    <t xml:space="preserve">PROJECT PROGRAMME </t>
  </si>
  <si>
    <t>Commencement Date (1st of)</t>
  </si>
  <si>
    <t>Concept Design Period</t>
  </si>
  <si>
    <t>Capex Approved</t>
  </si>
  <si>
    <t>Basic Assessment</t>
  </si>
  <si>
    <t>Design Development Period</t>
  </si>
  <si>
    <t>Tender Awarded</t>
  </si>
  <si>
    <t>Construction Period</t>
  </si>
  <si>
    <t>Beginning</t>
  </si>
  <si>
    <t>End</t>
  </si>
  <si>
    <t>%</t>
  </si>
  <si>
    <t>Months</t>
  </si>
  <si>
    <t>Pre Tender Indices (BER)</t>
  </si>
  <si>
    <t>Post Tender Indices( Haylett)</t>
  </si>
  <si>
    <t>PPI Mech &amp; Elec</t>
  </si>
  <si>
    <t xml:space="preserve">PROJECT COST </t>
  </si>
  <si>
    <t>Base Date of  Estimate Rates</t>
  </si>
  <si>
    <t xml:space="preserve">ITEMS </t>
  </si>
  <si>
    <t>QUANTITY</t>
  </si>
  <si>
    <t>UOM</t>
  </si>
  <si>
    <t>RATE</t>
  </si>
  <si>
    <t xml:space="preserve">AMOUNT </t>
  </si>
  <si>
    <t>EIA Process</t>
  </si>
  <si>
    <t>Sum</t>
  </si>
  <si>
    <t>Geotechnical</t>
  </si>
  <si>
    <t>SUB-TOTAL</t>
  </si>
  <si>
    <t>sum</t>
  </si>
  <si>
    <t>Contingencies</t>
  </si>
  <si>
    <t>Proffesional Fees (including Disbursements &amp; supervision) Kick off fees</t>
  </si>
  <si>
    <t>ACSA Umbrella Insurance</t>
  </si>
  <si>
    <t>ACSA Direct Costs (marketing, temp accomodation etc)</t>
  </si>
  <si>
    <t>Foreex Adjustment</t>
  </si>
  <si>
    <t>Pre-Construction Escalation</t>
  </si>
  <si>
    <t>BER</t>
  </si>
  <si>
    <t>If Mechanical /Electrical work in nature change forumlar in cell G79 to E46</t>
  </si>
  <si>
    <t xml:space="preserve">TOTAL PROJECT COST </t>
  </si>
  <si>
    <t>EXCLUSIONS</t>
  </si>
  <si>
    <t>VAT</t>
  </si>
  <si>
    <t>Prof Fees</t>
  </si>
  <si>
    <t>Proff Fees total</t>
  </si>
  <si>
    <t>O R TAMBO INTERNATIONAL AIRPORT</t>
  </si>
  <si>
    <t>KING SHAKA INTERNATIONAL AIRPORT</t>
  </si>
  <si>
    <t>BLOEMFONTEIN AIRPORT</t>
  </si>
  <si>
    <t>EAST LONDON AIRPORT</t>
  </si>
  <si>
    <t>GEORGE AIRPORT</t>
  </si>
  <si>
    <t>PORT ELIZABETH AIRPORT</t>
  </si>
  <si>
    <t>KIMBERLY AIRPORT</t>
  </si>
  <si>
    <t>UPINGTON AIRPORT</t>
  </si>
  <si>
    <t>PROJECTS</t>
  </si>
  <si>
    <t>ENGINEERING PROJECTS</t>
  </si>
  <si>
    <t>MAINTANANCE &amp; ENGINEERING</t>
  </si>
  <si>
    <t>OPERATIONS</t>
  </si>
  <si>
    <t>SECURITY</t>
  </si>
  <si>
    <t>COMMUNICATIONS</t>
  </si>
  <si>
    <t>PROPERTY</t>
  </si>
  <si>
    <t>RETAIL</t>
  </si>
  <si>
    <t>IT</t>
  </si>
  <si>
    <t>OTHER</t>
  </si>
  <si>
    <t>ANNUAL CASH FLOW PER FINACIAL YEAR</t>
  </si>
  <si>
    <t>Tender</t>
  </si>
  <si>
    <t>Compl.</t>
  </si>
  <si>
    <t>Total</t>
  </si>
  <si>
    <t>Kick-off Fees and EIA</t>
  </si>
  <si>
    <t>NOTES</t>
  </si>
  <si>
    <t>1) This spreadsheet is included to provide an indicative cashflow not taking into account any project specific conditions.</t>
  </si>
  <si>
    <t>2) The user is required to adjust the cashflow taking into account the conditions/ environment that surrounds their project.</t>
  </si>
  <si>
    <t>3) The cashflow on this spreadsheet only takes into account the period when contractor takes occupation of the site till project close out</t>
  </si>
  <si>
    <t>GENERIC PROFILE OF A PROJECTS CASHFLOW</t>
  </si>
  <si>
    <t>1) Initial stage:-  R0 profile- allow time for project brief, charter and capex application at the beginning of the project</t>
  </si>
  <si>
    <t xml:space="preserve">2) Planning and design stage:- 20-45% of project capital to be spent at this stage. This stage takes into account that consultants have been appointed to render services to stage 1-3/4. depending on the complexity, </t>
  </si>
  <si>
    <t xml:space="preserve">professional services at hand and whether an EIA/BA will be required, the value spent at this stage will sit between allowed percentage. Please note that for engineering </t>
  </si>
  <si>
    <t xml:space="preserve">projects  at this stage the value is normally higher, engineers and project managers to take cognisance of the project requirements and apply inaccordance. </t>
  </si>
  <si>
    <t>3) Construction stage -the remainder  excluding 5% of the project cost taking into account initial slow start e.g  site establishment then project peak, project plateau and project slow down towards completion</t>
  </si>
  <si>
    <t>4) Close out stage- Release the remining 5% after finalisation of close out report including manuals and as built drawings and  final completion certificate has been issued</t>
  </si>
  <si>
    <t>PROJECTED  CASHFLOW</t>
  </si>
  <si>
    <t>BUILDING WORK</t>
  </si>
  <si>
    <t xml:space="preserve">Contractual commencement date:  </t>
  </si>
  <si>
    <t>Contractual completion date:</t>
  </si>
  <si>
    <t xml:space="preserve">Current Contract Value :              </t>
  </si>
  <si>
    <t>Excluding VAT</t>
  </si>
  <si>
    <t>Contract Period:</t>
  </si>
  <si>
    <t>months</t>
  </si>
  <si>
    <t>ESTIMATED CASHFLOW</t>
  </si>
  <si>
    <t>ACTUAL CASHFLOW</t>
  </si>
  <si>
    <t>Month</t>
  </si>
  <si>
    <t>Monthly</t>
  </si>
  <si>
    <t>Cumulative</t>
  </si>
  <si>
    <t>Project Cost</t>
  </si>
  <si>
    <t>Pre Tender Escalation</t>
  </si>
  <si>
    <t>Post Tender Escalation</t>
  </si>
  <si>
    <t>TOTAL PROJECT COST</t>
  </si>
  <si>
    <t>Estimate Date</t>
  </si>
  <si>
    <t>ACSA PROJECT MANAGEMENT</t>
  </si>
  <si>
    <t>PROJECT BACK-UP INFORMATION-INFRASTRUCTURE</t>
  </si>
  <si>
    <t>INDICES</t>
  </si>
  <si>
    <t>YEAR</t>
  </si>
  <si>
    <t>MONTH</t>
  </si>
  <si>
    <t>DATE</t>
  </si>
  <si>
    <t>MFA BER Pre-Tender Indices</t>
  </si>
  <si>
    <t>MFA HAYLETT Post-Tender Indices</t>
  </si>
  <si>
    <t>179.2**</t>
  </si>
  <si>
    <t>Consultants</t>
  </si>
  <si>
    <t>1.Clearly stipulate the pricing guide/ Gazetteed fees scale as a basis for the fees</t>
  </si>
  <si>
    <t>2. The amount stipulated should be the construction cost excluding indirect costs,i.e insurance, prof fees, etc</t>
  </si>
  <si>
    <t>3. Clearly stipulate whether the price will be fixed or on a percentage basis</t>
  </si>
  <si>
    <t>Checks:</t>
  </si>
  <si>
    <t>1.Calculate the fee per discipline internally to provide guidance on expected fee</t>
  </si>
  <si>
    <t>2. Conduct arithmetic checks and note any errors and their materiality</t>
  </si>
  <si>
    <t>3.Review the range of successful bidders prices to get an understanding of the market prices.Remove the outliers and get an average  price</t>
  </si>
  <si>
    <t>Contractor</t>
  </si>
  <si>
    <t>1.Clearly stipulate the construction grade you require to complete the works</t>
  </si>
  <si>
    <t>2. Verify the BOQ is accurately assembled and error free</t>
  </si>
  <si>
    <t>1. Conduct arithmetic checks and note any errors and their materiality</t>
  </si>
  <si>
    <t>2.Review rates of the successful bidders-check for front loading</t>
  </si>
  <si>
    <t>2.  STANDS, TAXILANES AND SERVICE ROADS</t>
  </si>
  <si>
    <t>2.1 TYPICAL DESIGN CRITERIA &amp; MASTER RATES</t>
  </si>
  <si>
    <t>Measurement</t>
  </si>
  <si>
    <t>a.</t>
  </si>
  <si>
    <t>Distance to Terminal / Obstacle:</t>
  </si>
  <si>
    <t>7.5m</t>
  </si>
  <si>
    <t>Allowance</t>
  </si>
  <si>
    <t xml:space="preserve"> -Estimate</t>
  </si>
  <si>
    <t>b.</t>
  </si>
  <si>
    <t>Nose Service Road:</t>
  </si>
  <si>
    <t>10, 13.5 or 17m</t>
  </si>
  <si>
    <t>• At remote stands typically 10m wide</t>
  </si>
  <si>
    <t>page 4</t>
  </si>
  <si>
    <t>• Low traffic 13.5m</t>
  </si>
  <si>
    <t>• High traffic 17m</t>
  </si>
  <si>
    <t xml:space="preserve">  - Two dedicated Bus lanes 3.5m each</t>
  </si>
  <si>
    <t xml:space="preserve">  - Slow traffic 5m wide each</t>
  </si>
  <si>
    <t>c.</t>
  </si>
  <si>
    <r>
      <t>Manoeuvring Area</t>
    </r>
    <r>
      <rPr>
        <i/>
        <sz val="10"/>
        <rFont val="Calibri"/>
        <family val="2"/>
      </rPr>
      <t xml:space="preserve"> (depending on circumstance)</t>
    </r>
  </si>
  <si>
    <t>0 - 7.5m</t>
  </si>
  <si>
    <t>• For pushback activities</t>
  </si>
  <si>
    <t>d.</t>
  </si>
  <si>
    <t>Aircraft Stands (ICAO parameters)</t>
  </si>
  <si>
    <t>typical aircraft</t>
  </si>
  <si>
    <t>width</t>
  </si>
  <si>
    <t>length</t>
  </si>
  <si>
    <t>• Code F</t>
  </si>
  <si>
    <t>A380, B747 8L</t>
  </si>
  <si>
    <t>page 3</t>
  </si>
  <si>
    <t>• Code E</t>
  </si>
  <si>
    <t>A340, B747, B777</t>
  </si>
  <si>
    <t>• Code C</t>
  </si>
  <si>
    <t>A321, B737, MD90</t>
  </si>
  <si>
    <t>NOTE:</t>
  </si>
  <si>
    <t>Width excludes Wing Tip Clearance, Length excludes service area</t>
  </si>
  <si>
    <t>e.</t>
  </si>
  <si>
    <t xml:space="preserve">MINIMUM Wing Tip Clearances </t>
  </si>
  <si>
    <t>• Code F, E &amp; D</t>
  </si>
  <si>
    <t>f.</t>
  </si>
  <si>
    <r>
      <t xml:space="preserve">Tail Service Road </t>
    </r>
    <r>
      <rPr>
        <i/>
        <sz val="10"/>
        <rFont val="Calibri"/>
        <family val="2"/>
      </rPr>
      <t>- Taxilane rate</t>
    </r>
  </si>
  <si>
    <t>10m</t>
  </si>
  <si>
    <t>g.</t>
  </si>
  <si>
    <t>Taxilane</t>
  </si>
  <si>
    <r>
      <t>Any taxi lane must have centerline clearance to obstacles as follows (</t>
    </r>
    <r>
      <rPr>
        <i/>
        <sz val="10"/>
        <rFont val="Calibri"/>
        <family val="2"/>
      </rPr>
      <t>obstacle clearance on both wings</t>
    </r>
    <r>
      <rPr>
        <sz val="10"/>
        <rFont val="Calibri"/>
        <family val="2"/>
      </rPr>
      <t>):-</t>
    </r>
  </si>
  <si>
    <t>, thus total MAX width</t>
  </si>
  <si>
    <t>• Code B</t>
  </si>
  <si>
    <t>• Code A</t>
  </si>
  <si>
    <t>h.</t>
  </si>
  <si>
    <t>Design Criteria</t>
  </si>
  <si>
    <t>• Tug weight assumption: 60ton with tow (if 72ton then tyre width modification required), towbarless lighter</t>
  </si>
  <si>
    <t>• Estimated lifespan: 20 years (asphalt), 30 years (concrete)</t>
  </si>
  <si>
    <t>• Estimates to include a rough sketch to indicate dimensions assumptions</t>
  </si>
  <si>
    <t>i.</t>
  </si>
  <si>
    <t>Exclusions:-</t>
  </si>
  <si>
    <t>• All Bulk Earthworks, only design layerworks included in above</t>
  </si>
  <si>
    <t>• Extraordinary ground conditions are excluded (coastal / RAS)</t>
  </si>
  <si>
    <t>• Layerwork rates assumed to be imported from commercial sources (review distance)</t>
  </si>
  <si>
    <t>• Bulk services reticulation to stands (Fuel, Stormwater, Water, Electricity, etc.)</t>
  </si>
  <si>
    <t>• Sewer Dump Facility</t>
  </si>
  <si>
    <t>• Anti-pollution Facility</t>
  </si>
  <si>
    <t>• Stormwater attenuation</t>
  </si>
  <si>
    <t>• Relocation of existing services</t>
  </si>
  <si>
    <t>• Sustainability considerations according to ACSA policies</t>
  </si>
  <si>
    <t xml:space="preserve">  (e.g. preservation of topsoil, rehabilitation of land damaged, landscaping, minimal off-site carting)</t>
  </si>
  <si>
    <t>• Fire fighting considerations e.g. emergency cut-off valves, drains, cambered aprons</t>
  </si>
  <si>
    <t>• 400Khz supply excluded, but sleeves allowance included</t>
  </si>
  <si>
    <t>• Ground power supply &amp; backup generators</t>
  </si>
  <si>
    <t>• CCTV installation &amp; WIFI for BRS (allow R50 000 per stand)</t>
  </si>
  <si>
    <t>• Aircraft Docking System ADS (incl. electrical, electronic, cameras &amp; bracket R 800 000 per stand)</t>
  </si>
  <si>
    <t>• Fencing &amp; security</t>
  </si>
  <si>
    <t>• P&amp;G, Contingencies, Escalation and Fees</t>
  </si>
  <si>
    <t>• Directs not e.g. Environmental Impact assessment, security, insurance</t>
  </si>
  <si>
    <t>2.2  APPROXIMATE RATE BUILD-UP FOR STANDS</t>
  </si>
  <si>
    <t>WHBO TENDER RATES</t>
  </si>
  <si>
    <t>Estimated Rates</t>
  </si>
  <si>
    <t>Code F Stands</t>
  </si>
  <si>
    <t>Code E Stands</t>
  </si>
  <si>
    <t>Code C Stands</t>
  </si>
  <si>
    <t>(MARS Configuration, 1x Code F or 2x Code C)</t>
  </si>
  <si>
    <t>Base Date Jan '09</t>
  </si>
  <si>
    <t>Base Date Nov '17</t>
  </si>
  <si>
    <t>Current Date Mar '19</t>
  </si>
  <si>
    <t>Civils &amp; Surfacing</t>
  </si>
  <si>
    <t>•</t>
  </si>
  <si>
    <t>Roadmarking</t>
  </si>
  <si>
    <t>Surface texturing and curing</t>
  </si>
  <si>
    <t>Concrete joints</t>
  </si>
  <si>
    <t>370mm concrete (5MPa flexural strength)</t>
  </si>
  <si>
    <t>345mm concrete (5MPa flexural strength)</t>
  </si>
  <si>
    <t>Stabilised layer C2 200mm (97% MOD AASHTO)</t>
  </si>
  <si>
    <t>Stabilised layer C3 150mm (97% MOD AASHTO)</t>
  </si>
  <si>
    <t>Stabilised layer C4 150mm (97% MOD AASHTO)</t>
  </si>
  <si>
    <t>Stabilised layer C4 150mm (95% MOD AASHTO)</t>
  </si>
  <si>
    <t>G7 Selected layer 150mm (95% MOD AASHTO)</t>
  </si>
  <si>
    <t>G7 Selected layer 150mm (93% MOD AASHTO)</t>
  </si>
  <si>
    <t>G9 Selected layer 150mm (90% MOD AASHTO)</t>
  </si>
  <si>
    <t>In-situ compaction</t>
  </si>
  <si>
    <t>Sub-soil drainage</t>
  </si>
  <si>
    <t>Earthworks (Box Cut)</t>
  </si>
  <si>
    <t>Clearing &amp; grubbing</t>
  </si>
  <si>
    <t>Sub-Total : Civils &amp; Surfacing</t>
  </si>
  <si>
    <t>/m²</t>
  </si>
  <si>
    <t>Stormwater</t>
  </si>
  <si>
    <t>Slot Drain incl concrete pipework</t>
  </si>
  <si>
    <t>Slot drain</t>
  </si>
  <si>
    <t>Concrete pipework, varying</t>
  </si>
  <si>
    <t>Oil seperator</t>
  </si>
  <si>
    <t>Catchpits/manholes</t>
  </si>
  <si>
    <t>Sleeves</t>
  </si>
  <si>
    <t>4 x 3/110mm comms sleeves</t>
  </si>
  <si>
    <t>3 x 1/110 Electrical sleeves</t>
  </si>
  <si>
    <t>2 x 1/110 Electrical sleeves</t>
  </si>
  <si>
    <t>Concrete service duct</t>
  </si>
  <si>
    <t>Manholes</t>
  </si>
  <si>
    <t>Fire Water</t>
  </si>
  <si>
    <t>GMS Water pipe</t>
  </si>
  <si>
    <t>Fittings</t>
  </si>
  <si>
    <t>Item</t>
  </si>
  <si>
    <t>Hydrants complete</t>
  </si>
  <si>
    <t>Hydrants complete (1 per 2.33 stands)</t>
  </si>
  <si>
    <t>Cathodic protection</t>
  </si>
  <si>
    <t>Sewer</t>
  </si>
  <si>
    <t>400mm pipe, complete - EXCLUDED</t>
  </si>
  <si>
    <t>400mm pipe, complete EXCLUDED</t>
  </si>
  <si>
    <t>Electrical</t>
  </si>
  <si>
    <t>35m highmast, kiosk, 3x stand signs</t>
  </si>
  <si>
    <t>35m highmast, kiosk, 1x stand sign</t>
  </si>
  <si>
    <t>22m highmast, kiosk, 1x stand sign</t>
  </si>
  <si>
    <t>Cabling, terminations, etc</t>
  </si>
  <si>
    <t>MV reticulation (1 mini-sub/3.5 stands, 95mm² cabling on stand)</t>
  </si>
  <si>
    <t xml:space="preserve">Fuel </t>
  </si>
  <si>
    <t>Fuel</t>
  </si>
  <si>
    <t>3x Hydrants, pipework, cathodic protection, valve chamber (1 per 3 stands), ESD (Emergency shut-down valve)</t>
  </si>
  <si>
    <t>1x Hydrant, pipework, cathodic protection, valve chamber (1 per 3 stands), ESD</t>
  </si>
  <si>
    <t>Fuel civils</t>
  </si>
  <si>
    <t>Macerator &amp; sewer dump facility  required - operations dependant</t>
  </si>
  <si>
    <t>Security Fencing</t>
  </si>
  <si>
    <t>• Concrete panel fencing</t>
  </si>
  <si>
    <t>• Security (PIDS)</t>
  </si>
  <si>
    <t>• Lighting</t>
  </si>
  <si>
    <t>2.3  APPROXIMATE RATE BUILD-UP FOR TAXILANES &amp; SERVICE ROADS</t>
  </si>
  <si>
    <t>Code E/F Taxilane</t>
  </si>
  <si>
    <t>Code C Taxilane</t>
  </si>
  <si>
    <t>Service Roads (10m wide) - AIRSIDE</t>
  </si>
  <si>
    <t>Service Roads (dual carriageway, 15m wide)</t>
  </si>
  <si>
    <t>(not necessarily airside)</t>
  </si>
  <si>
    <t>Stone mastic asphalt AE-2 mod binder (80/100) 40mm</t>
  </si>
  <si>
    <t>Kerbing</t>
  </si>
  <si>
    <t>Coarse continuously graded hotmix (60/70) (BTB)  90mm</t>
  </si>
  <si>
    <t>Coarse continuously graded hotmix (60/70) (BTB)  60mm</t>
  </si>
  <si>
    <t>Medium continuously graded hot mix (60/70) 40mm</t>
  </si>
  <si>
    <t>G1 crushed stone 125mm (88% ARD)</t>
  </si>
  <si>
    <t>G1 crushed stone 150mm (88% ARD)</t>
  </si>
  <si>
    <t>G7 Selected layer 200mm (93% MOD AASHTO)</t>
  </si>
  <si>
    <t>Concrete pipework with inlets</t>
  </si>
  <si>
    <t>1/110 Electrical sleeves</t>
  </si>
  <si>
    <t>Additional sleeves req?</t>
  </si>
  <si>
    <t>note</t>
  </si>
  <si>
    <t>Optional Lighting</t>
  </si>
  <si>
    <t>Centre lighting</t>
  </si>
  <si>
    <t>Light poles &amp; reticulation</t>
  </si>
  <si>
    <t>Optional extra for edge lighting (both sides)</t>
  </si>
  <si>
    <t>2.4  SAMPLE ESTIMATE FOR STANDS, TAXILANES &amp; SERVICE ROADS</t>
  </si>
  <si>
    <t xml:space="preserve">7No x Code C </t>
  </si>
  <si>
    <t>Order-of-Magnitude Assessment</t>
  </si>
  <si>
    <t>w</t>
  </si>
  <si>
    <t>l</t>
  </si>
  <si>
    <t>remote stands</t>
  </si>
  <si>
    <t>Code c</t>
  </si>
  <si>
    <t>adjacent to existing Taxiway - allow 47m wide apron behind aircraft</t>
  </si>
  <si>
    <t>Wingtip clearance</t>
  </si>
  <si>
    <t>(Golf Apron - Alpha Taxiway)</t>
  </si>
  <si>
    <t>Overall length</t>
  </si>
  <si>
    <t>Service road front</t>
  </si>
  <si>
    <t>Area adjacent to service road</t>
  </si>
  <si>
    <t>n/a</t>
  </si>
  <si>
    <t>Apron back</t>
  </si>
  <si>
    <t>Overall width</t>
  </si>
  <si>
    <t>Service Roads</t>
  </si>
  <si>
    <t>• Front &amp; Side service road</t>
  </si>
  <si>
    <t>• Tail service road</t>
  </si>
  <si>
    <t>use apron</t>
  </si>
  <si>
    <t xml:space="preserve">Stands </t>
  </si>
  <si>
    <t>• 7No Code C Stand</t>
  </si>
  <si>
    <t>Areas between to stand boxes</t>
  </si>
  <si>
    <t>• Total Code C</t>
  </si>
  <si>
    <t>• Deduct stand boxes</t>
  </si>
  <si>
    <t>Taxi Lane (behind aircraft - concrete)</t>
  </si>
  <si>
    <t>CCTV &amp; Wifi for BRS</t>
  </si>
  <si>
    <t>Fencing</t>
  </si>
  <si>
    <t>• Concrete panels incl. PIDS &amp; Lighting</t>
  </si>
  <si>
    <t>Add:</t>
  </si>
  <si>
    <t>• Preliminaries (P&amp;G)</t>
  </si>
  <si>
    <t>Sub-Total</t>
  </si>
  <si>
    <t>• Insurances, security, etc</t>
  </si>
  <si>
    <t>• Contingencies</t>
  </si>
  <si>
    <t>• Escalation</t>
  </si>
  <si>
    <t>Base date</t>
  </si>
  <si>
    <t>Commencement date</t>
  </si>
  <si>
    <t>p.a.</t>
  </si>
  <si>
    <t>Completion date</t>
  </si>
  <si>
    <t>p.a., cashflow</t>
  </si>
  <si>
    <t>• Professional Fees</t>
  </si>
  <si>
    <t>overall</t>
  </si>
  <si>
    <t>3.  TAXIWAYS</t>
  </si>
  <si>
    <t>3.1 TABLES EXTRACTED FROM ICAO ANNEX 14 VOLUME 1 - TAXIWAYS (FOR INFORMATION ONLY)</t>
  </si>
  <si>
    <t>page 1-8 Table 1-1 Aerodrome Reference Code</t>
  </si>
  <si>
    <t>page 3-13 Table 3-1 Taxiway minimum separation distances</t>
  </si>
  <si>
    <t>CODE ELEMENT 1</t>
  </si>
  <si>
    <t>DISTANCE BETWEEN TWY CENTRE LINE AND RWY centreline (meters)</t>
  </si>
  <si>
    <t>TWY centreline</t>
  </si>
  <si>
    <t>Taxilane centre</t>
  </si>
  <si>
    <t>Code</t>
  </si>
  <si>
    <t>Aerodrome reference field length *</t>
  </si>
  <si>
    <t>Instrument Runways Code number</t>
  </si>
  <si>
    <t>Non-Instrument Runways Code number</t>
  </si>
  <si>
    <t>to TWY centreline</t>
  </si>
  <si>
    <t>to object</t>
  </si>
  <si>
    <t>line to object</t>
  </si>
  <si>
    <t>number</t>
  </si>
  <si>
    <t>letter</t>
  </si>
  <si>
    <t>(meters)</t>
  </si>
  <si>
    <t>(meters) *</t>
  </si>
  <si>
    <t>Less than 800m</t>
  </si>
  <si>
    <t>A</t>
  </si>
  <si>
    <t>800m up to but not including 1 200m</t>
  </si>
  <si>
    <t>B</t>
  </si>
  <si>
    <t>1 200m up to but not including 1 800m</t>
  </si>
  <si>
    <t>C</t>
  </si>
  <si>
    <t>1 800m and over</t>
  </si>
  <si>
    <t>D</t>
  </si>
  <si>
    <t>E</t>
  </si>
  <si>
    <t>* Aeroplane reference field length is the minimum length required for the take-off at maximum certificated take-off mass at sea level, standard atmospheric conditions, still air and zero runway slope</t>
  </si>
  <si>
    <t>F</t>
  </si>
  <si>
    <t>* Other than aircraft stand taxilane, distance can be used for taxiway strip as well (incl. taxiway width)</t>
  </si>
  <si>
    <t>CODE ELEMENT 2</t>
  </si>
  <si>
    <t>Wing span</t>
  </si>
  <si>
    <t>Outer main gear wheel span (extreme distance)</t>
  </si>
  <si>
    <t>page 3-15 3.10.1 Recommended width of Taxiway Shoulders</t>
  </si>
  <si>
    <t>page 3-15 - 3-16 Taxiway strip recommendations</t>
  </si>
  <si>
    <t>Up to but not including 15m</t>
  </si>
  <si>
    <t>Up to but not including 4.5m</t>
  </si>
  <si>
    <t>Taxiway shoulders should extend symmetrically on each side of the taxiway so that overall width of the taxiway and its shoulders is not less than:-</t>
  </si>
  <si>
    <t>Width of taxiway strips</t>
  </si>
  <si>
    <t>As per * in table 3-1 above</t>
  </si>
  <si>
    <t>15m up to but not including 24m</t>
  </si>
  <si>
    <t>4.5m up to but not including 6m</t>
  </si>
  <si>
    <t>• 60m where the code letter is F</t>
  </si>
  <si>
    <t>• 44m where the code letter is E</t>
  </si>
  <si>
    <t>Grading of taxiway strips</t>
  </si>
  <si>
    <t>24m up to but not including 36m</t>
  </si>
  <si>
    <t>6m up to but not including 9m</t>
  </si>
  <si>
    <t>• 38m where the code letter is D</t>
  </si>
  <si>
    <t>Each side from centreline of taxiway the portion of the strip to be graded:-</t>
  </si>
  <si>
    <t>• 25m where the code letter is C</t>
  </si>
  <si>
    <t>36m up to but not including 52m</t>
  </si>
  <si>
    <t>9m up to but not including 14m</t>
  </si>
  <si>
    <t>• 11m for code A</t>
  </si>
  <si>
    <t>• where turbo-prop aeroplanes are used preparation against erosion is recommended</t>
  </si>
  <si>
    <t>• 12.5m for code B &amp; C</t>
  </si>
  <si>
    <t>52m up to but not including 65m</t>
  </si>
  <si>
    <t>• drains should be appropriately placed to prevent damage to run-off aeroplanes</t>
  </si>
  <si>
    <t>• 19m for code D</t>
  </si>
  <si>
    <t>• 22m for code E</t>
  </si>
  <si>
    <t>65m up to but not including 80m</t>
  </si>
  <si>
    <t>14m up to but not including 16m</t>
  </si>
  <si>
    <t>• 30m for code F</t>
  </si>
  <si>
    <t>page 3-11 Table 3.9.5 Width of Taxiways</t>
  </si>
  <si>
    <t>Taxiway Width</t>
  </si>
  <si>
    <t>10.5m</t>
  </si>
  <si>
    <t>15m for aeroplanes with wheel base &lt; 18m,                                            18m for aeroplanes with wheel base = or &gt; 18m</t>
  </si>
  <si>
    <t>18m for aeroplanes with outer main gear wheel span &lt;9m,                   23m for aeroplanes with outer main gear wheel span = or &gt; 9m</t>
  </si>
  <si>
    <t>23m</t>
  </si>
  <si>
    <t>25m</t>
  </si>
  <si>
    <t>3.2 DIAGRAMS - TAXIWAYS (CODE F)</t>
  </si>
  <si>
    <t>3.3 TYPICAL DESIGN CRITERIA &amp; MASTER RATES (Code F)</t>
  </si>
  <si>
    <t>Distance taxiway c/l to Code 4 runway c/l:</t>
  </si>
  <si>
    <t>190m</t>
  </si>
  <si>
    <t>page 9</t>
  </si>
  <si>
    <t>Taxiway strip (27.5m both sides)</t>
  </si>
  <si>
    <t>Total width</t>
  </si>
  <si>
    <t>Optional centreline lead-in/lead-off lights, Apron Edge Lights</t>
  </si>
  <si>
    <t>allowance</t>
  </si>
  <si>
    <t>R7 500 -</t>
  </si>
  <si>
    <t>• Bulk services reticulation to stands (Fuel, Stormwater, Water, etc.)</t>
  </si>
  <si>
    <t>• Fire fighting considerations e.g. emergency roads and signs</t>
  </si>
  <si>
    <t>• Barriers, blast fences, etc.</t>
  </si>
  <si>
    <t>• Directs not e.g. Enviromental Impact assessment, security, insurance</t>
  </si>
  <si>
    <t>NOTE: Due to the scope of runways &amp; taxiways and the level relationship between existing levels,</t>
  </si>
  <si>
    <t>required levels, spoil to be removed off-site and replaced before layerworks can be even constructed,</t>
  </si>
  <si>
    <t>level relation to neighbouring structures, and other taxiways or runways, it is extremely important</t>
  </si>
  <si>
    <t>that the bulk earthworks allowance be adequate to accommodate these requirements</t>
  </si>
  <si>
    <t>Parallel Taxiways</t>
  </si>
  <si>
    <t>RET (Rapid Exit Taxiways)</t>
  </si>
  <si>
    <t>Direct push back from stand into Taxiways to be avoided</t>
  </si>
  <si>
    <t>4.4  APPROXIMATE RATE BUILD-UP FOR TAXIWAYS WITH ASSOCIATED SHOULDERS &amp; STRIPS (Code F)</t>
  </si>
  <si>
    <t>Base April '08</t>
  </si>
  <si>
    <t>Runway Travel Way - Code F (all aircraft)</t>
  </si>
  <si>
    <t>Shoulders</t>
  </si>
  <si>
    <t>Runway End Safety Area (RESA)</t>
  </si>
  <si>
    <t>m wide</t>
  </si>
  <si>
    <t>m wide each side</t>
  </si>
  <si>
    <t>m long each end</t>
  </si>
  <si>
    <t>Civils</t>
  </si>
  <si>
    <t>50 mm thick, medium grade using 150/200</t>
  </si>
  <si>
    <t>Coarse continuously graded hotmix (60/70) 90mm</t>
  </si>
  <si>
    <t xml:space="preserve"> penetration-grade rubber bitumen</t>
  </si>
  <si>
    <t>Topsoil, grassing &amp; sculpting</t>
  </si>
  <si>
    <t>G1 crushed stone 125mm</t>
  </si>
  <si>
    <t>Selected layer G7 150mm</t>
  </si>
  <si>
    <t>Stabilised layer C3 175mm</t>
  </si>
  <si>
    <t>Stabilised layer C4 125mm</t>
  </si>
  <si>
    <t>Stabilised layer C3 200mm</t>
  </si>
  <si>
    <t>Selected layer G5 150mm</t>
  </si>
  <si>
    <t>G7 Selected layer 150mm</t>
  </si>
  <si>
    <t>Selected layer G7 115mm</t>
  </si>
  <si>
    <t>G7 Selected layer 300mm</t>
  </si>
  <si>
    <t>Selected layer G7 200mm</t>
  </si>
  <si>
    <t>Drainage</t>
  </si>
  <si>
    <t>Graded trip (RSA)</t>
  </si>
  <si>
    <t>Ducts &amp; Sleeves</t>
  </si>
  <si>
    <t>NAVAIDS &amp; Visual Aids to consider:-</t>
  </si>
  <si>
    <t>PALS CAT II or III (Precision Approach Light System)</t>
  </si>
  <si>
    <t>Concrete works for bases, foundations, etc.</t>
  </si>
  <si>
    <t>ILS Cat II or III (Instrument Landing System - Visual)</t>
  </si>
  <si>
    <t>Selected layer G7 105mm</t>
  </si>
  <si>
    <t>SALS Simple Approach Lighting System)</t>
  </si>
  <si>
    <t>VOR/DME (VHF Omni-directional Radio Range / Distance Measuring Equipment), visual</t>
  </si>
  <si>
    <t>DVOR (Doppler Very High Frequency Omni-Directional Range</t>
  </si>
  <si>
    <t>Fibre Optic cabling</t>
  </si>
  <si>
    <t>PAPI (Precision Approach Path Indicator)</t>
  </si>
  <si>
    <t>Pilot Controlled Lighting (controlled from aircraft if authority automates this options)</t>
  </si>
  <si>
    <t>Airfield Ground Lighting</t>
  </si>
  <si>
    <t>Lights to consider:-</t>
  </si>
  <si>
    <t>NAVAIDS</t>
  </si>
  <si>
    <t>Approach Lighting System (ALS)</t>
  </si>
  <si>
    <t>Land and Hold Short Lights</t>
  </si>
  <si>
    <t>Runway Centerline Lighting System</t>
  </si>
  <si>
    <t>Total (excluding shoulders &amp; strip)</t>
  </si>
  <si>
    <t>Runway Edge Lights</t>
  </si>
  <si>
    <t>Strip (RSA)</t>
  </si>
  <si>
    <t>Runway End Identification Lights (threshold)</t>
  </si>
  <si>
    <t>Runway End Lights (sides)</t>
  </si>
  <si>
    <t xml:space="preserve">CT Runway </t>
  </si>
  <si>
    <t>Taxiway Centerline Lead-On / Lead-Off Lights</t>
  </si>
  <si>
    <t>Touchdown Zone Lights (TDZ Lights)</t>
  </si>
  <si>
    <t>3.4  APPROXIMATE RATE BUILD-UP FOR TAXIWAYS WITH ASSOCIATED SHOULDERS &amp; STRIPS</t>
  </si>
  <si>
    <t>Taxiway Travel Way - Code F (all aircraft)</t>
  </si>
  <si>
    <t>Strip</t>
  </si>
  <si>
    <t>3/110mm comms sleeves</t>
  </si>
  <si>
    <t>Edge lighting (both sides)</t>
  </si>
  <si>
    <t>per meter</t>
  </si>
  <si>
    <t>Optional extra for centre line lighting (intersections)</t>
  </si>
  <si>
    <t>Illuminated signage - layout dependant @ R40,000/sign</t>
  </si>
  <si>
    <t>3.5  SAMPLE ESTIMATE TYPICAL TAXIWAY</t>
  </si>
  <si>
    <t>Taxiway</t>
  </si>
  <si>
    <t>1500m sample</t>
  </si>
  <si>
    <t>Taxiway only</t>
  </si>
  <si>
    <t>Illuminated directional taxiway signage allowance</t>
  </si>
  <si>
    <t>Sub-Total (pre P&amp;G)</t>
  </si>
  <si>
    <t>Overall area</t>
  </si>
  <si>
    <t>Taxiway area</t>
  </si>
  <si>
    <t>Taxiway per meter</t>
  </si>
  <si>
    <t>4.  RUNWAYS</t>
  </si>
  <si>
    <t>4.1 TABLES EXTRACTED FROM ICAO ANNEX 14 VOLUME 1 - RUNWAYS (FOR INFORMATION ONLY)</t>
  </si>
  <si>
    <t>Illustration of Declared Distances</t>
  </si>
  <si>
    <t>page 3-6 - 3-7 Runway strips recommendations</t>
  </si>
  <si>
    <t>(all dimensions include extended centreline beyond threshold lines)</t>
  </si>
  <si>
    <t>Length of runway strips</t>
  </si>
  <si>
    <t>from the threshold and beyond end of runway or stopway for at least:-</t>
  </si>
  <si>
    <t>• 60m for code 2,3 &amp; 4</t>
  </si>
  <si>
    <t>• 60m for code 1 and runway is instrument</t>
  </si>
  <si>
    <t>• 30m for code 1 and runway is non-instrument</t>
  </si>
  <si>
    <t>Width of runway strips</t>
  </si>
  <si>
    <t xml:space="preserve">including the precision &amp; non-precision approach runway and </t>
  </si>
  <si>
    <t>wherever practical, on each side from runway centreline:-</t>
  </si>
  <si>
    <t>• 150m for code 3 &amp; 4</t>
  </si>
  <si>
    <t>• 75m for code 1 &amp; 2</t>
  </si>
  <si>
    <t xml:space="preserve">including the non-instrument runway and </t>
  </si>
  <si>
    <t>• 75m for code 3 &amp; 4</t>
  </si>
  <si>
    <t>ASDA</t>
  </si>
  <si>
    <t>: Accelerate stop distance available</t>
  </si>
  <si>
    <t>• 40m for code 2</t>
  </si>
  <si>
    <t>LDA</t>
  </si>
  <si>
    <t>: Landing distance available</t>
  </si>
  <si>
    <t>• 30m for code 1</t>
  </si>
  <si>
    <t>TODA</t>
  </si>
  <si>
    <t>: Take-off distance available</t>
  </si>
  <si>
    <t>TORA</t>
  </si>
  <si>
    <t>: Take-off run available</t>
  </si>
  <si>
    <t>Grading of runway strips</t>
  </si>
  <si>
    <t>each side from centreline of runway the portion of the strip to be graded:-</t>
  </si>
  <si>
    <t>page 3-2 3.1.11 &amp; 3.1.12 Recommended distance between parallel runways</t>
  </si>
  <si>
    <t>• A blast pad of at least 30m within the strip is recommended against</t>
  </si>
  <si>
    <t>Instrument Runways</t>
  </si>
  <si>
    <t>Non - instrument Runways</t>
  </si>
  <si>
    <t xml:space="preserve">   erosion</t>
  </si>
  <si>
    <t>1 035m for independent parallel approaches</t>
  </si>
  <si>
    <t>210m where code is 3 or 4</t>
  </si>
  <si>
    <t>Objects on runway strips</t>
  </si>
  <si>
    <t>No fixed object other than visual aids within</t>
  </si>
  <si>
    <t>915m for dependent parallel approaches</t>
  </si>
  <si>
    <t>150m where code is 2</t>
  </si>
  <si>
    <t>• 77.5m of runway centreline of precision approach cat I, II or III</t>
  </si>
  <si>
    <t xml:space="preserve">  where code number is 4 &amp; F</t>
  </si>
  <si>
    <t>760m for independent parallel departures</t>
  </si>
  <si>
    <t>120m where code is 1</t>
  </si>
  <si>
    <t>• 60m of runway centreline of precision approach cat I, II or III</t>
  </si>
  <si>
    <t xml:space="preserve">  where code number is 3 &amp; 4</t>
  </si>
  <si>
    <t>760m for segregated parallel operations</t>
  </si>
  <si>
    <t>• 45m of runway centreline of precision approach cat I</t>
  </si>
  <si>
    <t xml:space="preserve">  where code number is 1 &amp; 2</t>
  </si>
  <si>
    <t>page 3-2 Table 3.1.10 Width of Runways</t>
  </si>
  <si>
    <t xml:space="preserve">• no mobile object is permitted on this part of the runway strip </t>
  </si>
  <si>
    <t>Code letter</t>
  </si>
  <si>
    <t>page 3-5 3.2.3 &amp; 3.2.4 Recommended width, slope &amp; strength of runway shoulders</t>
  </si>
  <si>
    <t xml:space="preserve">   during use for landing &amp; take-off</t>
  </si>
  <si>
    <t>1*</t>
  </si>
  <si>
    <t>Runway shoulders should extend symmetrically on each side of the runway so that overall width of the runway and its shoulders is not less than:-</t>
  </si>
  <si>
    <t>page 3-8 RESA - Runway End Safety Area</t>
  </si>
  <si>
    <t>2*</t>
  </si>
  <si>
    <t>• 60m where the code letter is D or E</t>
  </si>
  <si>
    <t>• 75m where the code letter is F</t>
  </si>
  <si>
    <t>Recommended Dimensions</t>
  </si>
  <si>
    <t>• at max 2.5% slope</t>
  </si>
  <si>
    <t>• Twice the runway width (where practical, equal to graded strip)</t>
  </si>
  <si>
    <t>• with surfacing to support aeroplane as to not induce structural damage</t>
  </si>
  <si>
    <t>• 240m for code 3 &amp; 4 (minimum 90m) from runway strip</t>
  </si>
  <si>
    <t>* The width of a precision approach runway should not be less than 30m where the code number is 1 or 2</t>
  </si>
  <si>
    <t xml:space="preserve">  and to support ground vehicles which may operate on the shoulder</t>
  </si>
  <si>
    <t>• 120m for code 1 &amp; 2 (minimum 90m) from runway strip</t>
  </si>
  <si>
    <t xml:space="preserve">• can be lower grade than runway strip, but surface should be </t>
  </si>
  <si>
    <t xml:space="preserve">   adequate for overshooting aeroplanes and rescue &amp; fire fighting</t>
  </si>
  <si>
    <t xml:space="preserve">• Engineered Materials Arresting System (EMAS) should be applied where </t>
  </si>
  <si>
    <t xml:space="preserve">   between 90m and 240m can not be achieved</t>
  </si>
  <si>
    <t>4.2 DIAGRAMS - RUNWAYS (CODE F)</t>
  </si>
  <si>
    <t>75m</t>
  </si>
  <si>
    <t>150m</t>
  </si>
  <si>
    <t>Graded Strip</t>
  </si>
  <si>
    <t>37.5m</t>
  </si>
  <si>
    <t>120m</t>
  </si>
  <si>
    <t>RESA</t>
  </si>
  <si>
    <t>60m</t>
  </si>
  <si>
    <t>240m</t>
  </si>
  <si>
    <t>ICAO Recommended</t>
  </si>
  <si>
    <t xml:space="preserve">      Blast Pad (either side)</t>
  </si>
  <si>
    <t>Displaced Threshhold</t>
  </si>
  <si>
    <t>Threshhold</t>
  </si>
  <si>
    <t>Touchdown Zone Marks</t>
  </si>
  <si>
    <t>Fixed Distance Marks</t>
  </si>
  <si>
    <t>(blast erosion protection)</t>
  </si>
  <si>
    <t>4.3 TYPICAL DESIGN CRITERIA &amp; MASTER RATES (Code F)</t>
  </si>
  <si>
    <t>Runway incl. layerworks &amp; lighting</t>
  </si>
  <si>
    <t>page 14</t>
  </si>
  <si>
    <t>Runway Shoulders (7.5m both sides)</t>
  </si>
  <si>
    <t>RSA (Runway Safety Area, Graded Strip)</t>
  </si>
  <si>
    <t>(37.5m x 2, around side of RWY)</t>
  </si>
  <si>
    <t>(60m end x 2)</t>
  </si>
  <si>
    <t>RSA (Runway Safety Area, Ungraded Strip)</t>
  </si>
  <si>
    <t>(75m x 2, around side of RWY)</t>
  </si>
  <si>
    <t>(60m adjacent to end x 2)</t>
  </si>
  <si>
    <t>RESA (Runway End Safety Area)</t>
  </si>
  <si>
    <t>(2 x runway width x 240 each end)</t>
  </si>
  <si>
    <t>Illumininated signs (Stop Bars, directional, etc.)</t>
  </si>
  <si>
    <t>• Existing services or NAVAIDS may need relocation - review with services department/engineer</t>
  </si>
  <si>
    <t>• Tie-in and rehabilitation of existing to be considered in contingency allowance</t>
  </si>
  <si>
    <t>• AGL (Airfield ground lighting) buildings either side or related structures</t>
  </si>
  <si>
    <t>4.5  SAMPLE ESTIMATE FOR TYPICAL RUNWAY</t>
  </si>
  <si>
    <t>Code F RUNWAY</t>
  </si>
  <si>
    <t>Runway</t>
  </si>
  <si>
    <t>4200m sample</t>
  </si>
  <si>
    <t>Graded Strip (edge)</t>
  </si>
  <si>
    <t>Runway only</t>
  </si>
  <si>
    <t>Graded Strip (end)</t>
  </si>
  <si>
    <t>Strip (edge)</t>
  </si>
  <si>
    <t>Strip (end)</t>
  </si>
  <si>
    <t xml:space="preserve">RESA </t>
  </si>
  <si>
    <t>Illuminated directional taxiway signage allowance, stop bars, etc.</t>
  </si>
  <si>
    <t>Buildings, enclosures, screens, etc.</t>
  </si>
  <si>
    <t>Runway area</t>
  </si>
  <si>
    <t>Runway per meter</t>
  </si>
  <si>
    <t>AECOM as of July 2013</t>
  </si>
  <si>
    <t>Jan 2009 Rates</t>
  </si>
  <si>
    <t>Escalate to July 2013</t>
  </si>
  <si>
    <t xml:space="preserve">VARIANCE BETWEEN AECOM RATES AND ACSA ESCALATION </t>
  </si>
  <si>
    <t>Escalate  to March 2014</t>
  </si>
  <si>
    <t>Infrastructure</t>
  </si>
  <si>
    <t>Airport development costs</t>
  </si>
  <si>
    <t>Rates exclude any future escalation, loss of interest, professional fees, Value Added Tax (VAT), contractors’ preliminary and general allowances, insurance, ACSA direct costs and contingency allowances.</t>
  </si>
  <si>
    <t>Apron Stands (incl. associated infrastructure</t>
  </si>
  <si>
    <t>Rate per m² (excl. VAT)</t>
  </si>
  <si>
    <t>Code F Stand (85m long x 80m wide = 6,800m²)</t>
  </si>
  <si>
    <t>Code E Stand (80m long x 65m wide = 5,200m²)</t>
  </si>
  <si>
    <t>Code C Stand (56m long x 40m wide = 2,240m²)</t>
  </si>
  <si>
    <t>Taxi Lanes (incl. associated infrastructure)</t>
  </si>
  <si>
    <t>Rate per m (excl. VAT)</t>
  </si>
  <si>
    <t>Code F taxi lane (101m wide)</t>
  </si>
  <si>
    <t>Code E taxi lane (85m wide)</t>
  </si>
  <si>
    <t>Code C taxi lane (49m wide)</t>
  </si>
  <si>
    <t>Service road (10m wide)</t>
  </si>
  <si>
    <t>Dual carriage service road (15m wide)</t>
  </si>
  <si>
    <t>Taxi ways (incl. associated infrastructure)</t>
  </si>
  <si>
    <t>Code F taxi way (70m wide)</t>
  </si>
  <si>
    <t>Runways (incl. associated infrastructure)</t>
  </si>
  <si>
    <t>Code F Runway (3,885m long x 60m wide = 233,100m²)</t>
  </si>
  <si>
    <t>Parking (excluding bulk</t>
  </si>
  <si>
    <t>earthworks)</t>
  </si>
  <si>
    <t>Rate per no (excl. VAT)</t>
  </si>
  <si>
    <t>Structured parking</t>
  </si>
  <si>
    <t>Basement parking</t>
  </si>
  <si>
    <t>Shadenet on grade parking</t>
  </si>
  <si>
    <t>Perimeter Fencing /Security Gates</t>
  </si>
  <si>
    <t>Perimeter walls with perimeter intrusion detection (PIDS), etc.</t>
  </si>
  <si>
    <t>p/m (excl. VAT)</t>
  </si>
  <si>
    <t>Security gate</t>
  </si>
  <si>
    <t>p/item (excl. VAT)</t>
  </si>
  <si>
    <t>Super security gate</t>
  </si>
  <si>
    <t>Terminal &amp; other buildings (excl. bulk earthworks,</t>
  </si>
  <si>
    <t>external site &amp; services works)</t>
  </si>
  <si>
    <t>Terminal building (excl. terminal building baggage &amp; X-ray)</t>
  </si>
  <si>
    <t>Pier terminal building (excl. telescopic air bridges, seating &amp; ads)</t>
  </si>
  <si>
    <t>Telescopic air bridges (rate per unit. excl. VAT)</t>
  </si>
  <si>
    <t>Aircraft Docking System (ADS) (rate per unit)</t>
  </si>
  <si>
    <t>Summary of Building Costs - Annual Percentage Change.</t>
  </si>
  <si>
    <t>FEL 1: Concept Study</t>
  </si>
  <si>
    <t>identified during concept phase.</t>
  </si>
  <si>
    <t>Definition to business concepts.</t>
  </si>
  <si>
    <t>Used primarily for providing management with an indicative estimate and options</t>
  </si>
  <si>
    <r>
      <t>FEL 2: Pre-Feasibility/ Order of Magnitude Estimate -</t>
    </r>
    <r>
      <rPr>
        <b/>
        <sz val="11"/>
        <color theme="0"/>
        <rFont val="Calibri"/>
        <family val="2"/>
        <scheme val="minor"/>
      </rPr>
      <t xml:space="preserve"> CLASS 5 Estimate</t>
    </r>
    <r>
      <rPr>
        <sz val="11"/>
        <color theme="0"/>
        <rFont val="Calibri"/>
        <family val="2"/>
        <scheme val="minor"/>
      </rPr>
      <t>:</t>
    </r>
  </si>
  <si>
    <r>
      <t xml:space="preserve">FEL 3a and 3b: Feasibility AND Control Budget Estimate - </t>
    </r>
    <r>
      <rPr>
        <b/>
        <sz val="11"/>
        <color theme="0"/>
        <rFont val="Calibri"/>
        <family val="2"/>
        <scheme val="minor"/>
      </rPr>
      <t>CLASS 5,4&amp;3 Estimate</t>
    </r>
    <r>
      <rPr>
        <sz val="11"/>
        <color theme="0"/>
        <rFont val="Calibri"/>
        <family val="2"/>
        <scheme val="minor"/>
      </rPr>
      <t>:</t>
    </r>
  </si>
  <si>
    <r>
      <t xml:space="preserve">IMPLEMENTATION: Definitive estimate - </t>
    </r>
    <r>
      <rPr>
        <b/>
        <sz val="11"/>
        <color theme="0"/>
        <rFont val="Calibri"/>
        <family val="2"/>
        <scheme val="minor"/>
      </rPr>
      <t>CLASS 2&amp;1 Estimate</t>
    </r>
  </si>
  <si>
    <t>This document is to be used for estimates from FEL2 to FEL3a ONLY.</t>
  </si>
  <si>
    <t>Aligned to your project charter</t>
  </si>
  <si>
    <t>Construction commencement</t>
  </si>
  <si>
    <t>Services</t>
  </si>
  <si>
    <t>Project Activities</t>
  </si>
  <si>
    <t>Finish Date</t>
  </si>
  <si>
    <t>Planned</t>
  </si>
  <si>
    <t>Actual / Forecast</t>
  </si>
  <si>
    <t>Late</t>
  </si>
  <si>
    <t>Consultant (from the panel of consultants)</t>
  </si>
  <si>
    <t>Project Brief signed</t>
  </si>
  <si>
    <t>DD/MM/YYYY</t>
  </si>
  <si>
    <t>Business Case</t>
  </si>
  <si>
    <t>Project Charter</t>
  </si>
  <si>
    <t>Capex Approval for Stage 1-4</t>
  </si>
  <si>
    <t>Formulation CFST</t>
  </si>
  <si>
    <t>N/A since the panel will be used</t>
  </si>
  <si>
    <t>Creating Tender Doc</t>
  </si>
  <si>
    <t>Advertising: Open</t>
  </si>
  <si>
    <t>Advertising: Close</t>
  </si>
  <si>
    <t>Evaluation: Start</t>
  </si>
  <si>
    <t>Evaluation: Finish</t>
  </si>
  <si>
    <t>Submission to BAC</t>
  </si>
  <si>
    <t>Contract Award</t>
  </si>
  <si>
    <t>Contract Signing</t>
  </si>
  <si>
    <t>As-built drawings</t>
  </si>
  <si>
    <t>Condition assessment</t>
  </si>
  <si>
    <t>Stage 1 Concept report</t>
  </si>
  <si>
    <t>Stage 3 Report</t>
  </si>
  <si>
    <t>Stage 4 Tendering (preparation of document)</t>
  </si>
  <si>
    <t>Capex Approval for Stage 5-6</t>
  </si>
  <si>
    <t>Note:</t>
  </si>
  <si>
    <t>Site Hand Over</t>
  </si>
  <si>
    <t>The start of project is on the verge of builders' break</t>
  </si>
  <si>
    <t>Construction Commencement</t>
  </si>
  <si>
    <t>Considered delaying the project start date to 01 April 2022, due to Terminal A project expected to conclude on 29 March 2022. Planning to avoid two projects running in both terminals at the same time for operational reasons.</t>
  </si>
  <si>
    <t>Practical Completion</t>
  </si>
  <si>
    <t>Final Completion</t>
  </si>
  <si>
    <t>Hand Over to End-User</t>
  </si>
  <si>
    <t>Project Close Out</t>
  </si>
  <si>
    <t>Project Capitalisation</t>
  </si>
  <si>
    <t>SIGNATORY</t>
  </si>
  <si>
    <t>PMO</t>
  </si>
  <si>
    <t>Manager</t>
  </si>
  <si>
    <t>Signature</t>
  </si>
  <si>
    <t>Date</t>
  </si>
  <si>
    <t>ME</t>
  </si>
  <si>
    <t>Seniror Manager:</t>
  </si>
  <si>
    <t>Group Manager:</t>
  </si>
  <si>
    <t xml:space="preserve">Group Executive: </t>
  </si>
  <si>
    <t>Only pojects with enviromental studies, i.e. EIA, etc</t>
  </si>
  <si>
    <t>Date when estimate was prepared</t>
  </si>
  <si>
    <t>Pre tender Programme:</t>
  </si>
  <si>
    <t>Post tender Programme:</t>
  </si>
  <si>
    <t>Pre Tender Indices (BER):</t>
  </si>
  <si>
    <t>Post Tender Indices( Haylett):</t>
  </si>
  <si>
    <t>PPI Mech &amp; Elec:</t>
  </si>
  <si>
    <t>Construction Period:</t>
  </si>
  <si>
    <t>Design Development Period (up to contract award):</t>
  </si>
  <si>
    <t>Concept Design Period:</t>
  </si>
  <si>
    <t>Project Brief Signed</t>
  </si>
  <si>
    <t>Basic Assessment/Stage 1 Report:</t>
  </si>
  <si>
    <t>Pre-tender escalation takes care of the current market conditions. When building activity rises, contractors have an opportunity</t>
  </si>
  <si>
    <r>
      <t xml:space="preserve">APRON WORKS </t>
    </r>
    <r>
      <rPr>
        <b/>
        <u/>
        <sz val="10"/>
        <rFont val="Tahoma"/>
        <family val="2"/>
      </rPr>
      <t>INCLUDING</t>
    </r>
    <r>
      <rPr>
        <b/>
        <sz val="10"/>
        <rFont val="Tahoma"/>
        <family val="2"/>
      </rPr>
      <t xml:space="preserve"> LAYERWORKS, </t>
    </r>
    <r>
      <rPr>
        <b/>
        <u/>
        <sz val="10"/>
        <rFont val="Tahoma"/>
        <family val="2"/>
      </rPr>
      <t>EXCLUDES BULK EARTHWORKS</t>
    </r>
  </si>
  <si>
    <r>
      <t xml:space="preserve">TAXIWAYS (ASPHALT) INCLUDING LAYERWORKS, </t>
    </r>
    <r>
      <rPr>
        <b/>
        <u/>
        <sz val="10"/>
        <rFont val="Tahoma"/>
        <family val="2"/>
      </rPr>
      <t>EXCLUDES BULK EARTHWORKS</t>
    </r>
  </si>
  <si>
    <r>
      <t xml:space="preserve">RUNWAYS (ASPHALT) INCLUDING LAYERWORKS, </t>
    </r>
    <r>
      <rPr>
        <b/>
        <u/>
        <sz val="10"/>
        <rFont val="Tahoma"/>
        <family val="2"/>
      </rPr>
      <t>EXCLUDES BULK EARTHWORKS</t>
    </r>
  </si>
  <si>
    <r>
      <t xml:space="preserve">Perimeter walls with PIDS or other security measures  - </t>
    </r>
    <r>
      <rPr>
        <i/>
        <sz val="10"/>
        <rFont val="Tahoma"/>
        <family val="2"/>
      </rPr>
      <t>PROVISIONAL</t>
    </r>
  </si>
  <si>
    <r>
      <t xml:space="preserve">Security gate  - </t>
    </r>
    <r>
      <rPr>
        <i/>
        <sz val="10"/>
        <rFont val="Tahoma"/>
        <family val="2"/>
      </rPr>
      <t>PROVISIONAL</t>
    </r>
  </si>
  <si>
    <r>
      <t xml:space="preserve">Super security gate - </t>
    </r>
    <r>
      <rPr>
        <i/>
        <sz val="10"/>
        <rFont val="Tahoma"/>
        <family val="2"/>
      </rPr>
      <t>PROVISIONAL</t>
    </r>
  </si>
  <si>
    <r>
      <t xml:space="preserve">TERMINAL &amp; OTHER BUILDINGS, </t>
    </r>
    <r>
      <rPr>
        <b/>
        <u/>
        <sz val="10"/>
        <rFont val="Tahoma"/>
        <family val="2"/>
      </rPr>
      <t>EXCLUDING</t>
    </r>
    <r>
      <rPr>
        <b/>
        <sz val="10"/>
        <rFont val="Tahoma"/>
        <family val="2"/>
      </rPr>
      <t xml:space="preserve"> BULK EARTH, EXTERNAL SITE &amp; SERVICES WORKS</t>
    </r>
  </si>
  <si>
    <r>
      <t xml:space="preserve">Terminal building </t>
    </r>
    <r>
      <rPr>
        <u/>
        <sz val="10"/>
        <rFont val="Tahoma"/>
        <family val="2"/>
      </rPr>
      <t>excluding</t>
    </r>
    <r>
      <rPr>
        <sz val="10"/>
        <rFont val="Tahoma"/>
        <family val="2"/>
      </rPr>
      <t xml:space="preserve"> Baggage &amp; X-ray machines</t>
    </r>
  </si>
  <si>
    <r>
      <t xml:space="preserve">Terminal building </t>
    </r>
    <r>
      <rPr>
        <u/>
        <sz val="10"/>
        <rFont val="Tahoma"/>
        <family val="2"/>
      </rPr>
      <t>including</t>
    </r>
    <r>
      <rPr>
        <sz val="10"/>
        <rFont val="Tahoma"/>
        <family val="2"/>
      </rPr>
      <t xml:space="preserve"> Baggage &amp; X-ray machines</t>
    </r>
  </si>
  <si>
    <r>
      <t xml:space="preserve">Pier Terminal building </t>
    </r>
    <r>
      <rPr>
        <u/>
        <sz val="10"/>
        <rFont val="Tahoma"/>
        <family val="2"/>
      </rPr>
      <t>excluding</t>
    </r>
    <r>
      <rPr>
        <sz val="10"/>
        <rFont val="Tahoma"/>
        <family val="2"/>
      </rPr>
      <t xml:space="preserve"> telescopic Air bridges, Seating &amp; ADS but including fixed bridges</t>
    </r>
  </si>
  <si>
    <r>
      <t xml:space="preserve">Pier Terminal building </t>
    </r>
    <r>
      <rPr>
        <u/>
        <sz val="10"/>
        <rFont val="Tahoma"/>
        <family val="2"/>
      </rPr>
      <t>including</t>
    </r>
    <r>
      <rPr>
        <sz val="10"/>
        <rFont val="Tahoma"/>
        <family val="2"/>
      </rPr>
      <t xml:space="preserve"> telescopic Air bridges, Seating &amp; ADS but including fixed bridges</t>
    </r>
  </si>
  <si>
    <r>
      <t>m</t>
    </r>
    <r>
      <rPr>
        <vertAlign val="superscript"/>
        <sz val="10"/>
        <rFont val="Tahoma"/>
        <family val="2"/>
      </rPr>
      <t>2</t>
    </r>
  </si>
  <si>
    <t>Excavation</t>
  </si>
  <si>
    <t>ACSA</t>
  </si>
  <si>
    <t>CAPITAL PROJECTS LIFE CYCLE</t>
  </si>
  <si>
    <t>FRONT END LOADING</t>
  </si>
  <si>
    <t>FEL STAGES</t>
  </si>
  <si>
    <t>BUSINESS NEED DEFINED</t>
  </si>
  <si>
    <t>FEL 1 - CONCEPT STUDY</t>
  </si>
  <si>
    <t>FEL 2 - PRE-FEASIBILITY</t>
  </si>
  <si>
    <t xml:space="preserve">FEL 3 - </t>
  </si>
  <si>
    <t>FEASIBILITY</t>
  </si>
  <si>
    <t>IMPLEMENTATION</t>
  </si>
  <si>
    <t>CLOSE OUT</t>
  </si>
  <si>
    <t>OPERATION</t>
  </si>
  <si>
    <t>A. STRATEGIC / FUNCTIONAL PROJECT BRIEF (EMPLOYERS REQUIREMENTS) DEFINED</t>
  </si>
  <si>
    <t>B. TECHNICAL DESIGN AND FEASIBILTY</t>
  </si>
  <si>
    <t xml:space="preserve">                                                                        </t>
  </si>
  <si>
    <t>PROJECT LIFE-CYCLE (LEVEL 3 / 4 DETAILED PROCESSES)</t>
  </si>
  <si>
    <t>PRINCE 2</t>
  </si>
  <si>
    <t>Starting up a project</t>
  </si>
  <si>
    <t>Initiating a project</t>
  </si>
  <si>
    <t>Managing product delivery</t>
  </si>
  <si>
    <t>Closing a project</t>
  </si>
  <si>
    <t>Managing a stage boundary</t>
  </si>
  <si>
    <t>Controlling a stage</t>
  </si>
  <si>
    <t>Directing a project</t>
  </si>
  <si>
    <t xml:space="preserve">PROCSA </t>
  </si>
  <si>
    <t>Project Initiation</t>
  </si>
  <si>
    <t>Inception</t>
  </si>
  <si>
    <t>Concept and Viability</t>
  </si>
  <si>
    <t>Design Development</t>
  </si>
  <si>
    <t>Documentation and Procurement</t>
  </si>
  <si>
    <t>Close Out</t>
  </si>
  <si>
    <t>SACPCMP</t>
  </si>
  <si>
    <t>Project Initiation and Briefing</t>
  </si>
  <si>
    <t>Concept and Feasibility</t>
  </si>
  <si>
    <t>Tender Documentation and Procurement</t>
  </si>
  <si>
    <t>Construction Documentation and Management</t>
  </si>
  <si>
    <t>ECSA</t>
  </si>
  <si>
    <t>Contract Administration and Inspection</t>
  </si>
  <si>
    <t>SACAP</t>
  </si>
  <si>
    <t>SACQSP</t>
  </si>
  <si>
    <t>PMBOK</t>
  </si>
  <si>
    <t>Initiating</t>
  </si>
  <si>
    <t>Planning</t>
  </si>
  <si>
    <t>Executing</t>
  </si>
  <si>
    <t>Closing</t>
  </si>
  <si>
    <t>Monitoring and Controlling</t>
  </si>
  <si>
    <t>SIPDM</t>
  </si>
  <si>
    <t>Stage 0 - Project Initiation</t>
  </si>
  <si>
    <t>Stage 1 - Infrastructure Planning</t>
  </si>
  <si>
    <t>Stage 2 - Strategic Resourcing</t>
  </si>
  <si>
    <t>Stage 3(a) - Prefeasilibity</t>
  </si>
  <si>
    <t>Stage 3(b) - Preparation and Briefing</t>
  </si>
  <si>
    <t>Stage 4 - Concept and Viability or Feasibility</t>
  </si>
  <si>
    <t>Stage 5 - Design Development</t>
  </si>
  <si>
    <t>Stage 6(a) - Design Documentation - Production Information</t>
  </si>
  <si>
    <t>Stage 6(b) - Manufacture, fabrication and construction information</t>
  </si>
  <si>
    <t>Stage 7 - Works</t>
  </si>
  <si>
    <t>Stage 8 - Handover</t>
  </si>
  <si>
    <t>Stage 9 - Package Completion</t>
  </si>
  <si>
    <t>OPEX / PRE-DEVELOPMENT FUNDING</t>
  </si>
  <si>
    <t>CAPEX</t>
  </si>
  <si>
    <t>PROCESS MANAGED BY ASSET OWNER / USER</t>
  </si>
  <si>
    <t>PROCESS MANAGED BY EXECUTION OWNER</t>
  </si>
  <si>
    <t xml:space="preserve">KEY STAKEHOLDERS INVOLVED THROUGH WHOLE LIFE CYCLE </t>
  </si>
  <si>
    <t>BU / BUSINESS PLANNING PROCESSES TO BE DEVELOPED ALIGNED TO EPMO FRAMEWORKS</t>
  </si>
  <si>
    <t>LEVEL 3 AND 4 PROJECT PROCESSES TO BE DEVELOPED ALIGNED TO EPMO FRAMEWORKS</t>
  </si>
  <si>
    <t>EPMO ASSURANCE, MONITORING AND REPORTING</t>
  </si>
  <si>
    <r>
      <t>m</t>
    </r>
    <r>
      <rPr>
        <vertAlign val="superscript"/>
        <sz val="10"/>
        <rFont val="Tahoma"/>
        <family val="2"/>
      </rPr>
      <t>3</t>
    </r>
    <r>
      <rPr>
        <sz val="11"/>
        <color theme="1"/>
        <rFont val="Calibri"/>
        <family val="2"/>
        <scheme val="minor"/>
      </rPr>
      <t/>
    </r>
  </si>
  <si>
    <t>Change Room/Ablutions/Terminal Ablutions</t>
  </si>
  <si>
    <t>Average rate per meter (60m wide, 4.2km long, Code F)</t>
  </si>
  <si>
    <t>Average rate per sq meter (60m wide, 4.2km long, Code F)</t>
  </si>
  <si>
    <r>
      <t>m</t>
    </r>
    <r>
      <rPr>
        <i/>
        <vertAlign val="superscript"/>
        <sz val="10"/>
        <rFont val="Tahoma"/>
        <family val="2"/>
      </rPr>
      <t>2</t>
    </r>
  </si>
  <si>
    <t>Structured parking (public) /bay</t>
  </si>
  <si>
    <r>
      <t>Structured parking (public) / m</t>
    </r>
    <r>
      <rPr>
        <vertAlign val="superscript"/>
        <sz val="10"/>
        <rFont val="Tahoma"/>
        <family val="2"/>
      </rPr>
      <t>2</t>
    </r>
  </si>
  <si>
    <t>On-grade parking (shaded, fenced, lights) / bay</t>
  </si>
  <si>
    <t>Soil Poisoning</t>
  </si>
  <si>
    <t>Formwork to edges</t>
  </si>
  <si>
    <t>NEW BUILDING ASSUMPTIONS</t>
  </si>
  <si>
    <t>BUIDING REFURBISHMENT ASSUMPTIONS</t>
  </si>
  <si>
    <t>CIVIL REHABILITATION ASSUMPTIONS</t>
  </si>
  <si>
    <r>
      <t>m</t>
    </r>
    <r>
      <rPr>
        <vertAlign val="superscript"/>
        <sz val="11"/>
        <rFont val="Calibri"/>
        <family val="2"/>
        <scheme val="minor"/>
      </rPr>
      <t>3</t>
    </r>
  </si>
  <si>
    <t>each</t>
  </si>
  <si>
    <r>
      <t xml:space="preserve"> /m</t>
    </r>
    <r>
      <rPr>
        <b/>
        <vertAlign val="superscript"/>
        <sz val="10"/>
        <rFont val="Tahoma"/>
        <family val="2"/>
      </rPr>
      <t>2</t>
    </r>
  </si>
  <si>
    <r>
      <t xml:space="preserve"> /m</t>
    </r>
    <r>
      <rPr>
        <vertAlign val="superscript"/>
        <sz val="10"/>
        <rFont val="Tahoma"/>
        <family val="2"/>
      </rPr>
      <t>2</t>
    </r>
  </si>
  <si>
    <t>Breaking up existing concrete slab</t>
  </si>
  <si>
    <r>
      <t xml:space="preserve"> /m</t>
    </r>
    <r>
      <rPr>
        <vertAlign val="superscript"/>
        <sz val="10"/>
        <rFont val="Tahoma"/>
        <family val="2"/>
      </rPr>
      <t>3</t>
    </r>
    <r>
      <rPr>
        <sz val="11"/>
        <color theme="1"/>
        <rFont val="Calibri"/>
        <family val="2"/>
        <scheme val="minor"/>
      </rPr>
      <t/>
    </r>
  </si>
  <si>
    <t xml:space="preserve">Pavement Construction </t>
  </si>
  <si>
    <t>150mm G6 Layer</t>
  </si>
  <si>
    <t>150mm G7 Base course</t>
  </si>
  <si>
    <t>Concrete Aprons Stands (85mm) - (construction)</t>
  </si>
  <si>
    <t>Ashphalt Road Surface</t>
  </si>
  <si>
    <t>Setting out and pre-marking the lines</t>
  </si>
  <si>
    <t>White and Yellow lines (Broken and Unbroken)</t>
  </si>
  <si>
    <t>1800mm Wide</t>
  </si>
  <si>
    <t>900mm Wide</t>
  </si>
  <si>
    <t>150mm Wide</t>
  </si>
  <si>
    <t>6000mm Wide</t>
  </si>
  <si>
    <t>White and Yellow lettering and symbols</t>
  </si>
  <si>
    <t>Red lettering and symbols</t>
  </si>
  <si>
    <t>Miling out existing bituminious material</t>
  </si>
  <si>
    <t xml:space="preserve"> /Km</t>
  </si>
  <si>
    <t>Roadmarkings (Refurbishment)</t>
  </si>
  <si>
    <t>FILL IN ONLY THE GREY BOXES</t>
  </si>
  <si>
    <t>Double counter</t>
  </si>
  <si>
    <t>Single counter</t>
  </si>
  <si>
    <t>Installation of Check-in Counters - Double</t>
  </si>
  <si>
    <t>Each</t>
  </si>
  <si>
    <t xml:space="preserve"> /No</t>
  </si>
  <si>
    <t>Installation of Check-in Counters - Single</t>
  </si>
  <si>
    <t>Built-in Chairs</t>
  </si>
  <si>
    <t>Built-in seats</t>
  </si>
  <si>
    <t>Administration Offices (Building)</t>
  </si>
  <si>
    <t>Office (1x standard office)</t>
  </si>
  <si>
    <t>Elevators</t>
  </si>
  <si>
    <t>Elevator - 1.5 x 1.2</t>
  </si>
  <si>
    <t>General Building Construction Rates</t>
  </si>
  <si>
    <t>Departure Lounge</t>
  </si>
  <si>
    <t>Holding Lounge</t>
  </si>
  <si>
    <t>450mm Wide</t>
  </si>
  <si>
    <t>ORTIA - Rehabilitation of Runways and RETs</t>
  </si>
  <si>
    <t>12-16%</t>
  </si>
  <si>
    <t>ORTIA- Additional baggage carousel</t>
  </si>
  <si>
    <t xml:space="preserve">Arrivals corousels </t>
  </si>
  <si>
    <t>Installation, commisioning and handover</t>
  </si>
  <si>
    <t>Baggage Corousels</t>
  </si>
  <si>
    <t>Roadmarkings (Painting)</t>
  </si>
  <si>
    <t xml:space="preserve">Concrete Rehab. Stands </t>
  </si>
  <si>
    <t>Asphalt Mill and Replace RWY/TWY</t>
  </si>
  <si>
    <t>Ashphalt Road Surface (Repair)</t>
  </si>
  <si>
    <t>Pavement Repairs</t>
  </si>
  <si>
    <t>PROJECT ESTIMATE</t>
  </si>
  <si>
    <t>FEL PHASES</t>
  </si>
  <si>
    <t>Pre-Feasib ility</t>
  </si>
  <si>
    <t>FIDPM</t>
  </si>
  <si>
    <t>Classes</t>
  </si>
  <si>
    <t>N/A</t>
  </si>
  <si>
    <t>Class 5,4&amp;3</t>
  </si>
  <si>
    <t>Gates</t>
  </si>
  <si>
    <t>Portfolio &amp; Programme Process</t>
  </si>
  <si>
    <t>Inception Stage</t>
  </si>
  <si>
    <t>15%-40%</t>
  </si>
  <si>
    <t xml:space="preserve">Haylett (Commercial and Industrial Buildings) </t>
  </si>
  <si>
    <t>to increase their profit margins on tender prices as there is plenty of work to go around. They can not afford to lose contracts.</t>
  </si>
  <si>
    <t>VEHICLE PREVENTATIVE AND BREAKDOWN MAINTENANCE.</t>
  </si>
  <si>
    <t xml:space="preserve">Normal Hours - Labour </t>
  </si>
  <si>
    <t>/Hr</t>
  </si>
  <si>
    <t>per person per hour</t>
  </si>
  <si>
    <t>Towing Charges</t>
  </si>
  <si>
    <t>Roadworthy certifications</t>
  </si>
  <si>
    <t>Car wash, vacuum and tyres</t>
  </si>
  <si>
    <t>Variable permit cost</t>
  </si>
  <si>
    <t>/annum</t>
  </si>
  <si>
    <t>Monthly contract administration fees (fixed)</t>
  </si>
  <si>
    <t>Call out charges</t>
  </si>
  <si>
    <t>Remarks</t>
  </si>
  <si>
    <t>No call out charge for the collection and delivery of vehicles from the Company sites for all services as they form part of the value added services.</t>
  </si>
  <si>
    <r>
      <rPr>
        <b/>
        <i/>
        <sz val="11"/>
        <color theme="1"/>
        <rFont val="Calibri"/>
        <family val="2"/>
        <scheme val="minor"/>
      </rPr>
      <t>Entails the following:</t>
    </r>
    <r>
      <rPr>
        <i/>
        <sz val="11"/>
        <color theme="1"/>
        <rFont val="Calibri"/>
        <family val="2"/>
        <scheme val="minor"/>
      </rPr>
      <t xml:space="preserve"> Management, Systems, Inspections, Customer Liaison, Infrastructure including call centre service and six field technicians (two per airport site)</t>
    </r>
  </si>
  <si>
    <t>The airside Induction Training (AIT), Airside Vehicle Operator Training (AVOP), Permanent Personal and Vehicle Permit costs shall be paid by the Service Provider to the training service provider and the Company permit office. Costs shall be claimed back from the Company for completed training and issued permits. Proof of al relevant documents i.e. training certs., receipts must be produced.</t>
  </si>
  <si>
    <t>BATTERY AND TYRE SUPPLY &amp; MAINTENANCE.</t>
  </si>
  <si>
    <t>Wheel alignment front &amp; rear</t>
  </si>
  <si>
    <t>MARK-UP FEE %</t>
  </si>
  <si>
    <t>R0 - 1,000</t>
  </si>
  <si>
    <t>R1,001 - R5,000</t>
  </si>
  <si>
    <t>R5,001 - R10,000</t>
  </si>
  <si>
    <t>+R10,000</t>
  </si>
  <si>
    <t>On 3rd party procured items/services (incl. subcontractors)</t>
  </si>
  <si>
    <t>Replacement/Spare parts</t>
  </si>
  <si>
    <t>Value of Item/Service</t>
  </si>
  <si>
    <t>* Builders’ input prices are expected to maintain their momentum through 2021.</t>
  </si>
  <si>
    <t>The average annual inflation rate as per CPI is 3.88%</t>
  </si>
  <si>
    <t>Canopy</t>
  </si>
  <si>
    <t xml:space="preserve">Signage or branding                 </t>
  </si>
  <si>
    <t xml:space="preserve">Description                                       </t>
  </si>
  <si>
    <t>D/cab                                 </t>
  </si>
  <si>
    <t xml:space="preserve"> S/cab                               </t>
  </si>
  <si>
    <t>   ½ ton                 </t>
  </si>
  <si>
    <t xml:space="preserve"> Sedan                 </t>
  </si>
  <si>
    <t xml:space="preserve"> Minibus</t>
  </si>
  <si>
    <t xml:space="preserve">Extended warranty                   </t>
  </si>
  <si>
    <t>Towbar                </t>
  </si>
  <si>
    <t>Nudge Bar             </t>
  </si>
  <si>
    <t>Rollbar               </t>
  </si>
  <si>
    <t xml:space="preserve">LED starbar beacon &amp; siren   </t>
  </si>
  <si>
    <t>Smash &amp; grab  </t>
  </si>
  <si>
    <t>Rubberising                </t>
  </si>
  <si>
    <t>Fire extinguisher    </t>
  </si>
  <si>
    <t>License &amp; registration            </t>
  </si>
  <si>
    <t>Delivery costs        </t>
  </si>
  <si>
    <t>Maintenance plan             </t>
  </si>
  <si>
    <t>Std</t>
  </si>
  <si>
    <t>FLEET</t>
  </si>
  <si>
    <t>Contractual Requirements</t>
  </si>
  <si>
    <t>EARTHWORKS</t>
  </si>
  <si>
    <t>SITE CLEARANCE ETC</t>
  </si>
  <si>
    <t>Digging up and removing rubbish,debris,vegetation,hedges,</t>
  </si>
  <si>
    <t>m²</t>
  </si>
  <si>
    <t>shrubs and trees not exceeding 200mm girth,bush,etc</t>
  </si>
  <si>
    <t>Stripping average 150mm thick layer of topsoil and stockpile</t>
  </si>
  <si>
    <t>on site</t>
  </si>
  <si>
    <t>Removal of top soil</t>
  </si>
  <si>
    <t xml:space="preserve">Remove top soil to 150mm </t>
  </si>
  <si>
    <t>m³</t>
  </si>
  <si>
    <t>Excavation in earth not exceeding 2m deep</t>
  </si>
  <si>
    <t>Trenches</t>
  </si>
  <si>
    <t>Sump</t>
  </si>
  <si>
    <t>Extra over excavation for soft rock</t>
  </si>
  <si>
    <t>Soft rock</t>
  </si>
  <si>
    <t>Hard rock</t>
  </si>
  <si>
    <t>Risk of collapse of excavations</t>
  </si>
  <si>
    <t>Sides of trench and hole excavations not exceeding 1.5m</t>
  </si>
  <si>
    <t>deep</t>
  </si>
  <si>
    <t>Keeping excavation free of water</t>
  </si>
  <si>
    <t>Keeping excavations free of water other than subterranean water</t>
  </si>
  <si>
    <t>Well compacted earth filling from the excavation</t>
  </si>
  <si>
    <t>Under floors, steps,paving,etc</t>
  </si>
  <si>
    <t>Backfilling to trenches,holes,etc</t>
  </si>
  <si>
    <t>Compaction of surfaces</t>
  </si>
  <si>
    <t>Compaction of ground surface under floors,etc including</t>
  </si>
  <si>
    <t>scarifying for a depth of 150mm,breaking down oversize</t>
  </si>
  <si>
    <t>material,adding suitable material where necessary and</t>
  </si>
  <si>
    <t>compaction to 93% Mod AASHTO density</t>
  </si>
  <si>
    <t>SOIL POISINING</t>
  </si>
  <si>
    <t>Soil insecticide</t>
  </si>
  <si>
    <t>Under floors etc incl.forming and poisoning shallow</t>
  </si>
  <si>
    <t>furrows against foundation walls etc, filling in furrows</t>
  </si>
  <si>
    <t>and ramming</t>
  </si>
  <si>
    <t>REINFORCED CONCRETE CAST AGAINST</t>
  </si>
  <si>
    <t xml:space="preserve"> EXCAVATED SURFACES </t>
  </si>
  <si>
    <t>25MPa/19mm</t>
  </si>
  <si>
    <t>Foundations</t>
  </si>
  <si>
    <t>m3</t>
  </si>
  <si>
    <t>Surfacebed</t>
  </si>
  <si>
    <t>Sumps slab</t>
  </si>
  <si>
    <t>Ramps and landings</t>
  </si>
  <si>
    <t>30MPa/19mm</t>
  </si>
  <si>
    <t>600mm concrete column supported with 10mm control joints</t>
  </si>
  <si>
    <t>Suspended beams</t>
  </si>
  <si>
    <t>Roof slab topping</t>
  </si>
  <si>
    <t xml:space="preserve">CONCRETE SUNDRIES </t>
  </si>
  <si>
    <t xml:space="preserve">TEST BLOCKS </t>
  </si>
  <si>
    <t>Making and testing 150 x 150 x 150mm concrete strength test</t>
  </si>
  <si>
    <t xml:space="preserve"> cube (Provisional) </t>
  </si>
  <si>
    <t>LOUVRE PANEL AS ENGINNERS DETAILS</t>
  </si>
  <si>
    <t>500 x 500mm opening, 300mm above F.F.L with powder coated</t>
  </si>
  <si>
    <t>charcoal. Grey lourve</t>
  </si>
  <si>
    <t>1000 x 1000mm opening, 4100mm above F.F.L with powder coated</t>
  </si>
  <si>
    <t>FORMWORK CLASS F1 (ORDINARY FINISH)</t>
  </si>
  <si>
    <t>Rough formwork to :</t>
  </si>
  <si>
    <t xml:space="preserve">Rough formwork to sides </t>
  </si>
  <si>
    <t>Edges, risers, ends and reveals not exceeding 300mm high or wide</t>
  </si>
  <si>
    <t xml:space="preserve">Fabric reinforcement </t>
  </si>
  <si>
    <t xml:space="preserve">Ref 245 fabric reinforcement in concrete surface beds, slabs, etc </t>
  </si>
  <si>
    <t xml:space="preserve">Ref 193 fabric reinforcement in concrete surface beds, slabs, etc </t>
  </si>
  <si>
    <t xml:space="preserve">MOVEMENT JOINTS ETC </t>
  </si>
  <si>
    <t>Expansion joints with bitumen impregnated softboard</t>
  </si>
  <si>
    <t xml:space="preserve"> between vertical concrete and brick surfaces </t>
  </si>
  <si>
    <t>10mm  Joints not exceeding 300mm high</t>
  </si>
  <si>
    <t>REINFORCEMENT (450MPa)</t>
  </si>
  <si>
    <t>All reinforcement as per schedules BD-1272-R-001/002/003/004</t>
  </si>
  <si>
    <t>t</t>
  </si>
  <si>
    <t>WATERPROOFING</t>
  </si>
  <si>
    <t>DAMP-PROOFING OF WALLS AND FLOORS</t>
  </si>
  <si>
    <t xml:space="preserve">Super laykold rubberised bitumen waterproofing emalsion </t>
  </si>
  <si>
    <t>membrane on the inner skin of cavity wall</t>
  </si>
  <si>
    <t>On existing double skin wall</t>
  </si>
  <si>
    <t>One layer of 250 micron"Consol Plastics</t>
  </si>
  <si>
    <t>Gunplas USB Green"waterproof sheeting</t>
  </si>
  <si>
    <t>sealed at laps with"Gunnplas Pressure</t>
  </si>
  <si>
    <t>Sensitive Tape"</t>
  </si>
  <si>
    <t>Under surface beds</t>
  </si>
  <si>
    <t>One layer of 375 micron"Consol Plastick</t>
  </si>
  <si>
    <t>Brikgrip DPC"embossed damp proof course</t>
  </si>
  <si>
    <t>In walls</t>
  </si>
  <si>
    <t xml:space="preserve">MASONRY  </t>
  </si>
  <si>
    <t xml:space="preserve">SUBSTRUCTURE  </t>
  </si>
  <si>
    <t xml:space="preserve">Brickswork,  NFX bricks in founation class 2 mortar  </t>
  </si>
  <si>
    <t>One brick wall</t>
  </si>
  <si>
    <t>Sump brickwork of one brickwall</t>
  </si>
  <si>
    <t xml:space="preserve">SUPERSTRUCTURE  </t>
  </si>
  <si>
    <t xml:space="preserve">Brickwork of NFP bricks in class 2 mortar  </t>
  </si>
  <si>
    <t xml:space="preserve">BRICKWORK SUNDRIES  </t>
  </si>
  <si>
    <t xml:space="preserve">Brick reinforcement  </t>
  </si>
  <si>
    <t xml:space="preserve">150mm Wide reinforcement built in horizontally  </t>
  </si>
  <si>
    <t>Cutting and toothing one brick wall</t>
  </si>
  <si>
    <t xml:space="preserve">Prestressed fabricated lintels  </t>
  </si>
  <si>
    <t>75 x 85mm Lintels in lengths not exceeding 3m</t>
  </si>
  <si>
    <t xml:space="preserve">Galvanised wire ties etc </t>
  </si>
  <si>
    <t>4mm Diameter roof tie 2m girth bent double with one end fixed to</t>
  </si>
  <si>
    <t xml:space="preserve"> timber and other end built into blockwork </t>
  </si>
  <si>
    <t xml:space="preserve">Turning pieces  </t>
  </si>
  <si>
    <t xml:space="preserve">230mm Wide turning piece to lintels etc  </t>
  </si>
  <si>
    <t xml:space="preserve">CARPENTRY AND JOINERY </t>
  </si>
  <si>
    <t xml:space="preserve">DOORS ETC </t>
  </si>
  <si>
    <t xml:space="preserve">Wrought meranti doors hung to steel frames </t>
  </si>
  <si>
    <t xml:space="preserve">40mm semi solid door 1100 x 2100mm high of 40 x 150mm top rail and </t>
  </si>
  <si>
    <t>stiles, 1.5 per leaf howick H036R, 100X75 Brass But Hinges with double</t>
  </si>
  <si>
    <t xml:space="preserve"> nylon washers (D3)</t>
  </si>
  <si>
    <t xml:space="preserve">40mm semi solid door 877 x 2100mm high of 40 x 150mm top rail and </t>
  </si>
  <si>
    <t xml:space="preserve"> nylon washers (D4)</t>
  </si>
  <si>
    <t xml:space="preserve">IRONMONGERY </t>
  </si>
  <si>
    <t xml:space="preserve">HINGES, BOLTS, ETC </t>
  </si>
  <si>
    <t>150mm Brass barrel bolt with keep let into concrete</t>
  </si>
  <si>
    <t xml:space="preserve">LOCKS  </t>
  </si>
  <si>
    <t xml:space="preserve">The following locks are to be suitable for master key operation </t>
  </si>
  <si>
    <t xml:space="preserve">Deadlock sets as per engineers details </t>
  </si>
  <si>
    <t>Push panic bar on the internal of door as supplied by bitcon</t>
  </si>
  <si>
    <t xml:space="preserve">SUNDRIES </t>
  </si>
  <si>
    <t xml:space="preserve">38mm Diameter red rubber door stop plugged </t>
  </si>
  <si>
    <t xml:space="preserve">METALWORK </t>
  </si>
  <si>
    <t>Class B doors finnished in stainless steel with a knob/key</t>
  </si>
  <si>
    <t>cylinder lockset, stainless steel ball bearing hinges 100 x 300mm</t>
  </si>
  <si>
    <t>double glazed clear GEORGIAN wired glass viewing panal</t>
  </si>
  <si>
    <t xml:space="preserve">with stainless steel frame fitted 1.6mm pressed metal stainless </t>
  </si>
  <si>
    <t>steel frame.</t>
  </si>
  <si>
    <t>Frame for door 1100 x 2100mm high (D3)</t>
  </si>
  <si>
    <t>Frame for door 877 x 2100mm high (D4)</t>
  </si>
  <si>
    <t>Roller shutters as per engineers specification</t>
  </si>
  <si>
    <t>Double door frame 2500 x 3500mm high (D3)</t>
  </si>
  <si>
    <t>Double door frame 2100 x1500mm high (D2)</t>
  </si>
  <si>
    <t xml:space="preserve">Balustrading as per engineers details </t>
  </si>
  <si>
    <t>balustrading</t>
  </si>
  <si>
    <t>Canopy as per engineers details</t>
  </si>
  <si>
    <t>Fire Protector</t>
  </si>
  <si>
    <t>Fire protecting equipment</t>
  </si>
  <si>
    <t xml:space="preserve">PLASTERING </t>
  </si>
  <si>
    <t xml:space="preserve">SCREEDS </t>
  </si>
  <si>
    <t xml:space="preserve">Screeds on concrete </t>
  </si>
  <si>
    <t>35mm Average screed to falls</t>
  </si>
  <si>
    <t xml:space="preserve">EXTERNAL PLASTER </t>
  </si>
  <si>
    <t xml:space="preserve">Cement plaster on brickwork </t>
  </si>
  <si>
    <t xml:space="preserve">On walls </t>
  </si>
  <si>
    <t>On narrow widths</t>
  </si>
  <si>
    <t>Skimming</t>
  </si>
  <si>
    <t>Skimming to internal roof top</t>
  </si>
  <si>
    <t xml:space="preserve">PLUMBING AND DRAINAGE  </t>
  </si>
  <si>
    <t xml:space="preserve">RAINWATER DISPOSAL </t>
  </si>
  <si>
    <t xml:space="preserve">Chromodeck  gutters and down pipe. </t>
  </si>
  <si>
    <t xml:space="preserve">100x 75mm Eaves gutters. </t>
  </si>
  <si>
    <t xml:space="preserve">Extra over gutter for stopped end. </t>
  </si>
  <si>
    <t xml:space="preserve">Extra over gutter for angle. </t>
  </si>
  <si>
    <t>Extra over 100 x 75mm eaves gutter for outlet for 75mm</t>
  </si>
  <si>
    <t xml:space="preserve"> diameter pipe. </t>
  </si>
  <si>
    <t xml:space="preserve">75mm Diameter rainwater pipes. </t>
  </si>
  <si>
    <t xml:space="preserve">Extra over rainwater pipe for bend. </t>
  </si>
  <si>
    <t xml:space="preserve">PAINTWORK </t>
  </si>
  <si>
    <t xml:space="preserve">PAINTWORK ETC TO NEW WORK </t>
  </si>
  <si>
    <t xml:space="preserve">ON FLOATED PLASTER </t>
  </si>
  <si>
    <t>One coat primer and two coats "Plascon Wall 'n All" acrylic</t>
  </si>
  <si>
    <t xml:space="preserve"> acrylic emulsion paint </t>
  </si>
  <si>
    <t>On internal walls and eternal walls</t>
  </si>
  <si>
    <t xml:space="preserve">ON FIBRE-CEMENT </t>
  </si>
  <si>
    <t xml:space="preserve">One coat sealer and two coats "Plascon Double Velvet" paint </t>
  </si>
  <si>
    <t>On ceilings (Skimming)</t>
  </si>
  <si>
    <t>ON STEEL FRAME</t>
  </si>
  <si>
    <t>On steel door frames</t>
  </si>
  <si>
    <t>On steel roof frames</t>
  </si>
  <si>
    <t>One coat primer, one undercoat and two coats Plascon</t>
  </si>
  <si>
    <t xml:space="preserve"> Velvaglo </t>
  </si>
  <si>
    <t xml:space="preserve">On doors </t>
  </si>
  <si>
    <t>GLAZING</t>
  </si>
  <si>
    <t xml:space="preserve"> CLEAR ‘GEORGIAN’ WIRED GLASS VIEWING PANEL</t>
  </si>
  <si>
    <t>100 x 300mm double glazed clear GEORGIAN wire glass</t>
  </si>
  <si>
    <t>viewing panel</t>
  </si>
  <si>
    <t>EXTERNAL WORKS</t>
  </si>
  <si>
    <t xml:space="preserve">EARTHWORKS </t>
  </si>
  <si>
    <t xml:space="preserve">Keeping excavations free of water: </t>
  </si>
  <si>
    <t>Keeping excavations free of all water other than subterranean</t>
  </si>
  <si>
    <t xml:space="preserve"> water. </t>
  </si>
  <si>
    <t xml:space="preserve">CARTING AWAY. </t>
  </si>
  <si>
    <t>Extra over all excavations for loading, carting and</t>
  </si>
  <si>
    <t xml:space="preserve"> dumping surplus excavated material (no allowance made</t>
  </si>
  <si>
    <t xml:space="preserve"> for increase in bulk): </t>
  </si>
  <si>
    <t xml:space="preserve">Off site to a dumping site to be found by the Contractor. </t>
  </si>
  <si>
    <t xml:space="preserve">Surface Preparation: </t>
  </si>
  <si>
    <t>Trim and level off surface of ground (excavated or filled under</t>
  </si>
  <si>
    <t xml:space="preserve"> this Contract) to receive concrete surface beds, including</t>
  </si>
  <si>
    <t xml:space="preserve"> excavating or filling, ripping and scarifying as necessary,</t>
  </si>
  <si>
    <t xml:space="preserve"> stabilising with 4% lime and compacting the whole area for a</t>
  </si>
  <si>
    <t xml:space="preserve"> depth of 150mm to a density of at least 95% Mod. AASHTO</t>
  </si>
  <si>
    <t xml:space="preserve"> maximum density, part to falls. </t>
  </si>
  <si>
    <t>Imported Materials</t>
  </si>
  <si>
    <t xml:space="preserve">Supply  clean river sand of 0.050mm thickness </t>
  </si>
  <si>
    <t>Concrete Pavers</t>
  </si>
  <si>
    <t xml:space="preserve">Supply and lay according to the architects specification </t>
  </si>
  <si>
    <t>concrete pavers</t>
  </si>
  <si>
    <t>FIRE PROTECTION</t>
  </si>
  <si>
    <t>Note: All rates shall be inclusive of supply and installation</t>
  </si>
  <si>
    <t>PRELIMINARY AND GENERAL</t>
  </si>
  <si>
    <t>The contractor shall establsih site and ensure all health and safety files are in place.  All permits shall be included in the P&amp;Gs</t>
  </si>
  <si>
    <t>FIRE HOSE REEL</t>
  </si>
  <si>
    <t>"Everyway" hose reel complete with 30m plastic hose,  chromium plated stopcock, shut-off nozzle and wall bracket inclusive of water supply all fitted complete.  Hose reels shall comply with the requirements in SANS 543, shall be installed in accordance with SANS 10105-2 and SANS 10400-W</t>
  </si>
  <si>
    <t>Contractor shall design supply and install the fire hose reel network and reticulation complete with all pipes, connections, hangers, valves, trenches, bends, fixings, painting, droppers, etc.  During simultaneous operation of hose reels, each fire hose reel shall maintain a 30 l/min flow rate at a minimum pressure of 300 kPa and not exceeding 600 kPa.  The fire hose reels shall tie-in to the ACSA potable water network.</t>
  </si>
  <si>
    <t>FIRE EXTINGUISHERS</t>
  </si>
  <si>
    <t>Portable fire extinguishers with hardwood backing boards complying with the relevent SANS code 1910, 1475-1 &amp; 10105-1</t>
  </si>
  <si>
    <t>5 kg CO2 fire extinguisher</t>
  </si>
  <si>
    <t xml:space="preserve">9 kg Dry chemical powder fire extinguisher </t>
  </si>
  <si>
    <t>9l Wet foam fire extinguisher</t>
  </si>
  <si>
    <t>SIGNAGE AND DEMARCATION</t>
  </si>
  <si>
    <t>E1 FIRE ESCAPE SIGNAGE</t>
  </si>
  <si>
    <t>E6 FIRE ESCAPE SIGNAGE</t>
  </si>
  <si>
    <t>F4 FIRE EQUIPMENT SIGNAGE</t>
  </si>
  <si>
    <t>F27 FIRE EQUIPMENT SIGNAGE</t>
  </si>
  <si>
    <t>F28 FIRE EQUIPMENT SIGNAGE</t>
  </si>
  <si>
    <t>FR10 FIRE EQUIPMENT SIGNAGE</t>
  </si>
  <si>
    <t>PR10 FIRE EQUIPMENT SIGNAGE</t>
  </si>
  <si>
    <t>Painting and deamrcation: Each store shall be numbered with paint as given on the fire plans.  The bund capacity of each store and product stored in each store shall also be marked on the stores.  The contractor shall specify a paint easily visible in poor light</t>
  </si>
  <si>
    <t>SPILL KIT</t>
  </si>
  <si>
    <t>Supply chemical spillkit to the main store</t>
  </si>
  <si>
    <t>FIRE STOPPING</t>
  </si>
  <si>
    <t>All services (ducts, pipes and cables) penetrations in the walls and roof shall be fire stopped. All cable openings to buildings shall be sealed with mineral wool panels with and panel seal (fire and water resistant coating) to ensure a smoke and gas tight seal. Cables shall be treated with intumescent paint. All fire stopping elements shall maintain a fire resistance of 120 minutes</t>
  </si>
  <si>
    <t>2 hour fire resistant mineral wool panel</t>
  </si>
  <si>
    <t>2 hour fire resistant intumescent paint</t>
  </si>
  <si>
    <t>2 hour fire resistant, water proof panel seal</t>
  </si>
  <si>
    <t>2 hour fire resitant gap seal</t>
  </si>
  <si>
    <t>RELOCATION WORKS</t>
  </si>
  <si>
    <t>Relocation of exisiting fire hydrant main.</t>
  </si>
  <si>
    <t>TESTING, COMISSIONING,COC AND MAINTENANCE</t>
  </si>
  <si>
    <t xml:space="preserve">Testing, Comissioning and certificate of completion </t>
  </si>
  <si>
    <t>12 months maintenance during defects and liabibilty period</t>
  </si>
  <si>
    <t>VENTILATION</t>
  </si>
  <si>
    <t>WEATHER LOUVRES</t>
  </si>
  <si>
    <t>WL 1.2 WEATHER LOUVRE c/w OBD AND BURGLAR BARS 1630 L/s, 1000mmx1000mm</t>
  </si>
  <si>
    <t>WL 2.3 WEATHER LOUVRE c/w OBD AND BURGLAR BARS 632 L/s, 500mmx500mm</t>
  </si>
  <si>
    <t>Weather louvres shall be corrosion resistant type</t>
  </si>
  <si>
    <t>EX RATED ZONE 1 COMPLIANT FLAME PROOF AXIAL FANS (300 Pa, 1440 RPM, 380V/3Ph/50Hz)</t>
  </si>
  <si>
    <t>All fixing equipment hangers and wiring shall be included in the fans price</t>
  </si>
  <si>
    <t>EAF 1.1 AXIAL FLOW FAN c/w 2 OFF. SOUND ATTENUATORS, 710mm diameter 4888 L/s, 3 kW</t>
  </si>
  <si>
    <t>EAF 2.1 AXIAL FLOW FAN c/w 2 OFF. SOUND ATTENUATORS, 560mm diameter 1263 L/s, 0.55 kW</t>
  </si>
  <si>
    <t>EAF 2.2 AXIAL FLOW FAN c/w 2 OFF. SOUND ATTENUATORS, 560mm diameter 1263 L/s, 0.55 kW</t>
  </si>
  <si>
    <t xml:space="preserve">Note:  Fan blades shall be aluminium to ensure corrosion protection.  All cabling and wiring shall be intrinsically safe and compatible with Zone 1 EX RATING </t>
  </si>
  <si>
    <t xml:space="preserve">EX RATE ZONE 1 COMPLIANT MOTORIZED WALL DAMPERS COMPLETE WITH EX RATED ZONE 1 OPEN AND CLOSE LIMIT SWITCHES </t>
  </si>
  <si>
    <t>All frames equipment hangers and wiring shall be included in the dampers price</t>
  </si>
  <si>
    <t>FD 1.1 SPRING LOADED MOTORISED WALL MOUNTED FIRE DAMPER RATED FOR ZONE 1 INCLUDING OPEN AND CLOSE LIMIT SWICTHES</t>
  </si>
  <si>
    <t>FD 1.2 SPRING LOADED MOTORISED WALL MOUNTED FIRE DAMPER RATED FOR ZONE 1 INCLUDING OPEN AND CLOSE LIMIT SWICTHES</t>
  </si>
  <si>
    <t>FD 2.1 SPRING LOADED MOTORISED DUCT MOUNTED FIRE DAMPER RATED FOR ZONE 1 INCLUDING OPEN AND CLOSE LIMIT SWICTHES</t>
  </si>
  <si>
    <t>FD 2.2 SPRING LOADED MOTORISED WALL MOUNTED FIRE DAMPER RATED FOR ZONE 1 INCLUDING OPEN AND CLOSE LIMIT SWICTHES</t>
  </si>
  <si>
    <t>DUCT WORK</t>
  </si>
  <si>
    <t>All duct work shall be sheet metal to SANS 1238 and be installed and tested to SANS 10173.  All fixings, bolts, nuts, hangers, frames, fabrication works, hangers, galvanizing etc shall be included in the rates</t>
  </si>
  <si>
    <t>Ducts</t>
  </si>
  <si>
    <t xml:space="preserve">Rectangular Duct 300x400 </t>
  </si>
  <si>
    <t xml:space="preserve">Rectangular Duct 400x400 </t>
  </si>
  <si>
    <t xml:space="preserve">Rectangular Duct 500x500 </t>
  </si>
  <si>
    <t>Rectangular Duct 650x650</t>
  </si>
  <si>
    <t xml:space="preserve">Round Duct 710ø </t>
  </si>
  <si>
    <t xml:space="preserve">Rectangular Duct 750x750 </t>
  </si>
  <si>
    <t xml:space="preserve">Rectangular Duct 1000x1000 </t>
  </si>
  <si>
    <t>Design, manufacture, supply and install extraction duct supporting structures.  Structures and fixing`s shall be galvanized to ensure corrosion protection</t>
  </si>
  <si>
    <t>Duct fittings</t>
  </si>
  <si>
    <t xml:space="preserve">400x300-400x300 RECTANGULAR - BEVELED TAKE-OFF </t>
  </si>
  <si>
    <t xml:space="preserve">400x400 RECTANGULAR STOP END CAP </t>
  </si>
  <si>
    <t xml:space="preserve">500x500-400x400 RECTANGULAR - TRANSFORMATION PIECE </t>
  </si>
  <si>
    <t xml:space="preserve">500x500-500x500 RECTANGULAR - 1 x DUCT RADIUS BEND </t>
  </si>
  <si>
    <t xml:space="preserve">500x500-500x500 RECTANGULAR - BEVELED TAKE-OFF </t>
  </si>
  <si>
    <t xml:space="preserve">630x630-710ø ROUND TO RECTANGULAR - TRANSFORMATION PIECE </t>
  </si>
  <si>
    <t xml:space="preserve">630ø-500x500 ROUND TO RECTANGULAR - TRANSFORMATION PIECE </t>
  </si>
  <si>
    <t xml:space="preserve">630ø-630ø ROUND - 1 x DUCT RADIUS BEND </t>
  </si>
  <si>
    <t xml:space="preserve">650x650-500x500 RECTANGULAR - TRANSFORMATION PIECE </t>
  </si>
  <si>
    <t xml:space="preserve">650x650-650x650 RECTANGULAR - BEVELED TAKE-OFF </t>
  </si>
  <si>
    <t xml:space="preserve">750x750 RECTANGULAR STOP END CAP </t>
  </si>
  <si>
    <t xml:space="preserve">750x750-710ø ROUND TO RECTANGULAR - TRANSFORMATION PIECE </t>
  </si>
  <si>
    <t xml:space="preserve">750x750-750x750 RECTANGULAR - 1 x DUCT RADIUS BEND </t>
  </si>
  <si>
    <t xml:space="preserve">1000x1000-500x500 RECTANGULAR - TRANSFORMATION PIECE </t>
  </si>
  <si>
    <t>STAINLESS STEEL MESH @ 20mm SPACING.</t>
  </si>
  <si>
    <t>16mm BURGLAR BARS</t>
  </si>
  <si>
    <t xml:space="preserve">Testing, Commissioning and certificate of completion </t>
  </si>
  <si>
    <t>1 year maintenance during defects and liability</t>
  </si>
  <si>
    <t>Supply, deliver to site, off-load and store if necessary and install the following cables with copper conductors.</t>
  </si>
  <si>
    <t>Installation and testing of cables as per specification including clamps, ties and cable numbering system.</t>
  </si>
  <si>
    <t>35mm² x 4C PVC/SWA/PVC + 25mm² x 1C Green insulated earth wire (600/1000V to SANS 1507)</t>
  </si>
  <si>
    <t>2.5mm² x 4C PVC/SWA/PVC ECC  (600/1000V to SANS 1507)</t>
  </si>
  <si>
    <t>2.5mm² x 3C PVC/SWA/PVC  (600/1000V to SANS 1507)</t>
  </si>
  <si>
    <t>2.5mm² x 3C PVC/PVC  (600/1000V to SANS 1507)</t>
  </si>
  <si>
    <t xml:space="preserve"> 2 x 2.5mm²  + 2,5mm² house wire (600/1000V to SANS 1507) (red, black &amp; green/yellow)</t>
  </si>
  <si>
    <t xml:space="preserve">150mm² x 3c 11kV Cu PILC Cable </t>
  </si>
  <si>
    <t>Instrumentation Cable Supply &amp; Installation</t>
  </si>
  <si>
    <t>Supply, deliver to site, off-load and store if necessary and install the following Dekabon cables (overall screened armoured) with copper conductors (600/1000V grade) to SANS 1507 as specified.</t>
  </si>
  <si>
    <t>0.5mm² x 2 pair Dekabon IOS Cable</t>
  </si>
  <si>
    <t>1.5mm² x 3 core Cu/PVC/SWA/PVC</t>
  </si>
  <si>
    <t>1.5mm² x 2 pair Dekabon IOS Cable</t>
  </si>
  <si>
    <t>Electrical Cable Termination Supply &amp; Installation</t>
  </si>
  <si>
    <t>Termination of cables shall include supply installation and testing of the IP68 CCG glands with corrosion  guard  , making-off the cable, lugs, and fitting the gland to the board gland plate, switchgear or appliance and final connection of cable tails into board or terminals.  Include for Reducing Glands and shrouds where applicable.  All exposed conductors to be tinned.</t>
  </si>
  <si>
    <t>35mm² x 4C PVC/SWA + 25mm² x 1C Green insulated earth wire</t>
  </si>
  <si>
    <t xml:space="preserve">2.5mm² x 4C PVC/SWA ECC </t>
  </si>
  <si>
    <t>Extra over cost for Zone 1,  IIA, T3 Exd/e gland with corrosion guard</t>
  </si>
  <si>
    <t xml:space="preserve">2.5mm² x 3C PVC/SWA </t>
  </si>
  <si>
    <t xml:space="preserve">2.5mm² x 3C PVC </t>
  </si>
  <si>
    <t>150mm² x 3c 11kV Cu PILC Cable Termination on MV Switch</t>
  </si>
  <si>
    <t>150mm² x 3c 11kV Cu PILC Cable Joint</t>
  </si>
  <si>
    <t>Instrumentation Cable Termination Supply &amp; Installation</t>
  </si>
  <si>
    <t>Install and terminate the following Dekabon cables with copper conductors (600/1000V grade) to SANS 1507 as specified.</t>
  </si>
  <si>
    <t>Supply and install  medium duty 304L stainless steel cable tray as described below including all splices, bonding straps, nuts, bolts and any other clamp or support bracket required for the installation of the cable tray.</t>
  </si>
  <si>
    <t>114mm straight length</t>
  </si>
  <si>
    <t>114mm internal bend</t>
  </si>
  <si>
    <t>114mm external bend</t>
  </si>
  <si>
    <t>114mm tee section</t>
  </si>
  <si>
    <t>304mm straight length</t>
  </si>
  <si>
    <t>304mm internal bend</t>
  </si>
  <si>
    <t>304mm external bend</t>
  </si>
  <si>
    <t>304mm tee</t>
  </si>
  <si>
    <t>609mm straight length</t>
  </si>
  <si>
    <t>609mm internal bend</t>
  </si>
  <si>
    <t>609mm external bend</t>
  </si>
  <si>
    <t>609mm tee</t>
  </si>
  <si>
    <t>Supply and install 40 x 40 x 5mm 304L stainless steel angle iron support complete with all required fixings, floor mounting brackets and any other accessory required to complete the installation.</t>
  </si>
  <si>
    <t>20mm galvanised recessed conduit</t>
  </si>
  <si>
    <t>50mm diameter- 4-way flush mounted conduit boxes</t>
  </si>
  <si>
    <t>Supply and install as described below.  Rate to allow for all nuts, bolts and any other fixing materials required for the completion of the installation.</t>
  </si>
  <si>
    <t>Type A  - 1200mm long, Zone 1, IIA, T3 IP66 rated light fitting with clear flame retardant uv stabilised polycarbonate diffuser and glass reinforced polyester body with 2 x 28w 4000K LED, surge protection &amp; Exe cable glands (Magnitech Bay - Q LED).</t>
  </si>
  <si>
    <t>Type A (E) - As Above but with maintained self testing battery back-up of 20% output for 60 minutes.</t>
  </si>
  <si>
    <t>Type B - Aluminium Body with glass diffuser bulkhead with 1x36W 4000K LED with surge protection - Beka LED Nova.</t>
  </si>
  <si>
    <t>Type EXIT - Zone 1, IIA, T3 Ex e non-maintained self testing battery back-up for 60 minutes: Krause Hinds.</t>
  </si>
  <si>
    <t>Supply and install rated IP68 round connection box (CCG with corrosion guard) complete with  internal din rail and suitably sized terminals required for connections.</t>
  </si>
  <si>
    <t xml:space="preserve">4 Way round connection box, size 0 </t>
  </si>
  <si>
    <t>4 Way round connection box, size 0  - Zone 1, IIA, T3 Ex e</t>
  </si>
  <si>
    <t>IP65 rated Normal single 16A, 230V, 3 pin, SSO complete with surface box and fittings.</t>
  </si>
  <si>
    <t>1 Lever, 1 way 16A light switch complete with surface box and fittings.</t>
  </si>
  <si>
    <t>Extra over for Zone 1, IIA, T3 Ex e rated - Type Ceag EXB</t>
  </si>
  <si>
    <t xml:space="preserve">Zone 1,  IIA, T3 Ex e rated rated Occupancy Sensor </t>
  </si>
  <si>
    <t>Royce Thompson photo electric cell.</t>
  </si>
  <si>
    <t>Zone 1,  IIA, T3 Ex e rated 40mm diameter mushroom head "Twist to Release" emergency stop unit :  Type Ceag EXB</t>
  </si>
  <si>
    <t>Zone 1,  IIA, T3 Ex e rated start/stop stations: Type Ceag EXB</t>
  </si>
  <si>
    <t>Zone 1,  IIA, T3 Ex e rated rated three pole 32A isolator: Type Ceag EXB</t>
  </si>
  <si>
    <t>Zone 1,  IIA, T3 Ex e rated two pole 32A isolator: Type Ceag EXB</t>
  </si>
  <si>
    <t xml:space="preserve">Design, supply, delivery to site, installation according to manufacturer specifications and commissioning of a Dräger PIR 7000 type 334 (NPT) HART complete set 6813030 with Ex d junction box (made of aluminum), splash guard, status indicator and mounting set, already pre-assembled and output signal of 4-20mA analog output and 24V Relay outputs. Rate to allow for all stainless steel mounting brackets and fixings required for installation, including splash guard, alarm, warning light and gland reducer. Rate to allow for alarm sound / Flash. Instruments to be intrinsically safe. </t>
  </si>
  <si>
    <t>Refer to Drager regarding Control System Technical Manual.</t>
  </si>
  <si>
    <t xml:space="preserve">Magnetic wand 4544101 348 </t>
  </si>
  <si>
    <t>Dräger REGARD 2400 SC00014 382  </t>
  </si>
  <si>
    <t>Internal converter module SE Ex SC00016</t>
  </si>
  <si>
    <t>SA00075 Strobe Light-Siren-Red-220V</t>
  </si>
  <si>
    <t>Commission gas detectors and control systems.</t>
  </si>
  <si>
    <t>Glands</t>
  </si>
  <si>
    <t>Design, supply, install and commission a complete lightning protection system as required by SANS codes of practice. Earthing system components are estimated below. Rate to include all mounting clips, nuts, bolts, connections, exothermic welding and any other fixing materials required.</t>
  </si>
  <si>
    <t>Allow for the execution of a soil resistivity survey and for the preparation of drawings to be used for earthing and protection against lighting and "As Built Drawings" (This installation must be undertaken by a specialist Sub-contractor).</t>
  </si>
  <si>
    <t xml:space="preserve">1 Ohm Earthing System. Include 300mm x 50mm x 10mm earth bar on insulators and sundry materials and connections / terminations. </t>
  </si>
  <si>
    <t xml:space="preserve">3 Ohm separate Earthing for Instrumentation including 300mm x 50mm x 10mm earth bar on insulators. Include: For sundry materials and connections / terminations. </t>
  </si>
  <si>
    <t>Bonding of all steel items in accordance with SANS 10142-1 including steel pipes, equipment, cable trays,  supports, handrails,  steel doors etc.</t>
  </si>
  <si>
    <t>70mm² insulated stranded copper earth conductor.</t>
  </si>
  <si>
    <t>Termination including tinned lugs, washers, nuts and bolts.  All exposed connections to be taped with Denso tape.</t>
  </si>
  <si>
    <t>70mm² insulated stranded copper conductor in galvanised conduit.</t>
  </si>
  <si>
    <t>250 micron Copper plated earth electrode, 16mm diameter, 1.8m long.</t>
  </si>
  <si>
    <t>Site Installation, Testing and Commisioning.</t>
  </si>
  <si>
    <t>As Built Drawings, O&amp;M Manuals, Training of Employer's Staff.</t>
  </si>
  <si>
    <t>Supply and install 5 in 1 electrical safety signage as required by regulations. Rate to allow for all fixing materials.</t>
  </si>
  <si>
    <t>Supply and install Room labels. Rate to allow for 100 x 400 white PVC board with black lettering.</t>
  </si>
  <si>
    <t>Sum for Master Electrician to review the electrical design and make recommendations if necessary.</t>
  </si>
  <si>
    <t xml:space="preserve">Certificates of partial compliance and final compliance as required (COC) of the MCC and entire Electrical installation including zoned areas by a currently registered Master Installation Electrician. </t>
  </si>
  <si>
    <t>Commissioning of complete installation including all small power and lighting, earthing protection, MCC's and instrumentation system.</t>
  </si>
  <si>
    <t>Compilation of Hand Over documents including all "AS BUILT" drawings, calibration sheets, loop drawings and hook up drawings, operation manuals and commissioning certificates.</t>
  </si>
  <si>
    <t>Electrical and instrumentation training for all equipment supplied and installed.</t>
  </si>
  <si>
    <t>Fire proofing and sealing of all cable entries after cable testing.  This work is to be undertaken by specialists with materials tested in accordance with SANS 10177 Part II and achieved a rating of 120 minutes.  All certificates shall be provided.  Type Pyrocote mineral wool with KBS® panel seal ABL fire and water resistant coating to ensure a smoke and gas tight seal</t>
  </si>
  <si>
    <t xml:space="preserve">Conduct a 7 day minimum electrical load assessment using Fluke Data Logger or equally approved instrument. </t>
  </si>
  <si>
    <t>EH&amp;S + ACSA permits</t>
  </si>
  <si>
    <t>Scaffolding</t>
  </si>
  <si>
    <t>Oryx 2 Zone Panel complete with standby power unit and 2No. 12v Battery 7.2amp back-up Batteries and required 7787 Zener Barriers  in accordance with project Specifications.</t>
  </si>
  <si>
    <t>Mini Flame Detector, IR3, 10-40 meters complete with tilt mount and interface module in accordance with project Specifications.</t>
  </si>
  <si>
    <t>IS, Red, Surface Mount, Glass Manual Call Point  (Break Glass Units) fixed in accordance with project Specifications.</t>
  </si>
  <si>
    <t>Sonos, Ex IS Sounder/Beacon 24 V DC Red Lens in accordance with Specifications.</t>
  </si>
  <si>
    <t>Site Installation, delivery, project management, transport, scaffolding,  sundries, consumables, testing and commisioning.</t>
  </si>
  <si>
    <t>As Built Drawings, O&amp;M Manuals, Training of Employer's Staff, Warranty.</t>
  </si>
  <si>
    <t>Interface module and wiring to existing Ziton panel on site.</t>
  </si>
  <si>
    <t>EC Glands</t>
  </si>
  <si>
    <t>Amoured Cable for power</t>
  </si>
  <si>
    <t>Wiring onto existing Ziton system</t>
  </si>
  <si>
    <t>Motor Trip Alarm - accept potential free contact from electrical panel and transmit fault signal to be displayed on main Fire Alarm panel</t>
  </si>
  <si>
    <t>CONCRETE, FORMWORK AND REINFORCEMENT</t>
  </si>
  <si>
    <t>METALWORK</t>
  </si>
  <si>
    <t>PLUMBING &amp; DRAINAGE</t>
  </si>
  <si>
    <t>PAINTWORK</t>
  </si>
  <si>
    <t>DESCRIPTION</t>
  </si>
  <si>
    <t>2021 RATE</t>
  </si>
  <si>
    <t xml:space="preserve">CONCRETE, FORMWORK AND  REINFORCEMENT </t>
  </si>
  <si>
    <t>2019 RATE</t>
  </si>
  <si>
    <t>CABLE TRAY / SUPPORT SYSTEM SUPPLY AND INSTALLATION</t>
  </si>
  <si>
    <t>EQUIPMENT SUPPLY AND INSTALLATION</t>
  </si>
  <si>
    <t>INSTRUMENTATION</t>
  </si>
  <si>
    <t xml:space="preserve">EARTHING AND LIGHTNING PROTECTION </t>
  </si>
  <si>
    <t>MISCELLANEOUS</t>
  </si>
  <si>
    <t>FIRE DETECTION</t>
  </si>
  <si>
    <t>Complete supply and installation of 25mm galvanised conduit, conduit boxes and accessories with PH120 Fire Cable.</t>
  </si>
  <si>
    <t>Baggage Scales</t>
  </si>
  <si>
    <t xml:space="preserve">Baggage Scales </t>
  </si>
  <si>
    <t>March 2019 (ZAR)</t>
  </si>
  <si>
    <t>March 2021 (ZAR)</t>
  </si>
  <si>
    <t>*In January 2021, Builder's input price increased by 4.6% as indicated in the above table, which came in well above consumer inflation.</t>
  </si>
  <si>
    <t xml:space="preserve"> March 2019 (ZAR)</t>
  </si>
  <si>
    <t>13 000 - 70 000</t>
  </si>
  <si>
    <t>REMOVAL OF EXISTING WORK</t>
  </si>
  <si>
    <t>Breaking down and removing brickwork etc</t>
  </si>
  <si>
    <t xml:space="preserve"> A</t>
  </si>
  <si>
    <t>Half brick walls</t>
  </si>
  <si>
    <t xml:space="preserve"> B</t>
  </si>
  <si>
    <t>One brick walls</t>
  </si>
  <si>
    <t>Taking out and removing doors, windows, etc, including thresholds, sills, etc.</t>
  </si>
  <si>
    <t xml:space="preserve"> C</t>
  </si>
  <si>
    <t>Timber single leaf door and frame approximate size 725 x 1500mm from existing one brick walls</t>
  </si>
  <si>
    <t xml:space="preserve"> D</t>
  </si>
  <si>
    <t>Timber single leaf door and steel frame approximate size 900 x 2100mm from existing one brick walls</t>
  </si>
  <si>
    <t xml:space="preserve"> E</t>
  </si>
  <si>
    <t>Timber double leaf door and steel frame approximate size 1245 x 2100mm from existing one brick walls</t>
  </si>
  <si>
    <t xml:space="preserve"> F</t>
  </si>
  <si>
    <t>Timber double leaf door and steel frame approximate size 1440 x 2100mm from existing one brick walls</t>
  </si>
  <si>
    <t xml:space="preserve"> G</t>
  </si>
  <si>
    <t>Timber double leaf door and steel frame approximate size 1500 x 2100mm from existing one brick walls</t>
  </si>
  <si>
    <t xml:space="preserve"> H</t>
  </si>
  <si>
    <t>Timber double leaf door and steel frame approximate size 1660 x 2100mm from existing one brick walls</t>
  </si>
  <si>
    <t xml:space="preserve"> J</t>
  </si>
  <si>
    <t>ATM metal strong room door and frame approximate size 750 x 2100mm from existing one brick walls</t>
  </si>
  <si>
    <t>Taking down and removing roofs, floors, panelling, ceilings, partitions, etc.</t>
  </si>
  <si>
    <t xml:space="preserve"> K</t>
  </si>
  <si>
    <t>Suspended ceilings, including cornices, suspension grid, hangers, etc</t>
  </si>
  <si>
    <t xml:space="preserve"> L</t>
  </si>
  <si>
    <t>Internal metal mentis grating roof above airline ticket offices, with and including roof support brackets, suspended ceilings, cornices, suspension grid, hangers complete</t>
  </si>
  <si>
    <t xml:space="preserve"> M</t>
  </si>
  <si>
    <t>Drywall partitions approximately 2500mm high, including doors, windows, glazed borrowed lights, etc.</t>
  </si>
  <si>
    <t xml:space="preserve"> N</t>
  </si>
  <si>
    <t>Drywall partitions approximately 3000mm high, including doors, windows, glazed borrowed lights, etc.</t>
  </si>
  <si>
    <t>Taking out and removing sundry joinery work, fittings, etc</t>
  </si>
  <si>
    <t>Bidvest Bank Bureau De Change serving counters approximately 700 x 1000mm high with and including counter tops, skirtings, etc complete</t>
  </si>
  <si>
    <t>Airline ticket sales serving counters approximately 700 x 1500mm high with and including counter tops, stainless steel bumper rails, etc complete</t>
  </si>
  <si>
    <t>Timber column cladding including sub-structure</t>
  </si>
  <si>
    <t>Taking out/off and removing sundry metalwork</t>
  </si>
  <si>
    <t>Glazed aluminium shopfront approximate size 4000 x 3000mm high complete</t>
  </si>
  <si>
    <t>Glazed aluminium shopfront approximate size 4050 x 3000mm high with and including double doors, frames, etc. complete</t>
  </si>
  <si>
    <t>Glazed aluminium shopfront approximate size 5300 x 3000mm high with and including double doors, frames, etc. complete</t>
  </si>
  <si>
    <t>Irregular shaped glazed aluminium shopfront approximate size 7890 x 3000mm high with and including double doors, frames, etc. complete</t>
  </si>
  <si>
    <t>Sliding stacking glazed aluminium shopfront approximate size 4000 x 3000mm high including floor and ceiling sliding tracks complete</t>
  </si>
  <si>
    <t>Sliding stacking glazed aluminium shopfront approximate size 4100 x 3000mm high including floor and ceiling sliding tracks complete</t>
  </si>
  <si>
    <t>Sliding stacking glazed aluminium shopfront approximate size 9200 x 3000mm high including floor and ceiling sliding tracks complete</t>
  </si>
  <si>
    <t>Metal roller shutter door approximate size 1440 x 1500mm from existing partitioning to be demolished (partitioning demolished elsewhere)</t>
  </si>
  <si>
    <t>Metal roller shutter door approximate size 1830 x 1500mm from existing partitioning to be demolished (partitioning demolished elsewhere)</t>
  </si>
  <si>
    <t>Metal roller shutter door approximate size 1500 x 2000mm from existing 230mm brick walls</t>
  </si>
  <si>
    <t>Floor mounted stainless steel bumper rails fixed at approximately 500mm spacing</t>
  </si>
  <si>
    <t>Stainless steel balustrades approximately 1000mm high, fixed to floors with and including brackets, etc complete</t>
  </si>
  <si>
    <t>Stainless steel balustrades approximately 1000mm high, with and including glass panels fixed to stanchions, fixed to floors with and including brackets, etc complete</t>
  </si>
  <si>
    <t>Steel bench seating approximate size  750 x 400 x 500mm high overall with and including floor brackets, bolts, etc complete</t>
  </si>
  <si>
    <t>Overhead retail signage fixed to ceiling soffits approximately 3m above floor level (above shopfronts) approximate size 1500 x 500mm high including disconnecting, blanking off and making safe electrical</t>
  </si>
  <si>
    <t>Overhead airline ticket signage fixed to walls approximately 2.5m above floor level (above ticket counters) approximate size 1800 x 400mm high including disconnecting, blanking off and making safe electrical</t>
  </si>
  <si>
    <t>Overhead retail signage fixed to ceiling soffits approximately 3m above floor level (above shopfronts) approximate size 10,000 x 500mm high including disconnecting, blanking off and making safe electrical</t>
  </si>
  <si>
    <t>Hacking up/off and removing marble tiles including removing screeds and adhesive from concrete and preparing surface to receive new screeds and or new floor finishes (elsewhere measured)</t>
  </si>
  <si>
    <t>Tiles to floors</t>
  </si>
  <si>
    <t>Taking out and removing piping, sanitary fittings, etc. including cutting off as necessary, disconnecting piping from fittings and making good floor and wall finishes</t>
  </si>
  <si>
    <t>Wash hand basin, including short lengths of piping, etc</t>
  </si>
  <si>
    <t>WC pan with flush valve, including short lengths of piping, etc</t>
  </si>
  <si>
    <t>Taking out/off and removing glass and mirrors</t>
  </si>
  <si>
    <t>Bullet proof glass at Bidvest Bureau De Change, with and including ironmongery, glazing beads, pigeon holes louvres, etc complete</t>
  </si>
  <si>
    <t>Glass partitioning with and including doors, ironmongery, glazing beads including cleaning out rebates complete</t>
  </si>
  <si>
    <t>MAKING GOOD OF FINISHES</t>
  </si>
  <si>
    <t>Making good screeds</t>
  </si>
  <si>
    <t>Floors in patches</t>
  </si>
  <si>
    <t>----------------------------------------</t>
  </si>
  <si>
    <t>SUPPLEMENTARY PREAMBLES</t>
  </si>
  <si>
    <t>Excavation in earth for basement</t>
  </si>
  <si>
    <t>Not exceeding 2m deep</t>
  </si>
  <si>
    <t>Exceeding 2m and not exceeding 4m deep</t>
  </si>
  <si>
    <t>Exceeding 2m and not exceeding 4m deep including working around piles</t>
  </si>
  <si>
    <t>Exceeding 4m and not exceeding 6m deep including working around piles</t>
  </si>
  <si>
    <t>Exceeding 6m and not exceeding 8m deep including working around piles</t>
  </si>
  <si>
    <t>Extra over bulk excavation in earth for excavation in</t>
  </si>
  <si>
    <t>Extra over all excavations for carting away</t>
  </si>
  <si>
    <t>Surplus material from excavations and/or stock piles on site, to a dumping site to be located by the contractor</t>
  </si>
  <si>
    <t>EXCAVATION, FILLING, ETC</t>
  </si>
  <si>
    <t>Excavation in earth within basement (basement level exceeding 6.0m and not exceeding 8.0m deep below ground level)</t>
  </si>
  <si>
    <t>Removal of platforms created for piling machinery to final levels under floors etc</t>
  </si>
  <si>
    <t>Holes including working around piles</t>
  </si>
  <si>
    <t>To remove sloping banks within basements</t>
  </si>
  <si>
    <t>Holes</t>
  </si>
  <si>
    <t>Back excavation of vertical sides of excavation in earth for working space including backfilling compacted to 95% Mod AASHTO density</t>
  </si>
  <si>
    <t>Exceeding 500mm and not exceeding 1500mm deep for placing and removing formwork to walls, etc against excavated face</t>
  </si>
  <si>
    <t>Exceeding 1500mm and not exceeding 3000mm deep for placing and removing formwork to walls, etc against excavated face</t>
  </si>
  <si>
    <t>Extra over back excavation in earth for working space for excavation in soft rock</t>
  </si>
  <si>
    <t>Extra over back excavation in earth for working space for excavation in hard rock</t>
  </si>
  <si>
    <t>Extra over trench &amp; hole excavation in earth for excavation in</t>
  </si>
  <si>
    <t>Sides of trench and hole excavations not exceeding 1.5m deep</t>
  </si>
  <si>
    <t>Sides of trench and hole excavations exceeding 1.5m deep</t>
  </si>
  <si>
    <t>Keeping excavations free of water</t>
  </si>
  <si>
    <t>FILLING, ETC</t>
  </si>
  <si>
    <t>Earth filling supplied by the Contractor compacted to 98% Mod AASHTO density</t>
  </si>
  <si>
    <t>Under floors, steps, paving, etc</t>
  </si>
  <si>
    <t>Backfilling to trenches, holes, etc</t>
  </si>
  <si>
    <t>Earth filling supplied by contractor in accordance with SABS 1200 DM</t>
  </si>
  <si>
    <t>Subbase coarse G4 compacted to 95% mod AASHTO dry density</t>
  </si>
  <si>
    <t>Subbase coarse G7 in layers not exceeding 150mm thick compacted to 93% mod AASHTO dry density</t>
  </si>
  <si>
    <t>Filling of coarse river sand supplied by the contractor, consolidated</t>
  </si>
  <si>
    <t>Under floors, steps, pavings, etc</t>
  </si>
  <si>
    <t>Stone filling of 19mm broken stone</t>
  </si>
  <si>
    <t>Under floors, etc</t>
  </si>
  <si>
    <t>Between walls and lateral support pile walls, etc</t>
  </si>
  <si>
    <t>Stone filling of 53mm broken stone</t>
  </si>
  <si>
    <t>Compaction of ground surfaces &amp; subbase surfaces</t>
  </si>
  <si>
    <t>Compaction of natural or excavated ground surface under floors etc, including scarifying for a depth of 150mm, breaking down oversize material, adding suitable material where necessary and compacting to 98% Mod AASHTO density</t>
  </si>
  <si>
    <t>Scarify and compact existing filling under floors to 100% Modified AASHTO dry density for new surface beds</t>
  </si>
  <si>
    <t>WEED KILLERS, INSECTICIDES, ETC</t>
  </si>
  <si>
    <t>Soil insecticide in accordance with SANS 5859</t>
  </si>
  <si>
    <t>Under floors etc., including forming and poisoning shallow furrows against foundation walls etc. filling in furrows and ramming</t>
  </si>
  <si>
    <t>TESTS</t>
  </si>
  <si>
    <t>Prescribed tests to determine degree of compaction or other properties of ground or filling</t>
  </si>
  <si>
    <t>Modified AASHTO Density test</t>
  </si>
  <si>
    <t>Dynamic Core Penetrometer Tests (DCP)</t>
  </si>
  <si>
    <t>SUB-SOIL DRAINAGE &amp; FILTER FABRIC</t>
  </si>
  <si>
    <t>uPVC pipes</t>
  </si>
  <si>
    <t>160mm Slotted uPVC agricultural pipes laid in and including trenches behind retaining walls ot exceeding 1m deep including 19mm crushed stone encasing size 300 x 300mm and "Kaytech" geofabric filter blanket wrapped around agricultural pipes with 150mm side and 300mm end laps including stitching, etc</t>
  </si>
  <si>
    <t>110mm Slotted uPVC agricultural pipes laid in and including trenches under solid floors not exceeding 1m deep including 19mm crushed stone encasing size 300 x 300mm and "Kaytech" geofabric filter blanket wrapped around agricultural pipes with 150mm side and 300mm end laps including stitching, etc</t>
  </si>
  <si>
    <t>Extra over for 160mm end caps</t>
  </si>
  <si>
    <t>Extra over for 160mm bend</t>
  </si>
  <si>
    <t>Extra over for 160mm junction</t>
  </si>
  <si>
    <t>Extra over for 110mm end caps</t>
  </si>
  <si>
    <t>Extra for 110mm bend</t>
  </si>
  <si>
    <t>Extra for 110mm junction</t>
  </si>
  <si>
    <t>Extra for 110mm rodding eye</t>
  </si>
  <si>
    <t>"Kaytech" non woven continuous filament needle-punched geotextile fabric with 300mm side and end laps</t>
  </si>
  <si>
    <t>"Kaytech" Bidum type U34 separation layer laid on ground under surface beds, etc</t>
  </si>
  <si>
    <t>DEWATERING DESIGN, SUPPLY AND INSTALLATION BY SPECIALIST CONTRACTOR</t>
  </si>
  <si>
    <t>Design, supply and installation of the dewatering system</t>
  </si>
  <si>
    <t>Lump-Sum Pricing</t>
  </si>
  <si>
    <t>Dewatering system complete including but not limited to, well points, all associated piping, valves, pumps, etc including monitoring, maintaining, as per engineers drawings and specification</t>
  </si>
  <si>
    <t>CONCRETE</t>
  </si>
  <si>
    <t>UNREINFORCED CONCRETE</t>
  </si>
  <si>
    <t>15MPa/13mm Concrete</t>
  </si>
  <si>
    <t>Filling to cavity of hollow walls</t>
  </si>
  <si>
    <t>Machine bases</t>
  </si>
  <si>
    <t>Steps, urinal steps, cupboard platforms, etc</t>
  </si>
  <si>
    <t>Kerbs</t>
  </si>
  <si>
    <t>UNREINFORCED CONCRETE CAST AGAINST EXCAVATED SURFACES</t>
  </si>
  <si>
    <t>15MPa/19mm concrete</t>
  </si>
  <si>
    <t>Surface blinding under footings and bases</t>
  </si>
  <si>
    <t>Blinding under surface bed</t>
  </si>
  <si>
    <t>REINFORCED CONCRETE CAST AGAINST EXCAVATED SURFACES</t>
  </si>
  <si>
    <t>30MPa/19mm concrete</t>
  </si>
  <si>
    <t>Surface beds cast in panels on waterproofing</t>
  </si>
  <si>
    <t>Ramped surface beds cast in panels on waterproofing</t>
  </si>
  <si>
    <t>Strip footings and ground beams</t>
  </si>
  <si>
    <t>Capping beams</t>
  </si>
  <si>
    <t>Column bases</t>
  </si>
  <si>
    <t>REINFORCED CONCRETE</t>
  </si>
  <si>
    <t>Slabs including beams and inverted beams</t>
  </si>
  <si>
    <t>Modula slabs including beams and inverted beams</t>
  </si>
  <si>
    <t xml:space="preserve"> P</t>
  </si>
  <si>
    <t>Coffered slabs including beams and inverted beams to be post-tensioned</t>
  </si>
  <si>
    <t xml:space="preserve"> Q</t>
  </si>
  <si>
    <t>Troughed slabs including beams and inverted beams to be post-tensioned</t>
  </si>
  <si>
    <t xml:space="preserve"> R</t>
  </si>
  <si>
    <t>Raking slabs including beams and inverted</t>
  </si>
  <si>
    <t>Slab including beams and inverted beams to be post tensioned</t>
  </si>
  <si>
    <t>Ramps</t>
  </si>
  <si>
    <t>Isolated beams</t>
  </si>
  <si>
    <t>Stairs including landings, beams and inverted beams</t>
  </si>
  <si>
    <t>40MPa/19mm concrete</t>
  </si>
  <si>
    <t>Walls</t>
  </si>
  <si>
    <t>50MPa/19mm concrete</t>
  </si>
  <si>
    <t>Columns</t>
  </si>
  <si>
    <t>Columns in foundations</t>
  </si>
  <si>
    <t>TEST CUBES</t>
  </si>
  <si>
    <t>Test blocks as per SANS 2001</t>
  </si>
  <si>
    <t>Making and testing 150 x 150 x 150mm concrete strength test cube</t>
  </si>
  <si>
    <t>CONCRETE SUNDRIES</t>
  </si>
  <si>
    <t>Stripping back head of concrete foundation pile for a height not exceeding 600mm to expose reinforcement including trimming to defined level and bending reinforcement as necessary for casting into pile cap (pile cap elsewhere)</t>
  </si>
  <si>
    <t>750mm Diameter foundation piles</t>
  </si>
  <si>
    <t>Cutting down pile approximately 3800mm and stripping back head of concrete foundation pile for a height not exceeding 600mm to expose reinforcement including trimming to defined level and bending reinforcement as necessary for casting into pile cap (pile cap elsewhere)</t>
  </si>
  <si>
    <t>Cutting down pile approximately 4300mm and stripping back head of concrete foundation pile for a height not exceeding 600mm to expose reinforcement including trimming to defined level and bending reinforcement as necessary for casting into pile cap (pile cap elsewhere)</t>
  </si>
  <si>
    <t>Cutting down pile approximately 4900mm and stripping back head of concrete foundation pile for a height not exceeding 600mm to expose reinforcement including trimming to defined level and bending reinforcement as necessary for casting into pile cap (pile cap elsewhere)</t>
  </si>
  <si>
    <t>Stripping back head of concrete tension pile for a height not exceeding 800mm to expose reinforcement including trimming to defined level and bending reinforcement as necessary for casting into pile cap (pile cap elsewhere)</t>
  </si>
  <si>
    <t>250mm Diameter micropiles</t>
  </si>
  <si>
    <t>Stripping back head of concrete pile for a height not exceeding 800mm to expose reinforcement including trimming to defined level and bending reinforcement as necessary for casting into pile cap (pile cap elsewhere)</t>
  </si>
  <si>
    <t>610mm Diameter secant piles</t>
  </si>
  <si>
    <t>Finishing top surfaces of concrete smooth with a power float</t>
  </si>
  <si>
    <t>Surface beds, slabs, etc</t>
  </si>
  <si>
    <t>Finishing top surfaces of concrete to an evenly ribbed non-slip surface</t>
  </si>
  <si>
    <t>Surface beds, slabs, etc to falls (ramps)</t>
  </si>
  <si>
    <t>Casting in holding down bolts</t>
  </si>
  <si>
    <t>16mm Diameter L-shaped anchor bolts approximately 750mm girth (bolts elsewhere measured)</t>
  </si>
  <si>
    <t>Non-shrink grout</t>
  </si>
  <si>
    <t>Bedding approximately 20mm thick under 300 x 300mm base plate including chamfered edges all round</t>
  </si>
  <si>
    <t>Drilled holes (core-drilling)</t>
  </si>
  <si>
    <t>Drill 100mm diameter hole through reinforced concrete exceeding 200mm and not exceeding 300mm thick or wide</t>
  </si>
  <si>
    <t>Drill 150mm diameter hole through reinforced concrete exceeding 200mm and not exceeding 300mm thick or wide</t>
  </si>
  <si>
    <t>Drill 200mm diameter hole through reinforced concrete exceeding 200mm and not exceeding 300mm thick or wide</t>
  </si>
  <si>
    <t>Drill 300mm diameter hole through reinforced concrete exceeding 200mm and not exceeding 300mm thick or wide</t>
  </si>
  <si>
    <t>Waterproofing admixture added to reinforced concrete as per specialist recommendations and specifications including any necessary monitoring, guarantees, etc by an approved  applicator / contractor</t>
  </si>
  <si>
    <t>Extra over concrete in lift pit for specialist waterproofing admixture</t>
  </si>
  <si>
    <t>Extra over concrete in shear walls for specialist waterproofing admixture</t>
  </si>
  <si>
    <t>Allow the budgetary amount of R350 000.00 (Three Hundred and Fifty Thousand Rand) for water bar installations and sealing applied by a specialist and licensed concrete waterproofing admixture specialist applicator to be deducted in whole or in part if not required</t>
  </si>
  <si>
    <t>FORMWORK</t>
  </si>
  <si>
    <t>ROUGH FORMWORK (DEGREE OF ACCURACY III)</t>
  </si>
  <si>
    <t>Rough formwork to sides</t>
  </si>
  <si>
    <t>Bases</t>
  </si>
  <si>
    <t>Foundation beams</t>
  </si>
  <si>
    <t>Rectangular stub columns (columns in foundations)</t>
  </si>
  <si>
    <t>Rectangular stub columns (columns in foundations) with one face cast against existing surfaces (concrete stub column)</t>
  </si>
  <si>
    <t>750mm Diameter round columns in foundations 500mm high</t>
  </si>
  <si>
    <t>900mm Diameter round columns in foundations 500mm high</t>
  </si>
  <si>
    <t>Rough formwork to soffits</t>
  </si>
  <si>
    <t>SMOOTH FORMWORK (DEGREE OF ACCURACY II)</t>
  </si>
  <si>
    <t>Smooth formwork to sides</t>
  </si>
  <si>
    <t>Walls with total height exceeding 3.5m and not exceeding 5.0m above bearing level</t>
  </si>
  <si>
    <t>Walls with total height exceeding 5.0m and not exceeding 6.5m above bearing level</t>
  </si>
  <si>
    <t>Inner face of shaft walls</t>
  </si>
  <si>
    <t>Inner face of shaft walls (other face against secant pile wall)</t>
  </si>
  <si>
    <t>Irregular shaped fin wall with one side splayed total height exceeding 8.0m and not exceeding 9.5m</t>
  </si>
  <si>
    <t>Rectangular columns</t>
  </si>
  <si>
    <t>Rectangular columns with total height exceeding 3.5m and not exceeding 5.0m high</t>
  </si>
  <si>
    <t>Rectangular columns with total height exceeding 5.0m and not exceeding 6.5m high</t>
  </si>
  <si>
    <t>Rectangular columns with total height exceeding 8.0m and not exceeding 9.5m high</t>
  </si>
  <si>
    <t>Rectangular columns with one face against existing concrete surfaces (concrete column)</t>
  </si>
  <si>
    <t>Rectangular columns with one face against existing concrete surfaces (concrete column) with total height exceeding 3.5m and not exceeding 4.5m high</t>
  </si>
  <si>
    <t>Rectangular columns with one face against existing concrete surfaces (concrete column) with total height exceeding 8.0m and not exceeding 9.5m high</t>
  </si>
  <si>
    <t>Beams propped up exceeding 1.5m and not exceeding 3.5m high</t>
  </si>
  <si>
    <t>Beams propped up exceeding 3.5m and not exceeding 5.0m high</t>
  </si>
  <si>
    <t>Beams propped up exceeding 5.0m and not exceeding 6.5m high</t>
  </si>
  <si>
    <t>Beams propped up exceeding 8.0m and not exceeding 9.5m high</t>
  </si>
  <si>
    <t>Beams propped up exceeding 3.5m and not exceeding 5.0m high with one face cast against existing concrete surfaces</t>
  </si>
  <si>
    <t>Beams propped up exceeding 8.0m and not exceeding 9.5m high with one face cast against existing concrete surfaces</t>
  </si>
  <si>
    <t>Inverted beams</t>
  </si>
  <si>
    <t>Inverted beams propped up exceeding 3.5m and not exceeding 5.0m high</t>
  </si>
  <si>
    <t>Inverted beams propped up exceeding 8.0m and not exceeding 9.5m high</t>
  </si>
  <si>
    <t xml:space="preserve"> S</t>
  </si>
  <si>
    <t>Inverted beams above concrete</t>
  </si>
  <si>
    <t xml:space="preserve"> T</t>
  </si>
  <si>
    <t>Sloping beams</t>
  </si>
  <si>
    <t>Isolated beams propped up exceeding 8.0m and not exceeding 9.5m high</t>
  </si>
  <si>
    <t>Sloping and stepped outer edges of stairs not exceeding 300mm high extreme</t>
  </si>
  <si>
    <t>Edges, risers, ends and reveals exceeding 300mm high or wide</t>
  </si>
  <si>
    <t>Smooth formwork to circular columns</t>
  </si>
  <si>
    <t>600mm Diameter column 4.175m high</t>
  </si>
  <si>
    <t>750mm Diameter column 6.320m high</t>
  </si>
  <si>
    <t>900mm Diameter column 3.175m high</t>
  </si>
  <si>
    <t>900mm Diameter column 3.950m high</t>
  </si>
  <si>
    <t>900mm Diameter column 4.175m high</t>
  </si>
  <si>
    <t>900mm Diameter column 5.175m high</t>
  </si>
  <si>
    <t>900mm Diameter column 6.320m high</t>
  </si>
  <si>
    <t>900mm Diameter column 8.800m high</t>
  </si>
  <si>
    <t>900mm Diameter column 9.300m high</t>
  </si>
  <si>
    <t>Smooth formwork to soffits</t>
  </si>
  <si>
    <t>Slabs propped up not exceeding 1.5m high</t>
  </si>
  <si>
    <t>Slabs propped up exceeding 1.5m and not exceeding 3.5m high</t>
  </si>
  <si>
    <t>Slabs propped up exceeding 3.5m and not exceeding 5.0m high</t>
  </si>
  <si>
    <t>Slabs propped up exceeding 8.0m and not exceeding 9.5m</t>
  </si>
  <si>
    <t>Slabs exceeding 250mm and not exceeding 500mm thick propped up exceeding 3.5m and not exceeding 5.0m high</t>
  </si>
  <si>
    <t>Slabs exceeding 250mm and not exceeding 500mm thick propped up exceeding 5.0m and not exceeding 6.5m high</t>
  </si>
  <si>
    <t>Slabs exceeding 500mm and not exceeding 750mm thick propped up not exceeding 1.5m high</t>
  </si>
  <si>
    <t>Slabs exceeding 500mm and not exceeding 750mm thick propped up exceeding 3.5m high and not exceeding 5.0m high</t>
  </si>
  <si>
    <t>Slabs with sloping soffits propped up exceeding 1.5m high and not exceeding 3.0m high</t>
  </si>
  <si>
    <t>Slabs with sloping soffits exceeding 250mm and not exceeding 500mm thick propped up exceeding 5.0m and not exceeding 6.5m high</t>
  </si>
  <si>
    <t>Isolated beams propped up exceeding 3.5m and not exceeding 5.0m high</t>
  </si>
  <si>
    <t>Landings</t>
  </si>
  <si>
    <t>Stairs with sloping soffits</t>
  </si>
  <si>
    <t>Smooth formwork to coffered slabs</t>
  </si>
  <si>
    <t>Soffits of coffered slabs with 125mm wide ribs at 900mm centres in both directions propped up exceeding 1.5m and not exceeding 3.5m high</t>
  </si>
  <si>
    <t>Soffits of coffered slabs with 125mm wide ribs at 900mm centres in both directions propped up exceeding 3.5m and not exceeding 5.0m high</t>
  </si>
  <si>
    <t>Soffits of coffered slabs with 125mm wide ribs at 900mm centres in both directions propped up exceeding 5.0m not exceeding 6.5m high</t>
  </si>
  <si>
    <t>Soffits of coffered slabs with 125mm wide ribs at 900mm centres in both directions propped up exceeding 8.0m not exceeding 9.5m high</t>
  </si>
  <si>
    <t>Soffits of adjacent flush surfaces of coffered slabs exceeding 250mm and not exceeding 500mm thick propped up exceeding 1.5m and not exceeding 3.5m high</t>
  </si>
  <si>
    <t>Soffits of adjacent flush surfaces of coffered slabs exceeding 250mm and not exceeding 500mm thick propped up exceeding 3.5m and not exceeding 5.0m high</t>
  </si>
  <si>
    <t>Soffits of adjacent flush surfaces of coffered slabs exceeding 250mm and not exceeding 500mm thick propped up exceeding 5.0m and not exceeding 6.5m high</t>
  </si>
  <si>
    <t>Soffits of adjacent flush surfaces of coffered slabs exceeding 250mm and not exceeding 500mm thick propped up exceeding 8.0m and not exceeding 9.5m high</t>
  </si>
  <si>
    <t>Top and tapered sides of coffer 775 x 775mm at top, 900 x 900mm at bottom and 325mm high with all corners rounded</t>
  </si>
  <si>
    <t>Extra over for propping standard glass-fibre moulds to form 325mm deep coffer to support 100mm topping</t>
  </si>
  <si>
    <t>Smooth formwork to troughed slabs</t>
  </si>
  <si>
    <t>Soffits of troughed slabs with 120mm wide ribs at 900mm centres propped up exceeding 1.5m and not exceeding 3.5m high</t>
  </si>
  <si>
    <t>Soffits of troughed slabs with 120mm wide ribs at 900mm centres propped up exceeding 3.5m high not exceeding 5.0m high</t>
  </si>
  <si>
    <t>Soffits of troughed slabs with 120mm wide ribs at 900mm centres propped up exceeding 5.0m high and not exceeding 6.5m high</t>
  </si>
  <si>
    <t>Soffits of troughed slabs with 120mm wide ribs at 900mm centres propped up exceeding 8.0m and not exceeding 9.5m high</t>
  </si>
  <si>
    <t>Soffits of adjacent flush surfaces of troughed slabs exceeding 500mm and not exceeding 750mm thick propped up exceeding 1.5m and not exceeding 3.5m high</t>
  </si>
  <si>
    <t>Soffits of adjacent flush surfaces of troughed slabs exceeding 500mm and not exceeding 750mm thick propped up exceeding 3.5m and not exceeding 5.0m high</t>
  </si>
  <si>
    <t>Soffits of adjacent flush surfaces of troughed slabs exceeding 500mm and not exceeding 750mm thick propped up exceeding 5.0m and not exceeding 6.5m high</t>
  </si>
  <si>
    <t>Soffits of adjacent flush surfaces of troughed slabs exceeding 500mm and not exceeding 750mm thick propped up exceeding 8.0m and not exceeding 9.5m high</t>
  </si>
  <si>
    <t>Boxing in smooth formwork to form</t>
  </si>
  <si>
    <t>25 x 25mm Vertical chamfer at corner / edge of column</t>
  </si>
  <si>
    <t>25 x 25mm Horizontal chamfer at corner / edge of beam</t>
  </si>
  <si>
    <t>Smooth formwork to form</t>
  </si>
  <si>
    <t>Opening exceeding 1m and not exceeding 2m girth through 425mm slab</t>
  </si>
  <si>
    <t>Rebated opening exceeding 3m and not exceeding 4m girth overall through 425mm slab</t>
  </si>
  <si>
    <t>Opening exceeding 1m and not exceeding 2m girth through not exceeding 300mm wall or beam</t>
  </si>
  <si>
    <t>DESIGN, SUPPLY AND INSTALLATION OF PERMANENT FORMWORK</t>
  </si>
  <si>
    <t>Decking for slabs not exceeding 250mm thick fixed to steel bearers, including cutting and fitting around shear studs, walls, etc propped up exceeding 3.5m and not exceeding 5.0m high</t>
  </si>
  <si>
    <t>Decking for slabs exceeding 250mm not exceeding 500mm thick fixed to steel bearers, including cutting and fitting around shear studs, walls, etc. propped up exceeding 3.5m and not exceeding 5.0m high</t>
  </si>
  <si>
    <t>DESIGN, SUPPLY AND INSTALLATION OF MODULA SYSTEM</t>
  </si>
  <si>
    <t>Design, supply and install, complete "Modula" system approximately 500mm high with 120mm concrete topping (concrete elsewhere)  as per manufacturers instructions into/onto surface bed</t>
  </si>
  <si>
    <t>Modula system complete including fixings etc.</t>
  </si>
  <si>
    <t>MOVEMENT JOINTS, ETC</t>
  </si>
  <si>
    <t>Expansion joints with softboard between vertical concrete surfaces (to be approved by the principal agent)</t>
  </si>
  <si>
    <t>10mm Joints not exceeding 300mm high or wide</t>
  </si>
  <si>
    <t>Expansion joints with softboard between vertical concrete and brick surfaces (to be approved by the principal agent)</t>
  </si>
  <si>
    <t>10mm Joints in expansion joint between concrete surface bed not exceeding 150mm thick and brick or concrete walls</t>
  </si>
  <si>
    <t>10mm Joints exceeding 300mm high</t>
  </si>
  <si>
    <t>Saw cut joints</t>
  </si>
  <si>
    <t>3 x 20mm Saw cut joints in top of concrete</t>
  </si>
  <si>
    <t>Construction joints</t>
  </si>
  <si>
    <t>8 x 20mm Construction joints in top of concrete including 8mm foam backing strip</t>
  </si>
  <si>
    <t>Approved swellable joint sealing profile</t>
  </si>
  <si>
    <t>REINFORCEMENT</t>
  </si>
  <si>
    <t>Unless otherwise stated herein, all items in this section shall be deemed to fall into Work Group 114 for Haylett formula purposes</t>
  </si>
  <si>
    <t>Mild steel reinforcement to structural concrete work</t>
  </si>
  <si>
    <t>16mm Diameter bars</t>
  </si>
  <si>
    <t>to</t>
  </si>
  <si>
    <t>12mm Diameter bars</t>
  </si>
  <si>
    <t>10mm Diameter bars</t>
  </si>
  <si>
    <t>8mm Diameter bars</t>
  </si>
  <si>
    <t>High tensile steel reinforcement to structural concrete work</t>
  </si>
  <si>
    <t>32mm Diameter bars</t>
  </si>
  <si>
    <t>25mm Diameter bars</t>
  </si>
  <si>
    <t>20mm Diameter bars</t>
  </si>
  <si>
    <t>Elemental Reinforcement Allowances</t>
  </si>
  <si>
    <t>The contractor is to price the items listed below at the highest rate priced for the reinforcement items above  The claimed quantities and final account quantities will be paid against the actual items above, based on the bending schedules issued by the structural engineer</t>
  </si>
  <si>
    <t>Reinforcement of varying diameters to column bases, lift base, strip footings, etc</t>
  </si>
  <si>
    <t>Reinforcement of varying diameters to surface beds</t>
  </si>
  <si>
    <t>Reinforcement of varying diameters to walls</t>
  </si>
  <si>
    <t>Reinforcement of varying diameters to columns</t>
  </si>
  <si>
    <t>Reinforcement of varying diameters to slabs</t>
  </si>
  <si>
    <t>Reinforcement of varying diameters to beams</t>
  </si>
  <si>
    <t>Dowels</t>
  </si>
  <si>
    <t>R20 dowel approximately 350mm long embedded in concrete, with and including epoxy, fixing and hole through formwork</t>
  </si>
  <si>
    <t>Y16 dowel approximately 750mm long embedded in concrete secant pile, with and including epoxy</t>
  </si>
  <si>
    <t>Fabric reinforcement</t>
  </si>
  <si>
    <t>Type 192 fabric reinforcement in concrete surface beds, etc.</t>
  </si>
  <si>
    <t>Type 245 fabric reinforcement in concrete surface beds, etc.</t>
  </si>
  <si>
    <t>Type 395 fabric reinforcement in concrete surface beds, etc.</t>
  </si>
  <si>
    <t>PRECAST CONCRETE (DESIGN, SUPPLY &amp; INSTALLATION)</t>
  </si>
  <si>
    <t>PRE-CAST CONCRETE SLABS</t>
  </si>
  <si>
    <t>Pre-cast slab approximately 5000 x 4100mm complete including rounded sides, etc (ground floor)</t>
  </si>
  <si>
    <t>Pre-cast slab approximately 5410 x 4700mm complete (second floor)</t>
  </si>
  <si>
    <t>Pre-cast slab approximately 4400 x 5350mm complete including rounded sides, etc (second floor)</t>
  </si>
  <si>
    <t>Pre-cast slab approximately 8050 x 4800mm complete (third floor)</t>
  </si>
  <si>
    <t>Pre-cast slab approximately 9650 x 9850mm complete (fourth floor)</t>
  </si>
  <si>
    <t>Pre-cast slab approximately 10050 x 9850mm complete (fourth floor)</t>
  </si>
  <si>
    <t>MASONRY</t>
  </si>
  <si>
    <t>BRICKWORK</t>
  </si>
  <si>
    <t>FOUNDATION BRICKWORK</t>
  </si>
  <si>
    <t>Brickwork of NFP bricks (7 MPa nominal compressive strength) in class II mortar</t>
  </si>
  <si>
    <t>One brick walls in foundations</t>
  </si>
  <si>
    <t>280mm Hollow walls of two half brick skins including wire ties in foundations</t>
  </si>
  <si>
    <t>SUPERSTRUCTURE BRICKWORK</t>
  </si>
  <si>
    <t>280mm Hollow walls of two half brick skins including wire ties</t>
  </si>
  <si>
    <t>280mm Hollow walls of two half brick skins including wire ties circular on plan</t>
  </si>
  <si>
    <t>BRICKWORK SUNDRIES</t>
  </si>
  <si>
    <t>Brickwork sundries</t>
  </si>
  <si>
    <t>Cutting toothings and bonding new brickwork to existing</t>
  </si>
  <si>
    <t>Splayed mortar fillet one course high in 50mm cavity</t>
  </si>
  <si>
    <t>Closing 50mm cavity of hollow wall horizontally with one course of brickwork</t>
  </si>
  <si>
    <t>Brickwork stiffeners</t>
  </si>
  <si>
    <t>Bagging of 1:3 cement and sand mixture</t>
  </si>
  <si>
    <t>On brick surfaces</t>
  </si>
  <si>
    <t>Movement joints with softboard between vertical concrete and brick surfaces (to be approved by the principal agent)</t>
  </si>
  <si>
    <t>12mm Joints not exceeding 300mm wide</t>
  </si>
  <si>
    <t>10mm Thick joints built in vertically between concrete columns and brickwork, including tacking to face of concrete</t>
  </si>
  <si>
    <t>Brickwork reinforcement</t>
  </si>
  <si>
    <t>75mm Wide reinforcement built in horizontally</t>
  </si>
  <si>
    <t>150mm Wide reinforcement built in horizontally</t>
  </si>
  <si>
    <t>Prestressed fabricated concrete lintels including necessary temporary supports</t>
  </si>
  <si>
    <t>110 x 75mm Lintels in lengths not exceeding 3m high</t>
  </si>
  <si>
    <t>110 x 75mm Lintels in lengths exceeding 3m and not exceeding 4.5m high</t>
  </si>
  <si>
    <t>150 x 70mm Lintels in lengths not exceeding 3m high</t>
  </si>
  <si>
    <t>Galvanized hoop iron cramps, ties, etc</t>
  </si>
  <si>
    <t>1.6mm thick galvanised hoop iron tie 32 x 600mm long with one end fixed to wall stiffeners and other end built into brickwork</t>
  </si>
  <si>
    <t>Waterproofing</t>
  </si>
  <si>
    <t>Waterproofing to roofs, basements, etc shall be carried out by workmen who are experienced in this type of work. 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t>
  </si>
  <si>
    <t>DAMP PROOFING OF WALLS AND FLOORS</t>
  </si>
  <si>
    <t>One layer of 250 micron polyethylene membrane vapour barrier, sealed at laps with PVC self adhesive tape</t>
  </si>
  <si>
    <t>On flat roofs</t>
  </si>
  <si>
    <t>Two coats "Flintkote"  or similar approved bitumen emulsion waterproof coating</t>
  </si>
  <si>
    <t>On outer face of inner skin of cavity walls</t>
  </si>
  <si>
    <t>Two layers 4mm "Polyglass Evolight" or similar  approved modified bituminous torch-on in membrane in widths not exceeding 300mm wide all in accordance with the manufacturer's instructions</t>
  </si>
  <si>
    <t>On screeds</t>
  </si>
  <si>
    <t>One layer 1.7mm self-adhesive fully bonded waterproof membrane comprising 1.4mm rubberised asphalt and a layer of heat resistant woven polypropylene mesh, laid with 75mm side and 100mm end laps</t>
  </si>
  <si>
    <t>On shower floors</t>
  </si>
  <si>
    <t>WATERPROOFING TO ROOFS, BASEMENTS, BALCONIES, ETC</t>
  </si>
  <si>
    <t>Two coats "Cemcrete Permastop"  or similar approved cementitious waterproofing slurry</t>
  </si>
  <si>
    <t>On tops and sides of inverted beams</t>
  </si>
  <si>
    <t>Two layers 4mm torched on bitumen membrane to be torch fused all in accordance with the manufacturer's specifications</t>
  </si>
  <si>
    <t>On floors to roofs</t>
  </si>
  <si>
    <t>Counter flashing strip exceeding 300mm girth and sealing edge to brickwork or concrete</t>
  </si>
  <si>
    <t>Additional membrane at turn-ups including flashing strip 150mm girth and sealing edge to brickwork or concrete</t>
  </si>
  <si>
    <t>30 x 30mm Triangular fillet</t>
  </si>
  <si>
    <t>Additional membrane at rainwater outlet</t>
  </si>
  <si>
    <t>One layer "Derbigum CG 4" or simialr approved fully bonded waterproofing including turn-ups, etc. applied by waterproofing specialist</t>
  </si>
  <si>
    <t>Tanking to lift pit</t>
  </si>
  <si>
    <t>"Bituthene 3000" or similar approved waterproof membrane fixed in accordance with manufacturers instructions</t>
  </si>
  <si>
    <t>On parapet walls, etc.</t>
  </si>
  <si>
    <t>Sealing edges to brickwork or concrete</t>
  </si>
  <si>
    <t>"Bituthene 3000" or similar approved waterproof membrane, including preparation of existing concrete substrate, prime with one coat bitumen primer and apply one layer 1.7mm self-adhesive fully bonded waterproof membrane comprising 1.4mm rubberised asphalt and a layer of heat-resistant woven polypropylene mesh, laid with 75mm side and 100mm end laps in accordance with manufacturer's instructions</t>
  </si>
  <si>
    <t>Extra over for two additional layers at expansion joints</t>
  </si>
  <si>
    <t>"SikaProof A 12" fully bonded membrane system or similar approved, 15mm thick, consisting of a flexible polyolefin (FPO) membrane with a thickness of 1.2mm containing a unique, FPO based, hybrid bonding layer to give total membrane thickness of 1.75mm installed strictly in accordance with the manufacturer's instructions</t>
  </si>
  <si>
    <t>On smooth blinding concrete</t>
  </si>
  <si>
    <t>To sides of pile caps &amp; ground beams</t>
  </si>
  <si>
    <t>PROTECTIVE ROOFING PAINT</t>
  </si>
  <si>
    <t>Two coats bituminous aluminium paint</t>
  </si>
  <si>
    <t>On waterproofing to roofs</t>
  </si>
  <si>
    <t>WATERSTOPS</t>
  </si>
  <si>
    <t>PVC drips to brick cavities, etc</t>
  </si>
  <si>
    <t>20 x 20 x 2mm Angle drip epoxy fixed to bottom edges of concrete slabs and beams</t>
  </si>
  <si>
    <t>PVC waterstops cast into concrete</t>
  </si>
  <si>
    <t>Type AR31 rearguard waterbar</t>
  </si>
  <si>
    <t>Fused T-intersection to AR31 waterstops</t>
  </si>
  <si>
    <t>FIRE SEALANTS, ETC.</t>
  </si>
  <si>
    <t>Gap sealing compound (60 minutes fire ratings) including backing cord, bond breaker, primer, etc.</t>
  </si>
  <si>
    <t>Pointing 25mm to 50mm high joints vertically and horizontally between brickwork and concrete</t>
  </si>
  <si>
    <t>JOINT SEALANTS, ETC</t>
  </si>
  <si>
    <t>Approved silicone pointing</t>
  </si>
  <si>
    <t>Between aluminium frames and walls</t>
  </si>
  <si>
    <t>Between metal frames and walls</t>
  </si>
  <si>
    <t>Between sanitary fittings and walls</t>
  </si>
  <si>
    <t>Two-part grey polysulphide sealing compound including backing cord, bond breaker, primer, etc:</t>
  </si>
  <si>
    <t>10 x 10mm In expansion joints in floors</t>
  </si>
  <si>
    <t>Two part grey polysulphide sealing compound including backing cord, bond breaker, primer, etc.</t>
  </si>
  <si>
    <t>8 x 8mm In saw cut joints in floors</t>
  </si>
  <si>
    <t>10 x 10mm In expansion joints in walls</t>
  </si>
  <si>
    <t>PROTECTIVE PAVING</t>
  </si>
  <si>
    <t>600 x 600mm concrete pavers laid on and including 10mm neoprene rubber backing to roof areas and plant areas</t>
  </si>
  <si>
    <t>Paving of slabs laid to flat roof walkway</t>
  </si>
  <si>
    <t>INSULATION</t>
  </si>
  <si>
    <t>"Isoboard" or similar approved high density 32-36kg/mÂ³ rigid extruded polystyrene 100% closed cell insulation boarding 80mm thick (or 2 (No.) x 40mm) with shiplap joints laid tightly butted on waterproofing (waterproofing elsewhere measured)</t>
  </si>
  <si>
    <t>On concrete slabs</t>
  </si>
  <si>
    <t>ROOF COVERINGS</t>
  </si>
  <si>
    <t>PROFILED METAL SHEETING AND ACCESSORIES</t>
  </si>
  <si>
    <t>0.53mm Thick Double interlocking concealed fixed, rolled formed profile steel roof sheeting and side cladding with certified "Seaspray matt"  finish on one side with 79 SRI rating in single lengths fixed to steel purlins with embossed galvanised sheet steel accessories with all fixed in accordance with manufacturers instruction and architects drawings and specifications</t>
  </si>
  <si>
    <t>Roof covering to curved roof</t>
  </si>
  <si>
    <t>Side cladding fixed to steel section to create barge board</t>
  </si>
  <si>
    <t>Capping flashing 320mm girth fixed to gutter and cladding</t>
  </si>
  <si>
    <t>Drip flashing 150mm girth</t>
  </si>
  <si>
    <t>Side flashing 120mm girth</t>
  </si>
  <si>
    <t>Barge flashing 850mm girth fixed to domed roof</t>
  </si>
  <si>
    <t>Side wall cladding</t>
  </si>
  <si>
    <t>Circular cutting</t>
  </si>
  <si>
    <t>Aluminium panel 385mm wide fixed to gutter</t>
  </si>
  <si>
    <t>ROOF AND WALL LINING AND INSULATION</t>
  </si>
  <si>
    <t>1 Layer of 50mm Thermocoustex fibre, marble colour, 24kg/mÂ³, 1.34mÂ².K/W R-Value, on 3 layers of 50mm thermocoustex fibre, marble colour, 50kg/mÂ³, 1.48mÂ².K/W R-Value, 1.2m x 10m laid taut over steel rafters (at approximately 1950mm centres) and fixed concurrent with purlins, etc. including straining wires laid over new purlins</t>
  </si>
  <si>
    <t>Insulation laid taut over purlins (at approximately 760mm centres) and fixed concurrent with roof covering and shutter board including galvanised steel straining wires</t>
  </si>
  <si>
    <t>Sisalation "FR430" or other equal approved heavy duty, double sided reflective foil laminate, with and including support wires laid taut over steel rafters (at approximately 1950mm centres) and fixed concurrent with purlins, etc. including straining wires laid over new purlins</t>
  </si>
  <si>
    <t>CARPENTRY AND JOINERY (SKIRTINGS &amp; TIMBER DOORS)</t>
  </si>
  <si>
    <t>SKIRTINGS</t>
  </si>
  <si>
    <t>Hardwood (Finishes specification code S7)</t>
  </si>
  <si>
    <t>19 x 100mm Timber skirting, plugged</t>
  </si>
  <si>
    <t>DOORS, ETC</t>
  </si>
  <si>
    <t>Flush solid Masonite fire doors with commercial veneer</t>
  </si>
  <si>
    <t>Class B fire door approximate size 1100 x 2030mm high including pressed steel frame for 90mm partition walls and preparing frame for door closer and lock (Type FR-5A)</t>
  </si>
  <si>
    <t>Class B fire door approximate size 1100 x 2030mm high including pressed steel frame for half brick walls and preparing frame for door closer and lock (Type FR-5A)</t>
  </si>
  <si>
    <t>Class B fire door approximate size 813 x 2030mm high including pressed steel frame for half brick walls and preparing frame for door closer and lock (Type FR-6)</t>
  </si>
  <si>
    <t>Class B fire door approximate size 813 x 2030mm high including pressed steel frame for one brick walls and preparing frame for door closer and lock (Type FR-6)</t>
  </si>
  <si>
    <t>Class B fire door approximate size 930 x 2065mm high including pressed steel frame for half brick walls and preparing frame for door closer and lock  (Type FR-2A)</t>
  </si>
  <si>
    <t>Class B fire door approximate size 930 x 2065mm high including pressed steel frame for one brick walls and preparing frame for door closer and lock  (Type FR-2A)</t>
  </si>
  <si>
    <t>Class B fire double door approximate size 1730 x 2032mm high including pressed steel frame for one brick walls and preparing frame for door closer (Type FE-1 &amp; FE-1A )</t>
  </si>
  <si>
    <t>Class B fire double door approximate size 1730 x 2032mm high including pressed steel frame for half brick walls and preparing frame for door closer (Type FE-1A)</t>
  </si>
  <si>
    <t>Class B fire double door approximate size 1730 x 2032mm high including pressed steel frame for 280mm cavity brick walls and preparing frame for door closer (Type FE-1A)</t>
  </si>
  <si>
    <t>Semi-solid core fire door with hardwood veneer</t>
  </si>
  <si>
    <t>Class B fire double door approximate size 1500 x 2032mm high with and including hardwood edges, each leaf with and including 200 x 300mm opening for fire rated transparent glazing including pressed steel frame for half brick walls and preparing frame for door closer (Type FR-9)</t>
  </si>
  <si>
    <t>Class B fire double door approximate size 1500 x 2032mm high, with and including hardwood edges, each leaf with and including 200 x 300mm opening for fire rated transparent glazing including pressed steel frame for one brick walls and preparing frame for door closer (Type FR-9)</t>
  </si>
  <si>
    <t>Semi-solid flush doors with 3.2mm plain hardboard covering on both sides, hung to steel frames (steel frames elsewhere measured)</t>
  </si>
  <si>
    <t>40mm Door size approximately 1000 x 2032mm high, with and including hardwood edges and including 290 x 300mm opening for transparent glazing (Type SD-3 &amp; SD-3A)</t>
  </si>
  <si>
    <t>40mm Double door size approximately 1430 x 2032mm high, with and including hardwood edges, each leaf with and including 250 x 400mm opening for transparent glazing (Type DD-7)</t>
  </si>
  <si>
    <t>Solid flush door, hung to aluminium frame (aluminium frame elsewhere measured)</t>
  </si>
  <si>
    <t>40mm Double door size approximately 1450 x 2850mm, with and including acoustic treatment to a RW 32 dB minimum rating (Type DD-9)</t>
  </si>
  <si>
    <t>CEILINGS PARTITIONS AND ACCESS FLOORING</t>
  </si>
  <si>
    <t>Ceilings</t>
  </si>
  <si>
    <t>Unless otherwise described ceilings shall be deemed to be horizontal</t>
  </si>
  <si>
    <t>Bulkheads</t>
  </si>
  <si>
    <t>Bulkheads are defined as those portions of ceilings which are stepped down from the general ceiling level in a particular room or area and which generally occur along the perimeter. Their purpose is either to conceal services or to create architectural features</t>
  </si>
  <si>
    <t>Bulkheads have only been described as such where they conform to the above definition and where the horizontal or vertical dimensions do not exceed 900mm. Where these dimensions are more than 900mm such portions of ceilings have been included in the appropriate general items of ceilings</t>
  </si>
  <si>
    <t>Unless otherwise described bulkheads shall be deemed to be horizontal along the length</t>
  </si>
  <si>
    <t>Circular bulkheads shall be given separately</t>
  </si>
  <si>
    <t>Steel components</t>
  </si>
  <si>
    <t>All steel components for ceilings, partitions, etc are to be galvanised in accordance with SANS 121.</t>
  </si>
  <si>
    <t>Feature ceilings</t>
  </si>
  <si>
    <t>SUSPENDED CEILINGS AND BULKHEADS</t>
  </si>
  <si>
    <t>Suspended lay-in ceilings</t>
  </si>
  <si>
    <t>600 x 600 x 15mm thick acoustic vinyl finished gypsum ceiling tiles laid on exposed white polyester powder coated steel capped T38 x 25mm exposed steel grid, including main tees and cross tees, with hold down RSAS galvanised clips fixed complete, including wedging up and all necessary bearers, fixing brackets etc, supported at abutments on and including channels, trims, edging beads etc, all in accordance with the manufacturers instructions (Type: CLG 3)</t>
  </si>
  <si>
    <t>Horizontal ceiling suspended not exceeding 1m below concrete soffits</t>
  </si>
  <si>
    <t>Horizontal ceiling suspended exceeding 1m not exceeding 2m below concrete soffits</t>
  </si>
  <si>
    <t>Extra over for fixing recessed light fitting size 600 x 600mm (fitting supplied by other) in grid system, including all necessary trims, additional hangers, etc. (ceiling tile not deducted)</t>
  </si>
  <si>
    <t>Extra over for forming opening for and fixing air conditioning griller size 600 x 600mm (grille supplied by other) including hangers, tees, bracing etc.</t>
  </si>
  <si>
    <t>22mm white polyester shadowline cornice with exposed faces finished to match ceiling tees, including galvanised steel Z- bracket wall angle, cutting to length, mitres, etc.</t>
  </si>
  <si>
    <t>Suspended flush plasterboard ceilings and bulkheads</t>
  </si>
  <si>
    <t>Gypsum moisture resistant plasterboard ceilings on screw-up tee suspended grid including hangers etc, with tape fixed over joints and the whole finished with gypsum plaster trowelled to a smooth polished surface</t>
  </si>
  <si>
    <t>Ceilings suspended exceeding 1m not exceeding 2m below concrete soffits</t>
  </si>
  <si>
    <t>Horizontal bulkheads 90mm wide, suspended exceeding 1m not exceeding 2m below concrete soffits</t>
  </si>
  <si>
    <t>Horizontal bulkheads 180mm wide, suspended exceeding 1m not exceeding 2m below concrete soffits</t>
  </si>
  <si>
    <t>12.5mm Gypsum plasterboard ceilings on screw-up tee suspended grid including hangers etc, with tape fixed over joints and the whole finished with gypsum plaster trowelled to a smooth polished surface</t>
  </si>
  <si>
    <t>Sloping ceilings suspended not exceeding 1m below concrete soffits</t>
  </si>
  <si>
    <t>Ceilings suspended not exceeding 1m below concrete soffits</t>
  </si>
  <si>
    <t>Horizontal bulkheads 195mm wide, suspended exceeding 1m not exceeding 2m below concrete soffits</t>
  </si>
  <si>
    <t>Horizontal bulkheads 225mm wide, suspended exceeding 1m not exceeding 2m below concrete soffits</t>
  </si>
  <si>
    <t>Horizontal bulkheads 250mm wide, suspended exceeding 1m not exceeding 2m below concrete soffits</t>
  </si>
  <si>
    <t>Horizontal bulkheads 295mm wide, suspended exceeding 1m not exceeding 2m below concrete soffits</t>
  </si>
  <si>
    <t>Horizontal bulkheads 315mm wide, suspended exceeding 1m not exceeding 2m below concrete soffits</t>
  </si>
  <si>
    <t>Horizontal bulkheads 360mm wide, suspended exceeding 1m not exceeding 2m below concrete soffits</t>
  </si>
  <si>
    <t>Horizontal bulkheads 375mm wide, suspended exceeding 1m not exceeding 2m below concrete soffits</t>
  </si>
  <si>
    <t>Horizontal bulkheads 385mm wide, suspended exceeding 1m not exceeding 2m below concrete soffits</t>
  </si>
  <si>
    <t>Horizontal bulkheads 390mm wide, suspended exceeding 1m not exceeding 2m below concrete soffits</t>
  </si>
  <si>
    <t>Horizontal bulkheads 400mm wide, suspended exceeding 1m not exceeding 2m below concrete soffits</t>
  </si>
  <si>
    <t>Horizontal bulkheads 415mm wide, suspended exceeding 1m not exceeding 2m below concrete soffits</t>
  </si>
  <si>
    <t>Horizontal bulkheads 430mm wide, suspended exceeding 1m not exceeding 2m below concrete soffits</t>
  </si>
  <si>
    <t>Horizontal bulkheads 435mm wide, suspended exceeding 1m not exceeding 2m below concrete soffits</t>
  </si>
  <si>
    <t>Horizontal bulkheads 440mm wide, suspended exceeding 1m not exceeding 2m below concrete soffits</t>
  </si>
  <si>
    <t>Horizontal bulkheads 450mm wide, suspended exceeding 1m not exceeding 2m below concrete soffits</t>
  </si>
  <si>
    <t>Horizontal bulkheads 475mm wide, suspended exceeding 1m not exceeding 2m below concrete soffits</t>
  </si>
  <si>
    <t>Horizontal bulkheads 480mm wide, suspended exceeding 1m not exceeding 2m below concrete soffits</t>
  </si>
  <si>
    <t>Horizontal bulkheads 500mm wide, suspended exceeding 1m not exceeding 2m below concrete soffits</t>
  </si>
  <si>
    <t>Horizontal bulkheads 517mm wide, suspended exceeding 1m not exceeding 2m below concrete soffits</t>
  </si>
  <si>
    <t>Horizontal bulkheads 525mm wide, suspended exceeding 1m not exceeding 2m below concrete soffits</t>
  </si>
  <si>
    <t>Horizontal bulkheads 550mm wide, suspended exceeding 1m not exceeding 2m below concrete soffits</t>
  </si>
  <si>
    <t>Horizontal bulkheads 565mm wide, suspended exceeding 1m not exceeding 2m below concrete soffits</t>
  </si>
  <si>
    <t>Horizontal bulkheads 580mm wide, suspended exceeding 1m not exceeding 2m below concrete soffits</t>
  </si>
  <si>
    <t>Horizontal bulkheads 600mm wide, suspended exceeding 1m not exceeding 2m below concrete soffits</t>
  </si>
  <si>
    <t>Horizontal bulkheads 635mm wide, suspended exceeding 1m not exceeding 2m below concrete soffits</t>
  </si>
  <si>
    <t>Horizontal bulkheads 650mm wide, suspended exceeding 1m not exceeding 2m below concrete soffits</t>
  </si>
  <si>
    <t>Horizontal bulkheads 660mm wide, suspended exceeding 1m not exceeding 2m below concrete soffits</t>
  </si>
  <si>
    <t>Horizontal bulkheads 672mm wide, suspended exceeding 1m not exceeding 2m below concrete soffits</t>
  </si>
  <si>
    <t>Horizontal bulkheads 690mm wide, suspended exceeding 1m not exceeding 2m below concrete soffits</t>
  </si>
  <si>
    <t>Horizontal bulkheads 707mm wide, suspended exceeding 1m not exceeding 2m below concrete soffits</t>
  </si>
  <si>
    <t>Horizontal bulkheads 712mm wide, suspended exceeding 1m not exceeding 2m below concrete soffits</t>
  </si>
  <si>
    <t>Horizontal bulkheads 715mm wide, suspended exceeding 1m not exceeding 2m below concrete soffits</t>
  </si>
  <si>
    <t>Horizontal bulkheads 720mm wide, suspended exceeding 1m not exceeding 2m below concrete soffits</t>
  </si>
  <si>
    <t>Horizontal bulkheads 730mm wide, suspended exceeding 1m not exceeding 2m below concrete soffits</t>
  </si>
  <si>
    <t>Horizontal bulkheads 750mm wide, suspended exceeding 1m not exceeding 2m below concrete soffits</t>
  </si>
  <si>
    <t>Horizontal bulkheads 760mm wide, suspended exceeding 1m not exceeding 2m below concrete soffits</t>
  </si>
  <si>
    <t>Horizontal bulkheads 785mm wide, suspended exceeding 1m not exceeding 2m below concrete soffits</t>
  </si>
  <si>
    <t>Horizontal bulkheads 800mm wide, suspended exceeding 1m not exceeding 2m below concrete soffits</t>
  </si>
  <si>
    <t>Horizontal bulkheads 815mm wide, suspended exceeding 1m not exceeding 2m below concrete soffits</t>
  </si>
  <si>
    <t>Horizontal bulkheads 850mm wide, suspended exceeding 1m not exceeding 2m below concrete soffits</t>
  </si>
  <si>
    <t>Horizontal bulkheads 880mm wide, suspended exceeding 1m not exceeding 2m below concrete soffits</t>
  </si>
  <si>
    <t>Horizontal bulkheads 890mm wide, suspended exceeding 1m not exceeding 2m below concrete soffits</t>
  </si>
  <si>
    <t>Horizontal bulkheads 930mm wide, suspended exceeding 1m not exceeding 2m below concrete soffits</t>
  </si>
  <si>
    <t>Horizontal bulkheads 950mm wide, suspended exceeding 1m not exceeding 2m below concrete soffits</t>
  </si>
  <si>
    <t>Horizontal bulkheads 975mm wide, suspended exceeding 1m not exceeding 2m below concrete soffits</t>
  </si>
  <si>
    <t>Horizontal bulkheads 1090mm wide, suspended exceeding 1m not exceeding 2m below concrete soffits</t>
  </si>
  <si>
    <t>Horizontal bulkheads 1102mm wide, suspended exceeding 1m not exceeding 2m below concrete soffits</t>
  </si>
  <si>
    <t>Horizontal bulkheads 1169mm wide, suspended exceeding 1m not exceeding 2m below concrete soffits</t>
  </si>
  <si>
    <t>Horizontal bulkheads 1150mm wide, suspended exceeding 1m not exceeding 2m below concrete soffits</t>
  </si>
  <si>
    <t>Horizontal bulkheads 1180mm wide, suspended exceeding 1m not exceeding 2m below concrete soffits</t>
  </si>
  <si>
    <t>Horizontal bulkheads 1200mm wide, suspended exceeding 1m not exceeding 2m below concrete soffits</t>
  </si>
  <si>
    <t>Horizontal bulkheads 350mm wide, suspended exceeding 2m not exceeding 3m below concrete soffits</t>
  </si>
  <si>
    <t>Horizontal bulkheads 407mm wide, suspended exceeding 2m not exceeding 3m below concrete soffits</t>
  </si>
  <si>
    <t>Horizontal bulkheads 475mm wide, suspended exceeding 2m not exceeding 3m below concrete soffits</t>
  </si>
  <si>
    <t>Horizontal bulkheads 600mm wide, suspended exceeding 2m not exceeding 3m below concrete soffits</t>
  </si>
  <si>
    <t>Horizontal bulkheads 673mm wide, suspended exceeding 2m not exceeding 3m below concrete soffits</t>
  </si>
  <si>
    <t>Horizontal bulkheads 762mm wide, suspended exceeding 2m not exceeding 3m below concrete soffits</t>
  </si>
  <si>
    <t>Horizontal bulkheads 800mm wide, suspended exceeding 2m not exceeding 3m below concrete soffits</t>
  </si>
  <si>
    <t>Horizontal bulkheads 850mm wide, suspended exceeding 2m not exceeding 3m below concrete soffits</t>
  </si>
  <si>
    <t>Horizontal bulkheads 960mm wide, suspended exceeding 2m not exceeding 3m below concrete soffits</t>
  </si>
  <si>
    <t>Horizontal bulkheads 1012mm wide, suspended exceeding 2m not exceeding 3m below concrete soffits</t>
  </si>
  <si>
    <t>Horizontal bulkheads 1130mm wide, suspended exceeding 2m not exceeding 3m below concrete soffits</t>
  </si>
  <si>
    <t>Horizontal bulkheads 1150mm wide, suspended exceeding 2m not exceeding 3m below concrete soffits</t>
  </si>
  <si>
    <t>Vertical bulkheads 100mm high, suspended not exceeding 1m below concrete soffits</t>
  </si>
  <si>
    <t>Vertical bulkheads 100mm high, suspended not exceeding 1m below concrete soffits circular on plan</t>
  </si>
  <si>
    <t>Vertical bulkheads 580mm high, suspended not exceeding 1m below concrete soffits</t>
  </si>
  <si>
    <t>Vertical bulkheads 200mm high, suspended exceeding 1m not exceeding 2m below concrete soffits</t>
  </si>
  <si>
    <t>Vertical bulkheads 350mm high, suspended exceeding 1m not exceeding 2m below concrete soffits</t>
  </si>
  <si>
    <t>Vertical bulkheads 1230mm high, suspended exceeding 1m not exceeding 2m below concrete soffits</t>
  </si>
  <si>
    <t>Vertical bulkheads 1600mm high, suspended exceeding 1m not exceeding 2m below concrete soffits</t>
  </si>
  <si>
    <t>Vertical bulkheads 2200mm high, suspended exceeding 1m not exceeding 2m below concrete soffits</t>
  </si>
  <si>
    <t>Bulkheads consisting of 500mm (vertical) x 170mm (horizontal) x 100mm (vertical), suspended exceeding 1m not exceeding 2m below concrete soffits</t>
  </si>
  <si>
    <t>22mm white polyester shadowline cornice with exposed faces finished to match ceiling tees, including cutting to length, mitres, etc.</t>
  </si>
  <si>
    <t>Opening for sprinkler head</t>
  </si>
  <si>
    <t>Extra over ceilings for opening for 65mm diameter downlighter</t>
  </si>
  <si>
    <t>PARTITIONS, ETC.</t>
  </si>
  <si>
    <t>89mm Thick âGYPWALL Classic 63F30S46â or similar approved, ââDonn UltraSTEELââ 63.5x35mm stud partition with fire rating of 30 minutes and sound rating of Rw 42dB with both sides clad with one layer of 12.5mm âRhinoboardâ, with and including âRhinotapeâ to all joints and internal corners, âDonn" corner beads to all external corners and two layers of âGyproc RhinoGlideâ complete</t>
  </si>
  <si>
    <t>Partitioning 4320mm high</t>
  </si>
  <si>
    <t>Extra over partition 4320mm high for vertical abutment</t>
  </si>
  <si>
    <t>Extra over partition 4320mm high for corner</t>
  </si>
  <si>
    <t>Extra over partition 4320mm high for T-intersection</t>
  </si>
  <si>
    <t>Extra over partition 4320mm high for cutting out door frame opening including pine noggin support all around opening</t>
  </si>
  <si>
    <t>Extra over 4320mm partition for noggins for heavy duty fixtures in Ultra Steel load bearing stud noggins</t>
  </si>
  <si>
    <t>114mm Thick âGYPWALL Classic 63F60S46âor similar approved, ââDonn UltraSTEELââ 63.5 x 35mm stud partition with fire rating of 60 minutes and sound rating of Rw 46dB with both sides clad with two layers of 12.5mm âRhinoboardâ, with and including âRhinotapeâ to all joints and internal corners, âDonn" corner beads to all external corners and two layers of âGyproc RhinoGlideâ complete</t>
  </si>
  <si>
    <t>Partitioning 3100mm high</t>
  </si>
  <si>
    <t>Extra over partition 3100mm high for vertical abutment</t>
  </si>
  <si>
    <t>Extra over partition 3100mm high for corner</t>
  </si>
  <si>
    <t>Extra over partition 3100mm high for T-intersection</t>
  </si>
  <si>
    <t>Extra over partition 3100mm high for fair end</t>
  </si>
  <si>
    <t>Extra over partition 4320mm high for fair end</t>
  </si>
  <si>
    <t>Extra over partition 4320mm high for cutting out window frame opening including pine noggin support all around opening</t>
  </si>
  <si>
    <t>Extra over partition 3.47m high for cutting out door frame opening including pine noggin support all around opening</t>
  </si>
  <si>
    <t>Extra over partition for noggins for cupboards in 18mm plywood 600 x 300mm</t>
  </si>
  <si>
    <t>Extra over 3100mm partition for noggins for heavy duty fixtures in Ultra Steel load bearing stud noggins</t>
  </si>
  <si>
    <t>Extra over partition for noggins for electrical and plumbing in 600mm long 102mm Ultra Steel stud noggins</t>
  </si>
  <si>
    <t>132mm Thick âGYPWALL FireStop HiSpec 102F120S55â, or similar approved, ââDonn UltraSTEELââ 102x25mm stud partition with fire rating of 120 minutes and sound rating of Rw 55dB with one side clad with two layers of 15mm âFireStop Rhinoboardâ and with one side clad with one layer 15mm moisture resistant "Rhinoboard", with and including 120mm thick  "Isover" cavitybatt, âRhinotapeâ to all joints and internal corners, âDonn" corner beads to all external corners and two layers of âGyproc RhinoGlideâ complete</t>
  </si>
  <si>
    <t>Partitioning 2900mm high</t>
  </si>
  <si>
    <t>Extra over partition 2900mm high for vertical abutment</t>
  </si>
  <si>
    <t>Extra over partition 4320mm high for cutting out door frame opening approximately 900 x 2400mm high including pine noggin support all around opening</t>
  </si>
  <si>
    <t>Extra over 3320mm partition for noggins for heavy duty fixtures in Ultra Steel load bearing stud noggins</t>
  </si>
  <si>
    <t>CUBICLE DOORS</t>
  </si>
  <si>
    <t>12mm Thick door size approximately 735 x 1950mm high, complete (Type CD-1)</t>
  </si>
  <si>
    <t>ACCESS FLOORING</t>
  </si>
  <si>
    <t>Raised access floor system consisting of PAC 35/05/05 fully removable square panel with a nominal size of 600x600x35mm thick formed by high density chipboard core of 720kg/m3 density with and including protected perimeter with PVC self-extinguishing edge trim of 1.5mm thickness, bottom surface securely bonded and finished with galvanised steel Z-275 sheet of 0.5mm and SD directional static dissipative vinyl tiles laid on top, size 608x608x2mm thick, as per manufacturer's instructions (Finishes specification code FLR13)</t>
  </si>
  <si>
    <t>Raised access floor system 500mm high</t>
  </si>
  <si>
    <t>FEATURE CEILINGS DESIGN, SUPPLY AND INSTALLATION BY SPECIALIST CONTRACTOR</t>
  </si>
  <si>
    <t>Horizontal ceiling, including vertical bulkheads with overall size approximately 26.5 x 73.0m long fixed approximately 7.4m above ground floor</t>
  </si>
  <si>
    <t>Vertical bulkheads 400mm high, suspended exceeding 1m not exceeding 2m below concrete soffits</t>
  </si>
  <si>
    <t>Vertical bulkheads 800mm high, suspended exceeding 1m not exceeding 2m below concrete soffits</t>
  </si>
  <si>
    <t>Horizontal ceiling, including vertical bulkheads with overall size approximately 11.7m x 78.2m long</t>
  </si>
  <si>
    <t>Design, supply &amp; install pre-painted / treated feature acoustic ceiling, consisting of acoustic ceilings type 1 as per architects specification CLG5 approximately 1240mÂ², of 140 (No.) panels fixed at various angles fixed to steel beams with and including pre-painted exposed tee suspension system and supporting steel substructure including main and cross tees, necessary hangers, grids, etc. complete</t>
  </si>
  <si>
    <t>Horizontal ceiling, including vertical bulkheads with overall size approximately 29.4 x 42.2m long</t>
  </si>
  <si>
    <t>FLOOR COVERINGS</t>
  </si>
  <si>
    <t>General notes</t>
  </si>
  <si>
    <t>CARPETING</t>
  </si>
  <si>
    <t>Type FLR1 - 500 x 500mm Carpet Tiles fixed with approved adhesive to screed (screed elsewhere) all in accordance with the project specification document</t>
  </si>
  <si>
    <t>On floors</t>
  </si>
  <si>
    <t>Type FLR2 - 500 x 500mm Carpet Tiles fixed with approved adhesive to screed (screed elsewhere) all in accordance with the project specification document</t>
  </si>
  <si>
    <t>BAMBOO FLOORING</t>
  </si>
  <si>
    <t>Type FLR20 - 1900 x 160 x 18mm Thick solid bamboo flooring fixed fully-bonded with approved adhesive to screed (screed elsewhere) including moisture barrier, all in accordance with the project specification document</t>
  </si>
  <si>
    <t>VINYL FLOORING</t>
  </si>
  <si>
    <t>Type FLR11 - 2mm Thick Vinyl sheeting fixed with approved acrylic adhesive to screed (screed elsewhere) all in accordance with the project specification document</t>
  </si>
  <si>
    <t>ENTRANCE / WALK-OFF MATS</t>
  </si>
  <si>
    <t>Type FLR3 - "OBEX" or other equally approved walk-off / entrance mats</t>
  </si>
  <si>
    <t>11mm Thick "Mono" closed matt (Zone 2 specification) on grid approximate size 10400 x 1950mm installed complete as per manufacturer's specification (ground floor entrance mat)</t>
  </si>
  <si>
    <t>11mm Thick "Mono" closed matt (Zone 2 specification) on grid approximate size 9400 x 1500mm installed complete as per manufacturer's specification (second floor entrance mats)</t>
  </si>
  <si>
    <t>SKIRTINGS, NOSINGS, ETC.</t>
  </si>
  <si>
    <t>Strip skirtings, nosings, etc.</t>
  </si>
  <si>
    <t>100mm High aluminium skirting fixed to drywall partitions as per manufactures installation detail. (Finishes specification code S4)</t>
  </si>
  <si>
    <t>500mm High 316 stainless steel skirting (Finishes specification code S8)</t>
  </si>
  <si>
    <t>IRONMONGERY</t>
  </si>
  <si>
    <t>HINGES, BOLTS, ETC</t>
  </si>
  <si>
    <t>Butt hinges, floor spring hinges, etc.</t>
  </si>
  <si>
    <t>Ball bearing butt hinges 100mm</t>
  </si>
  <si>
    <t>Pairs</t>
  </si>
  <si>
    <t>Sinkless aluminium hinges</t>
  </si>
  <si>
    <t>Sinkless aluminium hinges 200mm</t>
  </si>
  <si>
    <t>Satin nickel L bracket set for EMC 400 AH (19860523)</t>
  </si>
  <si>
    <t>Bolts, indicator bolts, etc.</t>
  </si>
  <si>
    <t>Stainless steel indicator bolt set</t>
  </si>
  <si>
    <t>LOCKS</t>
  </si>
  <si>
    <t>Cylinder locks, dead locks, etc.</t>
  </si>
  <si>
    <t>Cylinder latch and dead lock</t>
  </si>
  <si>
    <t>Euro double cylinder 2 x 28 lock</t>
  </si>
  <si>
    <t>Bathroom dead lock</t>
  </si>
  <si>
    <t>Anodised aluminium facility single electromagnetic lock with 400 Ibf (1779 N) holding force, surface mounted, with lock status sensor (19860500)</t>
  </si>
  <si>
    <t>Anodised aluminium facility single electromagnetic lock with 600 Ibf (2669 N) holding force per magnet, surface mounted, with lock status sensor red/green (19860503)</t>
  </si>
  <si>
    <t>HANDLES, FLUSH PULLS, ETC</t>
  </si>
  <si>
    <t>Lever handles, etc.</t>
  </si>
  <si>
    <t>Stainless steel DPH301C pull handle BT fixed on stainless steel plate</t>
  </si>
  <si>
    <t>Stainless steel 400 x 30mm offset tubular pull handle BTB (BTB fixing sets included), (pull handle to comply with BS 8424 grade 3-heavy duty)</t>
  </si>
  <si>
    <t>PUSH PLATES AND KICK PLATES</t>
  </si>
  <si>
    <t>Stainless steel plates</t>
  </si>
  <si>
    <t>170 x 170 x 1.2mm Thick push plate grade 430, with 4No. countersunk holes for screw fixing</t>
  </si>
  <si>
    <t>1000 x 300 x 1.2mm Thick kick plate grade 430, with 26No. countersunk holes for screw fixing</t>
  </si>
  <si>
    <t>Panic bolts, panic latches, etc.</t>
  </si>
  <si>
    <t>Double door three point locking panic bar, complete (2101, 2104, 2201, PHX02, PHX04)</t>
  </si>
  <si>
    <t>DOOR CLOSERS</t>
  </si>
  <si>
    <t>Door closers plus magnets, etc.</t>
  </si>
  <si>
    <t>Adjustable strength door closer set complete with hydraulic speed control, silver EN 2-4 regular arm non-hold-open function. pull side fixing EN2 750-850, EN3 850-950, EN4 950-1100</t>
  </si>
  <si>
    <t>Non-hold open co-ordinated door closer system, set complete with hydraulic speed control, silver EN 3. Door closer compliant with EN 1154. Door co-ordinators tested to EN 1158. Door closer to be fire approved (Certificate No. CF 119). Certified manufacturer to ISO 9001</t>
  </si>
  <si>
    <t>Concealed door closer (Code: Dorma ITS96) with fixing brackets</t>
  </si>
  <si>
    <t>SLIDING GEAR</t>
  </si>
  <si>
    <t>Sliding gear for sliding doors</t>
  </si>
  <si>
    <t>Sliding gear set for double door with track 6000mm long, opening 3000mm long, including Ixio combined safety and motion sensor, battery back-up, power coating for pelmets and end plates, complete</t>
  </si>
  <si>
    <t>SUNDRIES</t>
  </si>
  <si>
    <t>Door stops, hooks, etc.</t>
  </si>
  <si>
    <t>Door stop satin nickel</t>
  </si>
  <si>
    <t>Stainless steel hat and coat hook with rubber buffer</t>
  </si>
  <si>
    <t>Stainless steel wall buffer</t>
  </si>
  <si>
    <t>BATHROOM ACCESSORIES</t>
  </si>
  <si>
    <t>"Serra" or other equally approved</t>
  </si>
  <si>
    <t>375 x 130 x 130mm Toilet roll dispenser (colour - black)</t>
  </si>
  <si>
    <t>277 x 201 x 175mm automatic sensor hand dryer unit</t>
  </si>
  <si>
    <t>385 x 340 x 290mm wall mounted bin (colour - black)</t>
  </si>
  <si>
    <t>200mm Diameter x 500mm high feminine hygiene bin (colour -black)</t>
  </si>
  <si>
    <t>50 x 50 x 60mm Aluminium single bag hook</t>
  </si>
  <si>
    <t>STRUCTURAL STEELWORK</t>
  </si>
  <si>
    <t>GALVANISED STEEL COLUMNS AND BEAMS</t>
  </si>
  <si>
    <t>BASEMENT MEZZANINE FLOOR</t>
  </si>
  <si>
    <t>Welded beams consisting of two cut beams in single lengths with flat section base, top, bearer and connection plates bolted to concrete</t>
  </si>
  <si>
    <t>UB 305 x 102x 33 &amp; UC 254 x 254 x 73 (53 kg/m)</t>
  </si>
  <si>
    <t>UB 406 x 178 x 54 &amp; UC 305 x 305 x 97 (75.5 kg/m)</t>
  </si>
  <si>
    <t>UB 457 x 191 x 98 &amp; UC 305 x 305 x 118 (108 kg/m)</t>
  </si>
  <si>
    <t>UB 254 x 254 x 132 &amp; UC 356 x 368 x 177 (154.5 kg/m)</t>
  </si>
  <si>
    <t>Welded bracing etc with flat section connection plates bolted to steel</t>
  </si>
  <si>
    <t>10mm Thick stiffener plates</t>
  </si>
  <si>
    <t>20mm Thick base plates</t>
  </si>
  <si>
    <t>20mm Thick gusset and connection plates</t>
  </si>
  <si>
    <t>Angles bolted to concrete</t>
  </si>
  <si>
    <t>100 x 100 x 10 Angle (15kg/m)</t>
  </si>
  <si>
    <t>Angles bolted to concrete secant pile wall</t>
  </si>
  <si>
    <t>300 x 100 PFC (46kg/m)</t>
  </si>
  <si>
    <t>Bolts to columns, beams, etc.</t>
  </si>
  <si>
    <t>High tensile bolts (class 8.8)</t>
  </si>
  <si>
    <t>M16 (Grade 8.8) chemical anchor 300mm expansion bolt to secant pile wall</t>
  </si>
  <si>
    <t>M16 (Grade 8.8) chemical anchor 300mm expansion bolt to concrete</t>
  </si>
  <si>
    <t>THIRD FLOOR MEZZANINE</t>
  </si>
  <si>
    <t>Welded beams in single lengths with flat section base, top, bearer and connection plates bolted to concrete</t>
  </si>
  <si>
    <t>406 x 140 x 39 UB (39kg/m)</t>
  </si>
  <si>
    <t>406 x 178 x 54 UB (54kg/m)</t>
  </si>
  <si>
    <t>406 x 178 x 60 UB (60kg/m)</t>
  </si>
  <si>
    <t>457 x 191 x 67 UB (67kg/m)</t>
  </si>
  <si>
    <t>533 x 210 x 82 UB (82kg/m)</t>
  </si>
  <si>
    <t>305 x 305 x 97 UC (97kg/m)</t>
  </si>
  <si>
    <t>6mm Thick plates</t>
  </si>
  <si>
    <t>10mm Thick fin plates</t>
  </si>
  <si>
    <t>12mm Thick splice plate</t>
  </si>
  <si>
    <t>14mm Thick stiffener plates</t>
  </si>
  <si>
    <t>20mm Thick end plates</t>
  </si>
  <si>
    <t>30mm Thick fin plates</t>
  </si>
  <si>
    <t>Bolts to columns, beams, etc:</t>
  </si>
  <si>
    <t>High tensile M20 bolts (class 8.8)</t>
  </si>
  <si>
    <t>M20 (Grade 8.8) chemical anchor expansion bolt cast into concrete</t>
  </si>
  <si>
    <t>PRECAST CONCRETE FLOOR STEEL SUPPORTS</t>
  </si>
  <si>
    <t>Bolts to concrete beams, etc:</t>
  </si>
  <si>
    <t>M16 (Grade 8.8) chemical anchor expansion bolt cast into concrete</t>
  </si>
  <si>
    <t>STEEL ROOF ETC</t>
  </si>
  <si>
    <t>STEEL TRUSSES ETC</t>
  </si>
  <si>
    <t>Welded roof trusses of angle section rails, struts, braces, cleats, etc and flat section bearer, gusset and connection plates bolted to steel</t>
  </si>
  <si>
    <t>Curved roof trusses approximately 35.0 x 6.9m high extreme</t>
  </si>
  <si>
    <t>Welded beams / columns in single lengths with flat section base, top, bearer and connection plates bolted to concrete:</t>
  </si>
  <si>
    <t>75 x 50 x 20 x 2.5mm CFLC (3.85kg/m)</t>
  </si>
  <si>
    <t>150 x 75 x 20 x 2.5mm CFLC (6.31kg/m)</t>
  </si>
  <si>
    <t>70 x 70mm Angle (6.38kg/m)</t>
  </si>
  <si>
    <t>101.6 x 3mm CHS (7.29kg/m)</t>
  </si>
  <si>
    <t>175 x 65 x 20 x 3mm CFLC (7.60kg/m)</t>
  </si>
  <si>
    <t>127 x 3mm CHS (9.17kg/m)</t>
  </si>
  <si>
    <t>250 x 75 x 20 x 3mm CFLC (9.84kg/m)</t>
  </si>
  <si>
    <t>152.4 x 4 x 4mm CHS (14.6kg/m)</t>
  </si>
  <si>
    <t>165.1 x 4mm CHS (15.9kg/m)</t>
  </si>
  <si>
    <t>140 x 60mm TFC (16.2kg/m)</t>
  </si>
  <si>
    <t>193.7 x 4.5mm CHS (21kg/m)</t>
  </si>
  <si>
    <t>152 x 152mm UC (23kg/m)</t>
  </si>
  <si>
    <t>254 x 147mm UB (31.1kg/m)</t>
  </si>
  <si>
    <t>IPE 180 (18.8kg/m)</t>
  </si>
  <si>
    <t>6mm Fin Plates</t>
  </si>
  <si>
    <t>8mm Thick splice plate</t>
  </si>
  <si>
    <t>8mm Thick stiffener plates</t>
  </si>
  <si>
    <t>10mm Stiffener plate</t>
  </si>
  <si>
    <t>10mm Thick splice plate</t>
  </si>
  <si>
    <t>12mm Gusset plates etc.</t>
  </si>
  <si>
    <t>20mm Thick end plates.</t>
  </si>
  <si>
    <t>20mm Thick stiffener plates</t>
  </si>
  <si>
    <t>20mm Thick gusset plates</t>
  </si>
  <si>
    <t>20mm Base plate</t>
  </si>
  <si>
    <t>Bolts to trusses etc.</t>
  </si>
  <si>
    <t>20mm Diameter J-shaped anchor bolt 750mm girth</t>
  </si>
  <si>
    <t>20mm Diameter U-shaped anchor bolt 950mm girth embedded in side of concrete</t>
  </si>
  <si>
    <t>GALVANISED STEEL ANGLES, ETC</t>
  </si>
  <si>
    <t>Angles fixed to concrete</t>
  </si>
  <si>
    <t>125 x 75 x 10 Angle (15kg/m)</t>
  </si>
  <si>
    <t>Bolts to trusses etc</t>
  </si>
  <si>
    <t>DESIGN, SUPPLY AND INSTALLATION OF GALVANISED MILD STEEL HANDRAILS</t>
  </si>
  <si>
    <t>Welded horizontal handrail</t>
  </si>
  <si>
    <t>Raking to stairs and ramps</t>
  </si>
  <si>
    <t>Extra over handrail for bends</t>
  </si>
  <si>
    <t>Extra over handrail for stop ends</t>
  </si>
  <si>
    <t>DESIGN, SUPPLY AND INSTALLATION OF GALVANISED MILD STEEL BUMPER RAILS</t>
  </si>
  <si>
    <t>Semi-octagonal shaped bumper rail, consisting of 2 No. independent rails, approximately 1800mm in girth each, fixed to 900mm diameter concrete column, complete</t>
  </si>
  <si>
    <t>Semi-octagonal shaped bumper rail, consisting of 1 No. independent rail, approximately 1800mm in girth, fixed to 900mm diameter concrete column, complete</t>
  </si>
  <si>
    <t>Semi-octagonal shaped bumper rail, consisting of 2 No. independent rails, approximately 1505mm in girth each,  fixed to 750mm diameter concrete column, complete</t>
  </si>
  <si>
    <t>Semi-square shaped bumper rail, consisting of 2 No. independent rails, approximately 1990mm in girth each, fixed to 800 x 800mm concrete column, complete</t>
  </si>
  <si>
    <t>Semi-square shaped bumper rail, consisting of 1 No. independent rail, approximately 1990mm in girth, fixed to 800 x 800mm concrete column, complete</t>
  </si>
  <si>
    <t>Semi-square shaped bumper rail, consisting of 2 No. independent rails, approximately 2190mm in girth each,  fixed to 900 x 900mm concrete column, complete</t>
  </si>
  <si>
    <t>Semi-square shaped bumper rail, consisting of 1 No. independent rail, approximately 2190mm in girth, fixed to 900 x 900mm concrete column, complete</t>
  </si>
  <si>
    <t>Semi-square shaped bumper rail, consisting of 2 No. independent rails, approximately 1690mm in girth each, fixed to 450 x 450mm concrete column, complete</t>
  </si>
  <si>
    <t>Semi-rectangular shaped bumper rail, consisting of 2 No. independent rails, approximately 2490mm in girth each, fixed to 900 x 1200mm concrete column, complete</t>
  </si>
  <si>
    <t>Semi-rectangular shaped bumper rail, consisting of 1 No. independent rail, approximately 1290mm in girth, fixed to 600 x 300mm concrete column, complete</t>
  </si>
  <si>
    <t>Rectangular shaped bumper rail, consisting of 1 No. independent rail, approximately 3800mm in girth, fixed to 1050 x 500mm concrete column, complete</t>
  </si>
  <si>
    <t>Welded horizontal bumper rail</t>
  </si>
  <si>
    <t>Extra over bump rail for bends</t>
  </si>
  <si>
    <t>Extra over bump rail for stop ends</t>
  </si>
  <si>
    <t>DESIGN, SUPPLY AND INSTALLATION OF GALVANISED MILD STEEL BALUSTRADES</t>
  </si>
  <si>
    <t>Welded horizontal balustrading</t>
  </si>
  <si>
    <t>Welded horizontal balustrading, circular on plan</t>
  </si>
  <si>
    <t>Extra over balustrading for bends</t>
  </si>
  <si>
    <t>Extra over balustrading for stop ends</t>
  </si>
  <si>
    <t>DESIGN, SUPPLY AND INSTALLATION OF STAINLESS STEEL BUMPER RAILS</t>
  </si>
  <si>
    <t>Welded horizontal bumper rail, circular on plan</t>
  </si>
  <si>
    <t>Extra over bumper rail for bends</t>
  </si>
  <si>
    <t>Extra over bumper rail for stop ends</t>
  </si>
  <si>
    <t>DESIGN, SUPPLY AND INSTALLATION OF GLAZED STAINLESS STEEL BALUSTRADES</t>
  </si>
  <si>
    <t>Welded glazed balustrading</t>
  </si>
  <si>
    <t>Extra over balustrading for rounded ends</t>
  </si>
  <si>
    <t>DESIGN, SUPPLY AND INSTALLATION OF STAINLESS STEEL GLASS SCREENS</t>
  </si>
  <si>
    <t>Welded glazed aluminium screen</t>
  </si>
  <si>
    <t>Extra over screens for bends</t>
  </si>
  <si>
    <t>Extra over screens for knees</t>
  </si>
  <si>
    <t>Extra over screens for stop ends</t>
  </si>
  <si>
    <t>Extra over screens for intersections</t>
  </si>
  <si>
    <t>DESIGN, SUPPLY AND INSTALLATION OF STAINLESS STEEL QUEUING RAILS AND GATES</t>
  </si>
  <si>
    <t>Welded queuing rail</t>
  </si>
  <si>
    <t>Queuing rail gate</t>
  </si>
  <si>
    <t>DOOR FRAMES, DOOR, WINDOWS, ETC</t>
  </si>
  <si>
    <t>COLD FORMED GALVANISED MILD STEEL DOOR FRAMES</t>
  </si>
  <si>
    <t>1.6mm Rebated frames suitable for partition walls</t>
  </si>
  <si>
    <t>Frame for door size approximately 1070 x 2067mm high, complete (Type SD-3 &amp; SD-3A)</t>
  </si>
  <si>
    <t>Frame for door size approximately 1500 x 2067mm high, complete (Type DD-7)</t>
  </si>
  <si>
    <t>1.6mm Rebated frames suitable for half brick walls</t>
  </si>
  <si>
    <t>1.6mm Rebated frames suitable for one brick walls</t>
  </si>
  <si>
    <t>DESIGN, SUPPLY AND INSTALLATION OF GLAZED ALUMINIUM WINDOWS</t>
  </si>
  <si>
    <t>Window, approximate size 2000 x 1800mm high</t>
  </si>
  <si>
    <t>Window, approximate size 4000 x 1800mm high</t>
  </si>
  <si>
    <t>Window approximate size 1600 x 1600mm high</t>
  </si>
  <si>
    <t>Window approximate size 3200 x 1600mm high</t>
  </si>
  <si>
    <t>DESIGN, SUPPLY AND INSTALLATION OF GLAZED ALUMINIUM SLIDING DOORS</t>
  </si>
  <si>
    <t>DESIGN, SUPPLY AND INSTALLATION OF ALUMINIUM LOUVRE DOORS</t>
  </si>
  <si>
    <t>Design, supply and installation of powder coated aluminium framed louvre doors to be fire protected with soft carbon intumescent strips and acoustic treated to a RW 32 dB minimum rating, all in accordance to specialist detail</t>
  </si>
  <si>
    <t>Class B fire resistant weather louvre door size approximately 1416 x 2015mm high overall, with and including acoustic treatment to a RW 32 dB minimum rating (Type LD-1)</t>
  </si>
  <si>
    <t>DESIGN, SUPPLY AND INSTALLATION OF GLAZED ALUMINIUM DOORS</t>
  </si>
  <si>
    <t>Single glazed aluminium door, door size approximately 900 x 2070mm high, complete (Type GS-1)</t>
  </si>
  <si>
    <t>DESIGN, SUPPLY AND INSTALLATION OF GLAZED ALUMINIUM SHOPFRONTS</t>
  </si>
  <si>
    <t>DESIGN, SUPPLY AND INSTALLATION OF GLAZED ALUMINIUM SCREENS</t>
  </si>
  <si>
    <t>Glazed aluminium screen approximately 2900/8650 x 2800mm high overall, T-shaped on plan, complete. Located by Security Check-In Area on Architects drawing No. CTIA-T2-DSA-T2-XX-DR-AR-310300-T-1</t>
  </si>
  <si>
    <t>DESIGN, SUPPLY AND INSTALLATION OF GLAZED ALUMINIUM STACK-AWAY DOORS</t>
  </si>
  <si>
    <t>ALUMINIUM ROLLER SHUTTER DOORS</t>
  </si>
  <si>
    <t>Automated roller shutter door for approximately 4000 x 2850mm high opening, including electrical connection and commissioning from an isolator switch with a 220V tubular motor and motor operated with high security key-switches, complete (Type RSD-35A)</t>
  </si>
  <si>
    <t>Automated roller shutter door for approximately 4800 x 2850mm high opening, including electrical connection and commissioning from an isolator switch with a 220V tubular motor and motor operated with high security key-switches, complete (Type RSD-25)</t>
  </si>
  <si>
    <t>Automated roller shutter door for approximately 5000 x 2105mm high opening, including electrical connection and commissioning from an isolator switch with a 220V tubular motor and motor operated with high security key-switches, complete (Type RSD-25)</t>
  </si>
  <si>
    <t>STEEL ROLLER SHUTTERS</t>
  </si>
  <si>
    <t>Class B fire resistant electrically operated roller shutter door, for approximately 4800 x 2850mm high opening, including fusible link for electrically operated door, all in accordance to the manufactures specification, complete (Type RSD-24)</t>
  </si>
  <si>
    <t>STEEL STRONGROOM DOORS</t>
  </si>
  <si>
    <t>Strongroom door size approximately 890 x 1984mm high overall, complete (Type ST-1A)</t>
  </si>
  <si>
    <t>ALUMINIUM PAYROLL WINDOWS</t>
  </si>
  <si>
    <t>Bullet proof cashier window, approximate size 1500 x 1600mm high with and including 30mm thick counter tops on both sides of screen with 135mm deep transfer tray, complete</t>
  </si>
  <si>
    <t>Bullet proof cashier window, approximate size 1150 x 1600mm high with and including 30mm thick counter tops on both sides of screen with 135mm deep transfer tray, complete</t>
  </si>
  <si>
    <t>Take from store and fix into place new airtight hinged doors (doors supplied elsewhere) for plant rooms, cold rooms, etc</t>
  </si>
  <si>
    <t>Double door, size approximately 1534 x 2120mm high overall (labour only)</t>
  </si>
  <si>
    <t>Single door 1100 x 2115mm high overall (labour only)</t>
  </si>
  <si>
    <t>PLASTERING</t>
  </si>
  <si>
    <t>SCREEDS</t>
  </si>
  <si>
    <t>Screeds power floated, on concrete (Finishes schedule code SF1)</t>
  </si>
  <si>
    <t>30mm Thick on floors and landings</t>
  </si>
  <si>
    <t>Screeds wood floated, on concrete (Finishes schedule code SF2)</t>
  </si>
  <si>
    <t>35m Thick on floors and landings</t>
  </si>
  <si>
    <t>Average 80mm thick on roofs, balconies, etc. on waterproofing membrane to falls and currents</t>
  </si>
  <si>
    <t>GRANOLITHIC</t>
  </si>
  <si>
    <t>Untinted polished granolithic on concrete</t>
  </si>
  <si>
    <t>30mm Thick on floors</t>
  </si>
  <si>
    <t>35mm Thick on treads and risers of stairs including reedings</t>
  </si>
  <si>
    <t>Average 50mm thick on floors to falls</t>
  </si>
  <si>
    <t>Skirting 150mm high</t>
  </si>
  <si>
    <t>INTERNAL PLASTER</t>
  </si>
  <si>
    <t>Cement plaster rendering coat on concrete</t>
  </si>
  <si>
    <t>On walls</t>
  </si>
  <si>
    <t>Walls in narrow widths</t>
  </si>
  <si>
    <t>On concrete beams</t>
  </si>
  <si>
    <t>On ceilings and beams</t>
  </si>
  <si>
    <t>On projecting and isolated columns</t>
  </si>
  <si>
    <t>On projecting and isolated round columns</t>
  </si>
  <si>
    <t>Cement plaster on brickwork</t>
  </si>
  <si>
    <t>EXTERNAL PLASTER</t>
  </si>
  <si>
    <t>Cement plaster on concrete</t>
  </si>
  <si>
    <t>SPECIALISED SCREED PLASTER TYPE FLOOR COATINGS</t>
  </si>
  <si>
    <t>Prepare and apply "SikaFloor-200" or other equally approved self levelling, solvent free epoxy resin flooring system comprising a resin hardener system, pre-packed aggregates and pigment including all necessary primers all in strict accordance with the manufacturer's instructions and specifications. (Finishes schedule code SF4)</t>
  </si>
  <si>
    <t>3mm Thick on screeds</t>
  </si>
  <si>
    <t>Prepare and apply two roller coats of "SikaFloor -161" primer or other equally approved penetrating epoxy concrete primer followed by two roller coats of "SikaFloor-264 ZA"or other equally approved resin floor sealant (colour to be RAL 7001) all in accordance with the manufacturer's instructions and specifications (Finishes schedule code SF8)</t>
  </si>
  <si>
    <t>"ABE Cote SF 217" or other equally approved two-component, high chemical-resistant, clear resin, solvent free novolac modified epoxy waterproofing  applied according to manufacturers specifications, including bandages</t>
  </si>
  <si>
    <t>CORNER PROTECTORS, DIVIDING STRIPS, ETC.</t>
  </si>
  <si>
    <t>Natural anodised aluminium</t>
  </si>
  <si>
    <t>25 x 2mm Thick flat cover strip between different floor finishes</t>
  </si>
  <si>
    <t>Aluminium corner protectors, etc.</t>
  </si>
  <si>
    <t>10mm Aluminium M-trim "Kirk" tile divider</t>
  </si>
  <si>
    <t>TILING</t>
  </si>
  <si>
    <t>WALL TILING</t>
  </si>
  <si>
    <t>Type W6 - 600 x 600 x 10mm Porcelain tiles (PC R 700/mÂ² supply and delivered to site) fixed with adhesive to plaster (plaster elsewhere) and flush pointed with coloured polymer modified cement grouting to match tile colour all in accordance with the project specification document</t>
  </si>
  <si>
    <t>Type W7 - 600 x 300 x 10mm Porcelain tiles (PC R 700/mÂ² supply and delivered to site) fixed with adhesive to plaster (plaster elsewhere) and flush pointed with coloured polymer modified cement grouting to match tile colour all in accordance with the project specification document</t>
  </si>
  <si>
    <t>FLOOR TILING</t>
  </si>
  <si>
    <t>Type FLR4 - 300 x 600 x 10mm Full body porcelain floor tiles (PC R 700/mÂ² supply and delivered to site) fixed with adhesive to screed (screed elsewhere) and flush pointed with coloured polymer modified cement grouting to match tile colour all in accordance with the project specification document</t>
  </si>
  <si>
    <t>NOSINGS, JOINT COVERS, PROTECTORS, ETC.</t>
  </si>
  <si>
    <t>Dividing strips, stair nosings, expansion joint strips, etc</t>
  </si>
  <si>
    <t>"SSE100 M-Trim" 10mm Polished stainless steel edge trim for transitions</t>
  </si>
  <si>
    <t>"SQE120 M-Trim" 12mm Stainless steel square edge trims for stair nosing, stair stringer edge and edges of ramps</t>
  </si>
  <si>
    <t>"SFE100 M-Trim" 10mm Stainless steel straight edge trim to curved tile patterns</t>
  </si>
  <si>
    <t>"SQE100 M-Trim" 10mm Polished stainless steel square edge trims for expose wall corners</t>
  </si>
  <si>
    <t>PLUMBING AND DRAINAGE (SANITARY WARE)</t>
  </si>
  <si>
    <t>Note: The use of product names simply serves to indicate a standard acceptable to the Employer. Any other brand may be used with the prior written approval of the Principal Agent</t>
  </si>
  <si>
    <t>NOTE: 	All items in this section shall be deemed to fall into Work Group No 148 for Haylett formula purposes</t>
  </si>
  <si>
    <t>"Franke" or similar approved stainless steel sinks or other equally approved</t>
  </si>
  <si>
    <t>"Neptune" model NEX 611 (code 101.0040.732) inset sink, size 860 x 510mm wide overall with 1 No. 360 x 420 x 200mm deep bowl, fitted and sealed onto cupboard (Cupboard elsewhere measured) all fixed in strict accordance to manufacturer's instructions</t>
  </si>
  <si>
    <t>"Neptune" model NEX 621 (code 101.0040.736) inset sink, size 1160 x 510mm wide overall with 2 No. 360 x 420 x 200mm deep bowls, fitted and sealed onto cupboard (Cupboard elsewhere measured) all fixed in strict accordance to manufacturer's instructions</t>
  </si>
  <si>
    <t>Drip sink, (code 2630026) size 600 x 500 x 258mm deep bowl, with 100mm high integrated splashback, made from Grade 304 (18/10) stainless steel perforated for 50mm waste outlet with hinged bucket grid connected to 15mm water supply, fixed to walls on 40 x 20mm square stainless steel brackets and bolted to wall with M6 stainless steel expanding bolts, 600mm high from finished floor level all fixed in strict accordance to manufacturer's instructions</t>
  </si>
  <si>
    <t>"Vaal" or similar approved vitreous china WC suites</t>
  </si>
  <si>
    <t>"Orchid" (code: 8082Z000) Floor bracket including fixing set, all fixed in strict accordance to manufacturer's instructions</t>
  </si>
  <si>
    <t>"Orchid" vitreous china  (code: 439016WH) consisting of 90Â° back inlet wall hung open rim pan fixed on orchid floor brackets (elsewhere measured), and concealed back inlet flush valve (elsewhere specified)</t>
  </si>
  <si>
    <t>"Signature" entice wall hung pan (code 439600WH) fixed on orchid floor brackets(elsewhere measured), with concealed back inlet flush valve (elsewhere specified) and double flap seat</t>
  </si>
  <si>
    <t>"Whyte House" or similar approved sanitaryware</t>
  </si>
  <si>
    <t>Vandal resistant security pan product (code: WHP-01) all fixed in strict accordance to manufacturer's instructions</t>
  </si>
  <si>
    <t>Vandal resistant wash hand basin product code (WHB-4) all fixed in strict accordance to manufacturer's instructions</t>
  </si>
  <si>
    <t>Vandal resistant urinal product (code: WHU-9) all fixed in strict accordance to manufacturer's instructions</t>
  </si>
  <si>
    <t>"Vaal" or similar approved vitreous china wash hand basins</t>
  </si>
  <si>
    <t>"Daisy" 510 x 400mm P/P white virtreous china basin (code 700803WH) with 1 No. taphole, including integrated overflow with chainstay, bolted to wall</t>
  </si>
  <si>
    <t>"Weaver" 570 x 450mm OTH white basin (code:702500WH) with and including one taphole, integrated overflow with chainstay, basin fixed to wall</t>
  </si>
  <si>
    <t>"Vaal" or similar approved vitreous china urinals</t>
  </si>
  <si>
    <t>"Sweet pea" urinal BI white wall (code 705127WH) hung bowl urinal with and including top inlet, fittings, chrome plated domical grating, 20mm diameter thread spreader, hanger brackets, etc.</t>
  </si>
  <si>
    <t>Baby change station</t>
  </si>
  <si>
    <t>650 x 940 x 80mm baby change station complete fixed strictly as per manufacturer's instructions</t>
  </si>
  <si>
    <t>Grab rails, accessories, etc.</t>
  </si>
  <si>
    <t>Cistern rail 670 x 246mm (code: 8940Z000)</t>
  </si>
  <si>
    <t>Dogleg rail with 2 No. flanges 300 x 300 x 300mm (code: 8939Z000)</t>
  </si>
  <si>
    <t>Drop down support rail F08C (code: 8943Z000)</t>
  </si>
  <si>
    <t>"Franke" support tap bracket (code 2120128)</t>
  </si>
  <si>
    <t>WASTE UNIONS, ETC.</t>
  </si>
  <si>
    <t>NOTE: 	Waste unions for basins, sinks, etc shall comprise chromium plated waste union with grating, rubber washers and locknut</t>
  </si>
  <si>
    <t>"Cobra Watertech" or similar approved</t>
  </si>
  <si>
    <t>32mm Basin waste (Code: 303)</t>
  </si>
  <si>
    <t>Basin click waste slotted union (code: 302-32)</t>
  </si>
  <si>
    <t>Cobra chrome plated un-slotted basin waste union, with and including 70mm diameter flange, 45mm long shank, 1&amp;1/2" male outlet, plugs, etc. as per manufacturers instructions (code:COB-206EXT-15)</t>
  </si>
  <si>
    <t>Cobra chrome plated un-slotted basin aquawaste union, with and including 62mm diameter flange, 78mm long shank, 1&amp;1/4" BSP male outlet, plugs, etc. as per manufacturers instruction (code:Cobra 302-32)</t>
  </si>
  <si>
    <t>TRAPS, ETC.</t>
  </si>
  <si>
    <t>uPVC</t>
  </si>
  <si>
    <t>DB1 PVC basin trap code (TRADUTBAS01)</t>
  </si>
  <si>
    <t>Shower p-trap with and including square grating (code 373SQ)</t>
  </si>
  <si>
    <t>Chrome plated bottle trap (code 345/40) with 75mm deep re-seal and adjustable telescopic pipe</t>
  </si>
  <si>
    <t>Chrome plated deep seal bottle trap (RND1/4X35X380)</t>
  </si>
  <si>
    <t>TAPS, VALVES, ETC.</t>
  </si>
  <si>
    <t>NOTE: 	All items in this section shall be deemed to fall into Work Group No 146 &amp; 148 for Haylett formula purposes</t>
  </si>
  <si>
    <t>"Dyson airblade" similar or equally approved taps, pre mixing valves &amp; UPS boxes</t>
  </si>
  <si>
    <t>Transmission / UPS boxes (code:EL-TRANS-UPS)</t>
  </si>
  <si>
    <t>Pre mixing valve mechanic (code:EL-X60)</t>
  </si>
  <si>
    <t>"Cobra" or similar approved basin mixers, bib taps, etc.</t>
  </si>
  <si>
    <t>Angle valve including 350mm flexi hose  (code: 832-10)</t>
  </si>
  <si>
    <t>Low-flow aerator insert, 6L/min (code COB-P-WS/6)-No Lime</t>
  </si>
  <si>
    <t>Star bib tap (code: COB-206EXT-15), chrome plated. including hot and cold water indices,1/2" BSO male inlet, flow straightener for flow aesthetics</t>
  </si>
  <si>
    <t>Star bib tap (code: 106-15), chrome plated. including hot and cold water indices,1/2" BSO male inlet, flow aesthetics and 1/2" heavy-pattern low resistance for low pressure.</t>
  </si>
  <si>
    <t>Knee/elbow lever-KM1.00 (code: C-KM9-12/19)</t>
  </si>
  <si>
    <t>Star undertile stop tap (code: 228-15), chrome plated</t>
  </si>
  <si>
    <t>Paraplegic elbow kit (code: C-KM9-10)</t>
  </si>
  <si>
    <t>Elbow wall hung outlet trigger spray kit, including flexible hose</t>
  </si>
  <si>
    <t>E.A. pillartap blue (code 505-21B)</t>
  </si>
  <si>
    <t>Sink mixer</t>
  </si>
  <si>
    <t>Aerator W/S &amp; 4 1/2L/min, with and including low-flow aerator inserts, as per manufacturers instructions (code P-PCA24)</t>
  </si>
  <si>
    <t>Cobratron chrome single temperature, touch free, electronic control spout including 1/2"BSP solenoid valve, 9V transformer, fitted with a pressure compensating flow restrictor (code: EL-3002-C)</t>
  </si>
  <si>
    <t>Tap fittings</t>
  </si>
  <si>
    <t>60mm long chrome plated extension piece and flange (code: 059-15)</t>
  </si>
  <si>
    <t>"Cobra Watertech" or similar approved toilet and urinal flushvalves:</t>
  </si>
  <si>
    <t>Sensor activated dual flush (code: EL-4-213), chrome toilet flush valve with a manual override button.</t>
  </si>
  <si>
    <t>Chrome plated junior toilet flushmaster (non-hold open) with exposed flush valve and 3/4" "Ball-O-Stop" control inlet, wall flange, integral vacuum beaker (code FJ2.000)</t>
  </si>
  <si>
    <t>Chrome plated junior toilet "Econoflush" front access box with chrome plated back entry, galvanised steel underwall box, palm press button and rubber pan connector (code: cobra KF4-213)</t>
  </si>
  <si>
    <t>ELECTRIC WATER HEATERS</t>
  </si>
  <si>
    <t>'KWIKBOIL' or other approved</t>
  </si>
  <si>
    <t>5 Litre white and stainless steel instant boiling Hydroboil (code 1977) installed in accordance with the manufacturer's installation instruction manual</t>
  </si>
  <si>
    <t>PREPARATION OF EXISTING SURFACES</t>
  </si>
  <si>
    <t>ON FLOATED PLASTER</t>
  </si>
  <si>
    <t>Prepare surfaces as per paint specification and apply one coat water based plaster primer and two coats water based low sheen paint</t>
  </si>
  <si>
    <t>On interior walls</t>
  </si>
  <si>
    <t>Prepare surfaces as per paint specification and apply one coat plaster primer moisture tolerant and two coats exterior premium acrylic paint</t>
  </si>
  <si>
    <t>On external walls</t>
  </si>
  <si>
    <t>Prepare surfaces as per paint specification and apply one coat water based plaster primer and two coats matt PVA paint</t>
  </si>
  <si>
    <t>PAINTWORK ETC TO NEW WORK</t>
  </si>
  <si>
    <t>ON BAGGED BRICKWORK / CONCRETE</t>
  </si>
  <si>
    <t>Prepare surfaces as per paint specification and apply one coat water based plaster primer and two coats water based low sheen paint for interior use</t>
  </si>
  <si>
    <t>ON INTERNAL FLOATED PLASTER SURFACES</t>
  </si>
  <si>
    <t>On soffits of slabs</t>
  </si>
  <si>
    <t>ON EXTERNAL FLOATED PLASTER SURFACES</t>
  </si>
  <si>
    <t>Prepare surfaces as per paint specification and apply one coat plaster primer moisture tolerant and two coats exterior premium acrylic paint for exterior use</t>
  </si>
  <si>
    <t>ON CEMENT SCREEDS</t>
  </si>
  <si>
    <t>Prepare surfaces as per manufacturers specification and apply "Sika Curehard 24"or similar approved clear coat dust-proofer and hardener, applied in strict accordance with manufactures specification and the architects specification document SF5 and SF6</t>
  </si>
  <si>
    <t>On floors and landings</t>
  </si>
  <si>
    <t>ON PLASTERBOARD SURFACES</t>
  </si>
  <si>
    <t>Prepare surfaces as per paint specification and apply one coat water based plaster primer and two coats matt PVA interior paint</t>
  </si>
  <si>
    <t>Ceilings and bulkheads</t>
  </si>
  <si>
    <t>On dry wall partitions</t>
  </si>
  <si>
    <t>ON WOOD SURFACES</t>
  </si>
  <si>
    <t>Prepare surfaces as per paint specification and apply one coat wood primer, one coat universal undercoat and two coats gloss enamel paint</t>
  </si>
  <si>
    <t>Doors</t>
  </si>
  <si>
    <t>Door frames, etc.</t>
  </si>
  <si>
    <t>Skirtings, rails, etc. not exceeding 300mm girth</t>
  </si>
  <si>
    <t>ON METAL SURFACES</t>
  </si>
  <si>
    <t>Prepare surfaces as per paint specification and clean surface with galvanised iron clean and apply one coat galvanised iron primer, one coat universal undercoat and two coats high gloss enamel paint</t>
  </si>
  <si>
    <t>On rails, bars, pipes, etc.</t>
  </si>
  <si>
    <t>On roller shutter boxes</t>
  </si>
  <si>
    <t>On rails, bars, pipes, etc. not exceeding 300mm girth</t>
  </si>
  <si>
    <t>On gates, grilles, burglar screens, balustrades, etc. (both sides measured over the full flat area)</t>
  </si>
  <si>
    <t>NOTE: 	contractors are advised to study the Model bill Preambles for Trades before pricing this bill</t>
  </si>
  <si>
    <t>Add for profit</t>
  </si>
  <si>
    <t>%IT</t>
  </si>
  <si>
    <t>Add for general attendance on sub-contractor</t>
  </si>
  <si>
    <t>CIVILS WORK</t>
  </si>
  <si>
    <t>Unless otherwise stated herein, all items in this bill shall be deemed to fall into Work Group No 154 for Haylett formula purposes</t>
  </si>
  <si>
    <t>contractors are advised to price items in conjunction with the relevant drawings  contractor are to note that this portion of the works is measured and quantified as per SANS 1200</t>
  </si>
  <si>
    <t>SECTION : PRELIMINARY AND GENERAL</t>
  </si>
  <si>
    <t>FIXED-CHARGE ITEMS</t>
  </si>
  <si>
    <t>SUM</t>
  </si>
  <si>
    <t>Establish Facilities on the Site :</t>
  </si>
  <si>
    <t>a) Facilities for Engineer (SANS 1200 AB)</t>
  </si>
  <si>
    <t>Offices</t>
  </si>
  <si>
    <t>b) Facilities for Contractor</t>
  </si>
  <si>
    <t>Offices and storage containers</t>
  </si>
  <si>
    <t>Workshops</t>
  </si>
  <si>
    <t>Laboratories</t>
  </si>
  <si>
    <t>Ablution and latrine facilities</t>
  </si>
  <si>
    <t>Water supplies, electric power and communications</t>
  </si>
  <si>
    <t>Dealing with water (Sub-clause 5.5)</t>
  </si>
  <si>
    <t>Access to site offices (Sub-clause 5.8)</t>
  </si>
  <si>
    <t>Other fixed-charge obligations</t>
  </si>
  <si>
    <t>Remove Engineer's and Contractor's Site establishment on completion</t>
  </si>
  <si>
    <t>Comply with ACSA Health and Safety specification and permit application for the duration of the Contract.</t>
  </si>
  <si>
    <t>Comply with ACSA Environmental specification and permit application for the duration of the Contract.</t>
  </si>
  <si>
    <t>Allow access and co-ordinations between other Contractors during the Construction period.</t>
  </si>
  <si>
    <t>TIME-RELATED ITEMS</t>
  </si>
  <si>
    <t>Operate and maintain facilities on the Site:</t>
  </si>
  <si>
    <t>a) Facilities for Engineer for duration of construction (SANS 1200 AB)</t>
  </si>
  <si>
    <t>Survey assistants and material</t>
  </si>
  <si>
    <t>b) Facilities for Contractor for duration of construction, except where otherwise stated</t>
  </si>
  <si>
    <t>Offices and storage sheds</t>
  </si>
  <si>
    <t>Access (Sub-clause 5.8)</t>
  </si>
  <si>
    <t>Supervision for the duration of the contract</t>
  </si>
  <si>
    <t>Company and head office overhead costs</t>
  </si>
  <si>
    <t>Other time-related obligations</t>
  </si>
  <si>
    <t>GENERAL</t>
  </si>
  <si>
    <t>Service Level Agreement between the Contractor and Client for the duration of the defects liability period for the stormwater reticulation network, pumps and related infrastructure.  The sum will include for the contractor(s) responsibility to repair for any burst, non working of items and replacement during the retention period after practical completion. The SLA agreement shall include a 45 minutes response time to ACSA help-desk and call-out. All defects, faulty pumps or bursts shall be resolved within 4 hours, day or night.</t>
  </si>
  <si>
    <t>Day</t>
  </si>
  <si>
    <t>Service Level Agreement between the Contractor and Client for the duration of the defects liability period for the sewer reticulation network, pumps and related infrastructure.  The sum will include for the contractor(s) responsibility to repair for any burst, non working of items and replacement during the retention period after practical completion. The SLA agreement shall include a 45 minutes response time to ACSA help-desk and call-out. All defects, faulty pumps or bursts shall be resolved within 4 hours, day or night.</t>
  </si>
  <si>
    <t>Service Level Agreement between the Contractor and Client for the duration of the defects liability period for the water reticulation network, pumps and related infrastructure.  The sum will include for the contractor(s) responsibility to repair for any burst, non working of items and replacement during the retention period after practical completion. The SLA agreement shall include a 45 minutes response time to ACSA help-desk and call-out. All defects, faulty pumps or bursts shall be resolved within 4 hours, day or night.</t>
  </si>
  <si>
    <t>The above items rate shall include as a minimum of a Supervisor, two skilled workers and two unskilled workers.  The amount will only be paid if the contractor can prove with record keeping of attending to the problem area.  The amount will not cover, normal obligation of the Contractor under the defects liability period i.e. failure of the system due to defects by means of installation and/or non SANS approved products. Defects will still be for the Contractor's account to replace or repair at no costs to the Client.</t>
  </si>
  <si>
    <t>For work to be done by Contractor:</t>
  </si>
  <si>
    <t>a) Supply and install 2No 10l/s @ 20m head vortex type sump pump.</t>
  </si>
  <si>
    <t>For work to be done by a nominated sub-contractor (or the Employer)</t>
  </si>
  <si>
    <t>a) Electricity installation (nominated sub-contractor)</t>
  </si>
  <si>
    <t>b) Overheads, charges and profit on above item.</t>
  </si>
  <si>
    <t>Land Survey Act</t>
  </si>
  <si>
    <t>Provide access for the Engineer to a qualified surveyor on site for the duration of the contract as ordered by the Engineer.  The item shall exclude any surveying required by the Contractor.</t>
  </si>
  <si>
    <t>DAY WORKS</t>
  </si>
  <si>
    <t>Note: All Labour and plant Rates to include Mark-up</t>
  </si>
  <si>
    <t>LABOUR</t>
  </si>
  <si>
    <t>a) Site foreman</t>
  </si>
  <si>
    <t>Hrs</t>
  </si>
  <si>
    <t>b) Surveyor and assistants</t>
  </si>
  <si>
    <t>c) Operator</t>
  </si>
  <si>
    <t>d) Gang Boss</t>
  </si>
  <si>
    <t>e) Skilled labourer</t>
  </si>
  <si>
    <t>f) Unskilled labourer</t>
  </si>
  <si>
    <t>PLANT</t>
  </si>
  <si>
    <t>(contractor to fill in Model particulars, type, size, kW, etc.)</t>
  </si>
  <si>
    <t>a) Bulldozer Model:</t>
  </si>
  <si>
    <t>b) Grader Model:</t>
  </si>
  <si>
    <t>c) Digger/ Loader Model:</t>
  </si>
  <si>
    <t>d) Excavator Model:</t>
  </si>
  <si>
    <t>e) Front end loader Model:</t>
  </si>
  <si>
    <t>f) Roller (vib - self propelled) Model:</t>
  </si>
  <si>
    <t>g) Roller (vib. - hand operated) Model:</t>
  </si>
  <si>
    <t>h) Roller (pneumatic) Model:</t>
  </si>
  <si>
    <t>i) Tip truck (10 m3) Model:</t>
  </si>
  <si>
    <t>j) Truck - flat bed Model:</t>
  </si>
  <si>
    <t>k) Water cart Model:</t>
  </si>
  <si>
    <t>l) Pump (100 mm) Model:</t>
  </si>
  <si>
    <t>m) Concrete mixer Model:</t>
  </si>
  <si>
    <t>n) Bakkie Model:</t>
  </si>
  <si>
    <t>SECTION : SITE CLEARANCE</t>
  </si>
  <si>
    <t>CLEAR SITE</t>
  </si>
  <si>
    <t>Clear Site including kerbs up to 200mm height, broken paver's up to 150mm thick and asphalt up to 60mm thick and dispose of at an approved dump-site including transport up to Vissershok. Contractor to provide delivery slips for proof of dumping at the approved dump-site.</t>
  </si>
  <si>
    <t>Clear Site including concrete demolishing up to 700 mm thick and dispose of at an approved dump-site include transport up to Vissershok.  Contractor to provide delivery slips for proof of dumping at the approved dump-site.</t>
  </si>
  <si>
    <t>Clear Site including concrete and clay brick paver's up to 150 mm thick, stockpile unbroken paver's and maintain. Spoil broken paver's at an approved dump-site.</t>
  </si>
  <si>
    <t>Excavate and clear temporary access ramp filling on completion and dispose of at an approved dump-site including transport up to Vissershok. Contractor to provide delivery slips for proof of dumping at the approved dump-site.</t>
  </si>
  <si>
    <t>DISMANTLE, REMOVE AND DISPOSE</t>
  </si>
  <si>
    <t>Dismantle and remove fire and potable water pipelines up to 400 mm diameter not encased in concrete and dispose of at an approved dump-site including transport up to Vissershok. Contractor to provide delivery slips for proof of dumping at the approved dump-site.</t>
  </si>
  <si>
    <t>Dismantle and remove electricity transmission lines up to 11KV not encased in concrete and dispose of at an approved dump-site including transport up to Vissershok. Contractor to provide delivery slips for proof of dumping at the approved dump-site.(Provisional)</t>
  </si>
  <si>
    <t>Reusable cables to be stockpiled and maintained within the CTIA boundary or stores.</t>
  </si>
  <si>
    <t>Dismantle and remove uPVC and HDPE sleeves up to 250mm diameter not encased in concrete and dispose of at an approved dump-site including transport up to Vissershok. Contractor to provide delivery slips for proof of dumping at the approved dump-site.</t>
  </si>
  <si>
    <t>Dismantle and remove pipelines encased in concrete up to 0.5m2 sectional area.</t>
  </si>
  <si>
    <t>Demolish and remove reinforced concrete structures and or buildings with steel and dispose of at an approved dump-site including transport up to Vissershok. Contractor to provide delivery slips for proof of dumping at the approved dump-site.</t>
  </si>
  <si>
    <t>Dismantle structural steelwork, etc. and dispose of at an approved dump-site including transport up to Vissershok. Contractor to provide delivery slips for proof of dumping at the approved dump-site</t>
  </si>
  <si>
    <t>Cart unsuitable materials and debris from stockpile to Visserhok and dump as ordered by the Engineer (provisional). The rate shall include excavating, loading, double handling, haulage and limited haulage.</t>
  </si>
  <si>
    <t>m3.km</t>
  </si>
  <si>
    <t>MILLING</t>
  </si>
  <si>
    <t>Milling of Asphalt 40mm to 100mm thick and dispose of at an approved dump-site including transport up to Vissershok. Contractor to provide delivery slips for proof of dumping at a approved dump-site</t>
  </si>
  <si>
    <t>Milling of Asphalt 20mm to 60mm thick and dispose of at an approved dump-site including transport up to Vissershok. Contractor to provide delivery slips for proof of dumping at a approved dump-site</t>
  </si>
  <si>
    <t>FIXTURES</t>
  </si>
  <si>
    <t>Take out existing kerbs, excavate carefully, lift, recover, stockpile and maintain.</t>
  </si>
  <si>
    <t>Take out existing bollards up to 1m in diameter excavate carefully, lift, recover, stockpile and maintain.</t>
  </si>
  <si>
    <t>EXISTING IN-SITU MATERIAL</t>
  </si>
  <si>
    <t>Excavate G3 material for reuse, stockpile and maintain.</t>
  </si>
  <si>
    <t>Excavate G4 material for reuse, stockpile and maintain.</t>
  </si>
  <si>
    <t>Excavate G5 material for reuse, stockpile and maintain.</t>
  </si>
  <si>
    <t>Excavate G6 material for reuse, stockpile and maintain.</t>
  </si>
  <si>
    <t>Excavate G7 material for reuse, stockpile and maintain.</t>
  </si>
  <si>
    <t>SAW CUT</t>
  </si>
  <si>
    <t>Saw cut asphalt to thickness of up to 100mm.</t>
  </si>
  <si>
    <t>Saw cut concrete with thickness of up to 200mm.</t>
  </si>
  <si>
    <t>Saw cut concrete with thickness over 200mm.</t>
  </si>
  <si>
    <t>Saw cut paver's with thickness of up to 150mm.</t>
  </si>
  <si>
    <t>Saw cut paver's with thickness over 150mm.</t>
  </si>
  <si>
    <t>EXISTING SERVICES</t>
  </si>
  <si>
    <t>Temporary protection of existing fire and potable water infrastructure up to 450mm in diameter by means of vertical installed, crossed braced, 2600mm x 76mm x 228mm, H4 treated timber. The rate shall include handle, cut to size timber, reuse, install and periodically inspections as required by the Construction regulation 2014 for shoring. This item will be used for all temporary protection of existing water services encountered on site during the construction stage.</t>
  </si>
  <si>
    <t>Permanent protection of existing fire and potable water infrastructure up to 450mm in diameter by means of mass concrete class 25/19. The rate shall include handle, lay, install and periodically inspections as required by the Construction regulation 2014 for protection. This item will be used for all permanent protection of existing water services encountered on site during the construction stage.</t>
  </si>
  <si>
    <t>Temporary protection of existing electrical infrastructure up to 11kV by means of vertical installed, crossed braced, 2600mm x 76mm x 228mm, H4 treated timber. The rate shall include handle, cut to size timber, reuse, install and periodically inspections as required by the Construction regulation 2014 for shoring. This item will be used for all temporary protection of existing electrical services encountered on site during the construction stage.</t>
  </si>
  <si>
    <t>Permanent protection of existing electrical infrastructure up to 11kV by means of mass concrete class 25/19. The rate shall include handle, lay, install and periodically inspections as required by the Construction regulation 2014 for protection. This item will be used for all permanent protection of existing electrical services encountered on site during the construction stage.</t>
  </si>
  <si>
    <t>Supply of specialist ground penetrating scan/radar (GPR) equipment for the detection of underground services within the construction areas.  Penetration scan to detect services to a depth of 3m maximum.  The as-built information must be indicated on a drawing with at least x,y,z  notation and submitted to the Engineer for approval.</t>
  </si>
  <si>
    <t>Excavate by hand in all materials to expose existing service as identified above or where ordered by the Engineer. This item excludes items as listed in the Bill of Quantities and any obligations as required by the Contractor and Construction Regulation 2014 that the Contractor must adhered to.</t>
  </si>
  <si>
    <t>Dismantle existing pedestrian culvert structure and dispose of at a approved dump site or stockpile for re use.</t>
  </si>
  <si>
    <t>SECTION : EARTHWORKS (GENERAL AND SERVICES TUNNEL EXTENSION)</t>
  </si>
  <si>
    <t>SITE CLEARANCE</t>
  </si>
  <si>
    <t>Clear Site including paving, kerbs and asphalt up to 150mm thick and dispose of at an approved dump-site include transport up to Vissershok. Contractor to provide delivery slips for proof of dumping at the approved dump-site.</t>
  </si>
  <si>
    <t>Clear Site including in-situ reinforced concrete demolishing up to 500 mm thick and dispose of at an approved dump-site include transport up to Vissershok.  Contractor to provide delivery slips for proof of dumping at the approved dump-site.</t>
  </si>
  <si>
    <t>DISMANTLE, REMOVE AND REUSE</t>
  </si>
  <si>
    <t>Clear concrete and clay brick paver's up to 150 mm thick, stockpile unbroken paver's, maintain and reuse.</t>
  </si>
  <si>
    <t>EXCAVATION</t>
  </si>
  <si>
    <t>Excavate in materials to level required amsl including layerworks in restricted confined areas and dispose of at Vissershok for the following:</t>
  </si>
  <si>
    <t>In stages 2 to 4 to reach each amsl level for basement and ramp excavation.</t>
  </si>
  <si>
    <t>Up to the required amsl level for extension to services tunnel, basement and ramp.</t>
  </si>
  <si>
    <t>Extra-over items for excavation in:</t>
  </si>
  <si>
    <t>Intermediate material</t>
  </si>
  <si>
    <t>Hard rock material</t>
  </si>
  <si>
    <t>Cart unsuitable materials and debris from stockpile or excavation operation to Visserhok (45km radius) and dump as ordered by the Engineer (provisional). The rate shall include double handling, haulage and limited haulage.</t>
  </si>
  <si>
    <t>CARRY OUT TOPOGRAPHIC SURVEY OF SITE</t>
  </si>
  <si>
    <t>After the completion of the ramp and basement excavation to the required amsl, the Contractor shall carry out an As-built coordinated survey on the completed platform footprint based on the following minimum requirements: i.) Spot shots shall be taken on all platform edges, platform corners and at 5.0m grid intervals. ii.) Levels shall be taken at the start and end of all cuts and embankments. iii.) Levels shall be taken at the top and bottom of all cuts and embankments. iv.) Breaklines and triangles The As-builts shall be submitted to the Engineer in hard and soft copies ('rvt', 'dgn', 'dxf', 'dwg', and 'PDF' formats.</t>
  </si>
  <si>
    <t>After completion of ramp, basement, platform and embankment excavation to the required amsl level.</t>
  </si>
  <si>
    <t>Remove topsoil to nominal depth 150mm, stockpile and maintain.</t>
  </si>
  <si>
    <t>Excavate in materials including layerworks in restricted confined areas and stockpile and remove from site to Vissershok, haulage included  for the following:</t>
  </si>
  <si>
    <t>Services corridor culvert/tunnel excavation</t>
  </si>
  <si>
    <t>Excavate for founds in all materials and dispose of at Vissershok (45km radius) haulage included :</t>
  </si>
  <si>
    <t>Services corridor culvert/tunnel</t>
  </si>
  <si>
    <t>Extra-over above items for excavation in:</t>
  </si>
  <si>
    <t>Extra excavation in all materials to provide working space for outside form-work</t>
  </si>
  <si>
    <t>IMPORT MATERIAL</t>
  </si>
  <si>
    <t>G5 quality to complete backfilling for services culvert/tunnel from stockpile, handle, lay and compact to 98%IT Mod AASHTO. Contractor to allow in his rate testing for quality of material.</t>
  </si>
  <si>
    <t>G5 quality to complete backfilling for ramp, structures and services culvert from importation from approved commercial sources, stockpile, handle, lay and compact to 98%IT Mod AASHTO. Contractor to include in his rate for testing of the quality of material off site.</t>
  </si>
  <si>
    <t>Extra-over for backfill or fill material against structures.</t>
  </si>
  <si>
    <t>BACKFILLING</t>
  </si>
  <si>
    <t>The rate shall include the loading of backfill materials within a 8km radius from temporary stockpiles, conveyance of the material to the areas to be backfilled, processing, watering, compaction to 93%IT Mod AASHTO, final grading, complying with the tolerances, and testing.</t>
  </si>
  <si>
    <t>Backfilling with imported G5 material within areas where any underground structures of the Terminal 2 building and its ancillaries (foundations, basement and tunnels, etc.) have left open excavations below the required amsl level.</t>
  </si>
  <si>
    <t>Supply, handle, import and place 53mm even graded stone quality material to below finished floor level amsl to basement, 300mm thick, rate to include processing, import, placement, stockpiling, watering, compaction to required Mod AASHTO, final grading, complying with the tolerances, and testing.</t>
  </si>
  <si>
    <t>Supply, handle, import and backfill between external foundations between lateral support wall and existing, T1, CTB and Skybridge with G7 quality material compacted to 93%IT in layers of 150mm.</t>
  </si>
  <si>
    <t>Supply, handle, import and place evenly graded 50mm thick sand below surface bed. The rate shall include processing, placement, stockpiling, watering, compaction to required Mod AASHTO, final grading, complying with the tolerances, and testing.</t>
  </si>
  <si>
    <t>Supply, handle, import and install non woven continuous filament needle punched polyester geotextile grade A5 above even smooth blinding concrete layer.</t>
  </si>
  <si>
    <t>EARTHWORKS (ROADS, SUBGRADE)</t>
  </si>
  <si>
    <t>TREATMENT OF ROAD-BED (WORKING PLATFORM)</t>
  </si>
  <si>
    <t>In-place treatment of platform in soft/intermediate material by compacting to 93%IT Mod AASHTO. Rate to include 300mm scarifying, watering, shaping, compacting to the indicated density and all associated testing. (Provisional)</t>
  </si>
  <si>
    <t>ACCOMMODATION OF TRAFFIC AND PEDESTRIANS</t>
  </si>
  <si>
    <t>Contractors provision for deviation of traffic during the contractors excavation and construction period and program as required by the Construction Regulations of 2014.</t>
  </si>
  <si>
    <t>Contractors provision of pedestrian bypass and accommodation of people movement as required by the contractors construction activities and program as required by the Construction Regulations of 2014.</t>
  </si>
  <si>
    <t>SECTION : WATER MAINS</t>
  </si>
  <si>
    <t>PIPE TRENCHES</t>
  </si>
  <si>
    <t>Excavate in all materials including layerworks for trenches backfill, compact and dispose of surplus/unsuitable material to Squadron 35 on air-side, including transport up to 8 km radius, for pipes up to 100 mm diameter for total trench depth:</t>
  </si>
  <si>
    <t>Exceeding 0,0 m but not exceeding 1,0 m</t>
  </si>
  <si>
    <t>Exceeding 1,0 m but not exceeding 2,0 m</t>
  </si>
  <si>
    <t>Excavate in all materials including layerworks for trenches backfill, compact, and dispose of surplus/unsuitable material to Squadron 35 on air-side, including transport up to 8km radius, for pipes over 100 mm diameter up to 300mm diameter for total trench depth:</t>
  </si>
  <si>
    <t>Excavate in all materials including layerworks for trenches backfill, compact, and dispose of surplus/unsuitable material to Squadron 35 on air-side, including transport up to 8km radius, for pipes over 300 mm up to 600 mm  diameter for total trench depth:</t>
  </si>
  <si>
    <t>Extra-over items above for (provisional):</t>
  </si>
  <si>
    <t>Intermediate excavation</t>
  </si>
  <si>
    <t>Hard rock excavation</t>
  </si>
  <si>
    <t>Excavate and dispose of unsuitable material from trench bottom and dispose of (Provisional)</t>
  </si>
  <si>
    <t>EXCAVATION ANCILLARIES</t>
  </si>
  <si>
    <t>Make up deficiency in backfill material (Provisional):</t>
  </si>
  <si>
    <t>from other necessary excavations on site</t>
  </si>
  <si>
    <t>by importation from commercial or off-site sources selected by the Contractor a G7 sand.</t>
  </si>
  <si>
    <t>Compaction in road reserves above fill material in trench.</t>
  </si>
  <si>
    <t>Shore trench with 2600 mm x 76 mm x 228 mm, H4 structural treated timber including cross bracing for a depth up to 2.5m.</t>
  </si>
  <si>
    <t>Next to P1, P2 and T1 buildings for water and fire main excavation.</t>
  </si>
  <si>
    <t>Next to IT, electrical, water, stormwater and fire infrastructure for water and fire main excavation.</t>
  </si>
  <si>
    <t>Control water inflow from stormwater, sewer, water and fire main trenches:</t>
  </si>
  <si>
    <t>Provide and install equipment of for a pump delivering up to 20l/s @20m head in sump.</t>
  </si>
  <si>
    <t>Operate and maintain for the duration of the de-watering operation.</t>
  </si>
  <si>
    <t>Remove equipment</t>
  </si>
  <si>
    <t>Services across and in trenches:</t>
  </si>
  <si>
    <t>Supply of specialist equipment for the detection of a particular service by ground penetrating scan/radar (GPR) equipment for the detection of underground services as ordered by the Engineer.  Contractor to allow for scanning and surveying of points by means of a x,y,z and provide the results to the Engineer.</t>
  </si>
  <si>
    <t>The use of GPR equipment in above item.</t>
  </si>
  <si>
    <t>Excavate by hand in soft material to expose scanned services where ordered by the Engineer.</t>
  </si>
  <si>
    <t>Dealing with services:</t>
  </si>
  <si>
    <t>Permanent protection with 25MPa concrete of IT and electrical services (multiple places).</t>
  </si>
  <si>
    <t>Temporary protection with 2 600mmx76mm x 228mm,H4 treated timber of IT and electrical services (multiple places).</t>
  </si>
  <si>
    <t>Services that intersect a trench</t>
  </si>
  <si>
    <t>Cables up to 11KV up to 15No in a cluster.</t>
  </si>
  <si>
    <t>Water mains up to 400 mm diameter.</t>
  </si>
  <si>
    <t>Stormwater pipes up to 1200 mm diameter.</t>
  </si>
  <si>
    <t>Services that adjoin a trench. Measurement is based on if multiple services are encountered, the measured service\s are group as a cluster and measured as a linear single line and not separate:</t>
  </si>
  <si>
    <t>Cables up to 11KV up to 20No in a cluster.</t>
  </si>
  <si>
    <t>Sewer, fire and water mains up to 400 mm in diameter.</t>
  </si>
  <si>
    <t>Stormwater pipes up to 1200 mm in diameter.</t>
  </si>
  <si>
    <t>FINISHINGS</t>
  </si>
  <si>
    <t>Reinstate road surfaces:</t>
  </si>
  <si>
    <t>a) Complete with all courses except surfacing at P2/P1 cold storage area/zones with limited space.(G5 150mm, G3 150mm, C4 150mm)</t>
  </si>
  <si>
    <t>b) G5 quality gravel surface 150mm.</t>
  </si>
  <si>
    <t>c) Asphalt 40 mm thick on roadway and side walks with limited space.</t>
  </si>
  <si>
    <t>PROVISION OF BEDDING</t>
  </si>
  <si>
    <t>Available from trench within construction zone (Sub-clause 3.4.1)</t>
  </si>
  <si>
    <t>a) Selected granular material</t>
  </si>
  <si>
    <t>b) Selected fill material</t>
  </si>
  <si>
    <t>Imported from:</t>
  </si>
  <si>
    <t>c) Commercial sources (Provisional)</t>
  </si>
  <si>
    <t>1) Selected granular material</t>
  </si>
  <si>
    <t>2) Selected fill material</t>
  </si>
  <si>
    <t>Concrete bedding (Provisional)</t>
  </si>
  <si>
    <t>PIPELINE</t>
  </si>
  <si>
    <t>Supply stainless steel pipe grade 316L with T16 flanges, epoxy coated (FBE) or similar approved.  Rates to include supply, handle, lay, join with stainless steel bolts and gasket (EPDM) or similar approved, test and disinfect.</t>
  </si>
  <si>
    <t>300 mm diameter nominal bore.</t>
  </si>
  <si>
    <t>150 mm diameter nominal bore.</t>
  </si>
  <si>
    <t>100 mm diameter nominal bore.</t>
  </si>
  <si>
    <t>Extra over for above pipeline items up to 300mm to be installed within basement area on soffit including design and supply of hangers and supports at 1m centres with carrying capacity of the pipe kg/m as minimum.</t>
  </si>
  <si>
    <t>Extra over for above pipeline items up to 150mm to be installed within basement area on soffit including design and supply of hangers and supports at 1m centres with carrying capacity of the pipe kg/m as minimum.</t>
  </si>
  <si>
    <t>Supply stainless steel pipe grade 316L with welded connections, epoxy coated (FBE) or similar approved.  Rates to include supply, handle, lay, join with stainless steel bolts and gasket (EPDM) or similar approved, test and disinfect.</t>
  </si>
  <si>
    <t>HDPE PE 100 PN 16 SDR 11 pipes. Rate to include supply, handle, lay, bed, join by means of butt-welding, test and disinfect.</t>
  </si>
  <si>
    <t>355 mm diameter.</t>
  </si>
  <si>
    <t>250 mm diameter.</t>
  </si>
  <si>
    <t>160 mm diameter.</t>
  </si>
  <si>
    <t>Extra over for 355 mm diameter for the installation within basement on soffit including design and supply of hangers and supports at 1m centres.</t>
  </si>
  <si>
    <t>Extra over for up to 250mm diameter pipes for the installation on soffit of the basement including design and supply hangers at 1m centres. Rate to include access to soffit of basement from floor level by means of scaffolding and will depend on the contractors installation pace of the pipe.</t>
  </si>
  <si>
    <t>Extra-over for laying pipes through sleeve pipes.</t>
  </si>
  <si>
    <t>uPVC Class 16 pipes. Rate to include supply, handle, lay, bed, test and disinfect.</t>
  </si>
  <si>
    <t>Special wrapping in corrosive soil with denso type mastic wrap or similar approved:</t>
  </si>
  <si>
    <t>For steel pipes up to 150 mm nominal bore.</t>
  </si>
  <si>
    <t>DISINFECT PIPELINES</t>
  </si>
  <si>
    <t>uPVC pipeline</t>
  </si>
  <si>
    <t>Steel pipeline</t>
  </si>
  <si>
    <t>SPECIALS AND FITTINGS</t>
  </si>
  <si>
    <t>Supply, lay, bed, hang,  join, including cut pipes to length and hangers where required, test and disinfect:</t>
  </si>
  <si>
    <t>Stainless steel grade 316L T16 flanged pipe fittings with casket and stainless steel bolts:</t>
  </si>
  <si>
    <t>300 mm diameter 45 deg.</t>
  </si>
  <si>
    <t>300 mm diameter 90 deg.</t>
  </si>
  <si>
    <t>250 mm diameter 45 deg.</t>
  </si>
  <si>
    <t>150 mm diameter 45 deg.</t>
  </si>
  <si>
    <t>150 mm diameter 0 to up to 35 deg.</t>
  </si>
  <si>
    <t>100 mm diameter 90 deg.</t>
  </si>
  <si>
    <t>100 mm diameter 45 deg.</t>
  </si>
  <si>
    <t>100 mm diameter 0 to up to 35 deg.</t>
  </si>
  <si>
    <t>300 mm diameter equal tee.</t>
  </si>
  <si>
    <t>250 mm diameter equal tee.</t>
  </si>
  <si>
    <t>150 mm diameter equal tee.</t>
  </si>
  <si>
    <t>100 mm diameter equal tee</t>
  </si>
  <si>
    <t>350 mm diameter flanged adaptor.</t>
  </si>
  <si>
    <t>250 mm diameter flanged adaptor.</t>
  </si>
  <si>
    <t>150 mm diameter flanged adaptor.</t>
  </si>
  <si>
    <t>Cast Iron FBE coated socketed PN 16 fittings:</t>
  </si>
  <si>
    <t>350 mm diameter 45 deg.</t>
  </si>
  <si>
    <t>350 mm diameter 90 deg.</t>
  </si>
  <si>
    <t>150 mm diameter 90 deg.</t>
  </si>
  <si>
    <t>Cast Iron FBE coated flanged socketed Tees PN 16</t>
  </si>
  <si>
    <t>355mm x 355mm x 355mm</t>
  </si>
  <si>
    <t>160mm x 160mm x 160mm</t>
  </si>
  <si>
    <t>HDPE Butt-welded fittings PN 16 SDR 11:</t>
  </si>
  <si>
    <t>355 mm diameter 45 deg.</t>
  </si>
  <si>
    <t>355 mm diameter 90 deg.</t>
  </si>
  <si>
    <t>160 mm diameter 90 deg.</t>
  </si>
  <si>
    <t>160 mm diameter 40 deg.</t>
  </si>
  <si>
    <t>355mm x 355mm x 355mm Tee.</t>
  </si>
  <si>
    <t>110mm x 110mm x 110mm Tee.</t>
  </si>
  <si>
    <t>160mm x 110mm x 160mm Tee.</t>
  </si>
  <si>
    <t>160mm x 100mm Reducer.</t>
  </si>
  <si>
    <t>355mm x 160mm Reducer.</t>
  </si>
  <si>
    <t>250mm flanged adaptor T16.</t>
  </si>
  <si>
    <t>355mm flanged adaptor T16.</t>
  </si>
  <si>
    <t>VALVES</t>
  </si>
  <si>
    <t>Supply, handle, lay in valve box or install on concrete support, joint, including cutting pipes where necessary and test.</t>
  </si>
  <si>
    <t>T16 Flanged butterfly type isolating valves including EPDM gasket and stainless steel bolts.</t>
  </si>
  <si>
    <t>350 mm diameter (NB).</t>
  </si>
  <si>
    <t>300 mm diameter (NB).</t>
  </si>
  <si>
    <t>100 mm diameter (NB).</t>
  </si>
  <si>
    <t>100 mm diameter double acting vent-o-mat or similar approved air-valve to PN 16.</t>
  </si>
  <si>
    <t>50 mm diameter double acting vent-o-mat or similar approved air-valve to PN 16.</t>
  </si>
  <si>
    <t>ANCILLARIES</t>
  </si>
  <si>
    <t>Anchor, Thrust blocks and pedestals</t>
  </si>
  <si>
    <t>Concrete Class 25/19</t>
  </si>
  <si>
    <t>VALVE CHAMBERS AND MANHOLES:</t>
  </si>
  <si>
    <t>Valve chamber for depth up to 1.5m deep including Ductile heavy duty cover and frame to EN 124 D400.  Rate to include double brick wall, brickforce on each layer with 600 mm x 600 mm internal dimension.</t>
  </si>
  <si>
    <t>Air valve chamber for depth up to 1.5m deep including Ductile heavy duty cover and frame to EN 124 D400.  Rate to include double brick wall, brickforce on each layer with 600mm x 600mm internal dimension.</t>
  </si>
  <si>
    <t>SECTION : CABLE DUCTS</t>
  </si>
  <si>
    <t>Excavate in all materials, including in layerworks for trenches backfill, compact, and dispose of surplus/unsuitable material, for ducts up to 110mm in a bundle of up to 6No for total trench depth: (All rates to include dispose of unsuitable material to a registered dump-site including haulage.)</t>
  </si>
  <si>
    <t>Excavate in all materials including in layerworks for trenches backfill, compact, and dispose of surplus/unsuitable material, for ducts over 110mm up to 200mm in a bundle of up to 6No for total trench depth:</t>
  </si>
  <si>
    <t>Exceeding 0,0 m but not exceeding 1,5 m</t>
  </si>
  <si>
    <t>Extra-over above items for (provisional):</t>
  </si>
  <si>
    <t>Excavate and dispose of unsuitable material to a registered dump-site including haulage from trench bottom (Provisional)</t>
  </si>
  <si>
    <t>Make up deficiency in backfill material (Provisional)</t>
  </si>
  <si>
    <t>by importation from commercial or off-site sources selected by the Contractor</t>
  </si>
  <si>
    <t>Compaction in road reserves including aprons</t>
  </si>
  <si>
    <t>Imported from</t>
  </si>
  <si>
    <t>Concrete class 15/19 bedding (Provisional)</t>
  </si>
  <si>
    <t>Supply, handle, lay, bed and prove ducts including draw wire for the following sizes (Provisional):</t>
  </si>
  <si>
    <t>up to 160 mm diam. uPVC pipes</t>
  </si>
  <si>
    <t>Supply, handle, lay on cable trays, butt-weld or join and prove ducts including draw wire for the following sizes (Provisional):</t>
  </si>
  <si>
    <t>50 mm diameter HDPE duct pipe for optical fibre installation in services culvert on Cable trays as per ACSA standards.</t>
  </si>
  <si>
    <t>110 mm diameter HDPE duct pipe for optical fibre installation in services culvert on Cable trays as per ACSA standards.</t>
  </si>
  <si>
    <t>160 mm diameter HDPE duct pipe for optical fibre installation in services culvert on Cable trays as per ACSA standards.</t>
  </si>
  <si>
    <t>Extra over for the supply and installation of sub ducts within above duct pipe including connections. Internal fibre cable measured elsewhere and not under the Civil BoQ:</t>
  </si>
  <si>
    <t>3 No x 32 mm diameter HDPE sub-duct with smooth silicone interior inside 110mm or 160mm.</t>
  </si>
  <si>
    <t>40 mm diameter HDPE sub-duct with smooth silicone interior.</t>
  </si>
  <si>
    <t>50 mm diameter HDPE sub-duct with smooth silicone interior.</t>
  </si>
  <si>
    <t>4-way Bundled Micro-duct with 4 No x 18mm Micro-duct.</t>
  </si>
  <si>
    <t>12-way Bundled Micro-duct with 12 No x 8mm Micro-duct.</t>
  </si>
  <si>
    <t>CABLE TRAYS</t>
  </si>
  <si>
    <t>Supply, handle, join, splice, hang and install 600mm x 60mm heavy duty cable tray with a support weight of 120kg/m within the services culvert. Hot dipped galvanised before fabrication. Zinc electroplated after fabrication. Non water retention. U-shaped with equal height side walls. Punched hole pattern that accepts tray attachment hardware. All cable trays must be earthed. Supports attached to soffit of services culvert, walls or floors. No sharp edging ×¢â¬â polishing required where applicable.</t>
  </si>
  <si>
    <t>Supply, handle, join, splice, hang and install 400mm x 60mm heavy duty cable tray with a support weight of 100kg/m within the services culvert. Hot dipped galvanised before fabrication. Zinc electroplated after fabrication. Non water retention. U-shaped with equal height side walls. Punched hole pattern that accepts tray attachment hardware. All cable trays must be earthed. Supports attached to soffit of services culvert, walls or floors. No sharp edging ×¢â¬â polishing required where applicable.</t>
  </si>
  <si>
    <t>Design, handle and install hangers for 3No layered/stacked 600mm cable trays for a total height of 2650mm at 1m centres. Hangers to support a weight of at least 360kg/m.</t>
  </si>
  <si>
    <t>Design, handle and install hangers for up to 3No layered/stacked 400mm cable trays for a total height of 2650mm at 1m centres. Hangers to support a weight of at least 300kg/m.</t>
  </si>
  <si>
    <t>MANHOLES COMPLETE</t>
  </si>
  <si>
    <t>Double brick manhole 2000mm high with 600mm x 600mm inner clearance, 150mm 30MPA concrete base, bag washed and water proved with xypex or similar approved.</t>
  </si>
  <si>
    <t>1200 mm diameter concrete ring type manhole, water proved joints inside and outside on 1300mm x 1300mm  x 100mm 30MPa concrete base. Cover and frame measured elsewhere.</t>
  </si>
  <si>
    <t>Heavy duty, round with a 600mm clear opening ductile iron cover and frame, lockable Class D400 to EN 124 specification or similar approved.</t>
  </si>
  <si>
    <t>CABLE PROTECTION</t>
  </si>
  <si>
    <t>Pre-cast concrete cable cover slabs 1000mm x 250mm x 80mm to all in ground cable ducts or electrical services.</t>
  </si>
  <si>
    <t>SECTION : SEWERS</t>
  </si>
  <si>
    <t>Excavate in all materials including layerworks for trenches backfill, compact and dispose of surplus/unsuitable material to Vissershok, including transport up to 45km radius, for pipes up to 160 mm diameter for total trench depth:</t>
  </si>
  <si>
    <t>Shore trench with 2600 mm x 228 mm x 76 mm, H4 structural treated timber including cross bracing and to a depth of 2.5m.</t>
  </si>
  <si>
    <t>Location:</t>
  </si>
  <si>
    <t>Supply of specialist equipment for the detection of a particular service by ground penetrating scan equipment for the detection of underground services as ordered by the Engineer.  Contractor to allow for scanning and surveying of points by means of a x,y.z and provide the results to the Engineer.</t>
  </si>
  <si>
    <t>The use of equipment in above item.</t>
  </si>
  <si>
    <t>Permanent protection with 15MPa concrete of IT and electrical services (multiple places).</t>
  </si>
  <si>
    <t>Services that adjoin a trench. Measurement is based on if multiple services are encountered, the measured service's are group as a cluster and measured as a linear single line and not separate.</t>
  </si>
  <si>
    <t>Reinstate road surfaces</t>
  </si>
  <si>
    <t>a) Complete with all courses except surfacing at P2/P1 cold storage area/zones with limited space. ( G5 150mm, G3 150mm, C4 150mm)</t>
  </si>
  <si>
    <t>b) G5 quality gravel surface.</t>
  </si>
  <si>
    <t>Concrete bedding  25MPa (Provisional)</t>
  </si>
  <si>
    <t>Stainless steel grade 316L T16 welded joins:</t>
  </si>
  <si>
    <t>40/50 mm diameter nominal bore.</t>
  </si>
  <si>
    <t>Extra over for above pipeline items for the installation within basement on soffit with design and supply of hangers and supports for 1m centres.</t>
  </si>
  <si>
    <t>110 mm diameter.</t>
  </si>
  <si>
    <t>Supply, lay, bed, hang  join, including cut pipes to length and hangers where required, test and disinfect:</t>
  </si>
  <si>
    <t>Stainless steel grade 316L T16 welded pipe fittings with casket and stainless steel bolts where required:</t>
  </si>
  <si>
    <t>40/50 mm diameter 45 deg.</t>
  </si>
  <si>
    <t>40/50 mm diameter 90 deg.</t>
  </si>
  <si>
    <t>150mm x 150mm x 150mm Tee.</t>
  </si>
  <si>
    <t>150mm x 150mm x 100mm Tee.</t>
  </si>
  <si>
    <t>110 mm diameter 90 deg.</t>
  </si>
  <si>
    <t>110mm x 110mm x 110mm x 110mm Cross Tee.</t>
  </si>
  <si>
    <t>110mm end caps.</t>
  </si>
  <si>
    <t>Supply, handle, lay in valve box, pump stations or install on concrete support, joint, including cutting pipes where necessary and test.</t>
  </si>
  <si>
    <t>PN16 butterfly type isolating valves and check valves including EPDM gasket and stainless steel bolts.</t>
  </si>
  <si>
    <t>100 mm diameter butterfly valve (flanged T16)</t>
  </si>
  <si>
    <t>100 mm diameter check valves (flanged T16)</t>
  </si>
  <si>
    <t>40/50 mm diameter check valves (flanged T16)</t>
  </si>
  <si>
    <t>Concrete casing Class 25/19</t>
  </si>
  <si>
    <t>MANHOLES</t>
  </si>
  <si>
    <t>Supply, handle and lay concrete ring type manholes, 1200mm diameter complete with 150mm x 1300mm 30 MPa concrete base, ductile iron manhole cover and frame to EN 124 D400 for the following depths:</t>
  </si>
  <si>
    <t>0.0 m to 0.5 m</t>
  </si>
  <si>
    <t>0.5 m to 1,0 m</t>
  </si>
  <si>
    <t>1,0 m to 1,5 m</t>
  </si>
  <si>
    <t>2,0 m to 2,5 m</t>
  </si>
  <si>
    <t>2,5 m to 3,5 m (Terminal Manhole)</t>
  </si>
  <si>
    <t>Concrete in casement of pipes with concrete class 15/19.</t>
  </si>
  <si>
    <t>Break into and connect to existing 1200mm manhole including 160mm flexible joints and make good all benching.</t>
  </si>
  <si>
    <t>Raising of existing 1200mm ring type manholes with 1200mm x 250mm rings.</t>
  </si>
  <si>
    <t>Raising of existing 1200mm ring type manholes with 1200mm x 500mm rings.</t>
  </si>
  <si>
    <t>Raising of existing double brick manholes with 14 MPa clay bricks including brickforce on each layer.</t>
  </si>
  <si>
    <t>Install and operation of a temporary above floor lifting station or similar approved with the following specifications: H=5m, Q=6l/s as per Sanicubic.</t>
  </si>
  <si>
    <t>Supply, handle and install a 10l/s stainless steel type grease trap underground with double brick wall chamber with internal size to fit manufactures specifications or similar approved.</t>
  </si>
  <si>
    <t>Supply and install 100mm siphonic type floor drain with within basement with debris guard.</t>
  </si>
  <si>
    <t>SECTION :STORMWATER DRAINAGE</t>
  </si>
  <si>
    <t>Excavate in all materials including layer works for trenches backfill, compact, and dispose of surplus/unsuitable material, for culverts up to 6m2 for total trench depth:</t>
  </si>
  <si>
    <t>Over 100mm up to 450 mm diameter for total trench depth including working space of up to diameter of pipe plus 400mm both sides:</t>
  </si>
  <si>
    <t>Exceeding 2,0 m but not exceeding 3,0 m</t>
  </si>
  <si>
    <t>Exceeding 3,0 m but not exceeding 4,0 m</t>
  </si>
  <si>
    <t>Over 450mm up to 750 mm diameter for total trench depth including working space of up to diameter of pipe plus 400mm both sides:</t>
  </si>
  <si>
    <t>Shore trench with 3600mm x 228mm x 76mm, H4 structural treated timber including cross bracing up to a depth of 3.5m.</t>
  </si>
  <si>
    <t>Permanent works : Control water inflow from storm water trenches/sumps.</t>
  </si>
  <si>
    <t>Provide and install sump pump delivering up to 5l/s @20m head within manholes.</t>
  </si>
  <si>
    <t>Services across and in trenches</t>
  </si>
  <si>
    <t>Supply of specialist equipment for the detection of a particular service by ground penetrating scan equipment for the detection of underground services as ordered by the Engineer.  Contractor to allow for scanning and surveying of points by means of a x,y,z and provide the results to the Engineer.</t>
  </si>
  <si>
    <t>Up to 15No cluster of cables up to 11KV</t>
  </si>
  <si>
    <t>Concrete bedding class 25/19 (Provisional)</t>
  </si>
  <si>
    <t>200 mm diameter nominal bore.</t>
  </si>
  <si>
    <t>Extra over for above pipeline items for the installation within basement on soffit level with design and supply of hangers and supports for 1m centres.</t>
  </si>
  <si>
    <t>HDPE PE 100 PN 16 SDR 11 pipes. Rate to include supply, handle, hang, lay, bed, join by means of butt-welding and test including hangers where required design and supply at 1m centres.</t>
  </si>
  <si>
    <t>Extra over for up to 450mm diameter pipe for the installation within the services culvert with design and supply of hangers and supports at 1m centres. Rate to include for limited access to services culvert and will depend on the contractors installation pace of the pipe.</t>
  </si>
  <si>
    <t>Steel reinforced Class 100D spigot and socket concrete pipes. Rate to include supply, handle, hang, lay, bed and test.</t>
  </si>
  <si>
    <t>600 mm diameter.</t>
  </si>
  <si>
    <t>450 mm diameter.</t>
  </si>
  <si>
    <t>375 mm diameter.</t>
  </si>
  <si>
    <t>Special wrapping in corrosive soil with Denso type mastic wrap or similar approved:</t>
  </si>
  <si>
    <t>For steel pipes up to 250 mm nominal bore.</t>
  </si>
  <si>
    <t>Supply, lay, bed, hang  join, including cut pipes to length where required, test and disinfect:</t>
  </si>
  <si>
    <t>Stainless steel grade 316L T16 welded pipe fittings with casket and stainless steel bolts where applicable:</t>
  </si>
  <si>
    <t>200 mm diameter up to 45 deg.</t>
  </si>
  <si>
    <t>200 mm diameter 90 deg.</t>
  </si>
  <si>
    <t>150 mm x 150 mm x 150mm equal tee.</t>
  </si>
  <si>
    <t>150mm x 150mm x 90mm reducing tee.</t>
  </si>
  <si>
    <t>200 mm x 200 mm x 200mm equal tee.</t>
  </si>
  <si>
    <t>200 mm flange adaptor T16.</t>
  </si>
  <si>
    <t>150 mm flange adaptor T16.</t>
  </si>
  <si>
    <t>160mm x 160mm x 160mm Tee.</t>
  </si>
  <si>
    <t>160mm x 110mm x 160mm Reducing Tee.</t>
  </si>
  <si>
    <t>150mm end cap.</t>
  </si>
  <si>
    <t>150 mm diameter butterfly valve (flanged T16)</t>
  </si>
  <si>
    <t>150 mm diameter check valves (flanged T16)</t>
  </si>
  <si>
    <t>200 mm diameter butterfly valve (flanged T16)</t>
  </si>
  <si>
    <t>200 mm diameter check valves (flanged T16)</t>
  </si>
  <si>
    <t>T16 Flanged isolating valves including EPDM gasket and stainless steel bolts.</t>
  </si>
  <si>
    <t>VALVE CHAMBERS AND MANHOLES</t>
  </si>
  <si>
    <t>Air valve chamber for depth up to 1.5m deep including Ductile heavy duty cover and frame to EN 124 D400.  Rate to include double brick wall, brickforce all courses, 600mm x 600mm internal dimension and cover.</t>
  </si>
  <si>
    <t>Supply, handle and lay concrete ring type manholes, 1000mm diameter complete with 150mm x 1300mm 30 MPa concrete base, ductile iron manhole cover and frame to EN 124 D400 for the following depths:</t>
  </si>
  <si>
    <t>2,5 m to 3,5 m</t>
  </si>
  <si>
    <t>Concrete in casement of pipes with concrete class 40/19 within basement.</t>
  </si>
  <si>
    <t>Break into and connect to existing 1000mm manhole, including up to 450mm flexible joint and make good all benching.</t>
  </si>
  <si>
    <t>Raising of existing 1000mm ring type manholes with 1000mm x 250mm rings.</t>
  </si>
  <si>
    <t>Raising of existing 1000mm ring type manholes with 1000mm x 500mm rings.</t>
  </si>
  <si>
    <t>Raising of existing double brick manholes with 10 MPa clay bricks including brickforce on all layers.</t>
  </si>
  <si>
    <t>Supply, handle and install 90/100mm syphonic type drains with debris guard within concrete in basement floor level.</t>
  </si>
  <si>
    <t>Supply, handle and lay concrete ring type manholes, 1200mm diameter complete with 1300mm x 150mm 30MPa concrete base, ductile iron manhole cover and frame to EN 124 D400 for the following depths:</t>
  </si>
  <si>
    <t>Supply 15MPa clay bricks, handle, lay, bag-wash, water-prove and install with at least a 1000mm internal dimension, complete with 1500mmx 1500mm x 150mm, 30 MPa concrete base, double brick wall, brickforce on all layers and ductile iron manhole cover and frame to EN 124 D400 for the following depths:</t>
  </si>
  <si>
    <t>Raising of existing 1200mm ring type manholes with up to 1200mm x 250mm rings.</t>
  </si>
  <si>
    <t>Raising of existing 1200mm ring type manholes with up to 1200mm x 500mm rings.</t>
  </si>
  <si>
    <t>Raising of existing double brick manholes with 10 mPa clay bricks including</t>
  </si>
  <si>
    <t>SECTION : KERBING AND CHANNELLING</t>
  </si>
  <si>
    <t>KERBING AND CHANNELLING</t>
  </si>
  <si>
    <t>Supply, lay, grout, joint, and backfill for all radii and straights.</t>
  </si>
  <si>
    <t>i) Barrier kerb (Type BK1)</t>
  </si>
  <si>
    <t>ii) Barrier kerb (Type BK2)</t>
  </si>
  <si>
    <t>iii) Edging (Type E3)</t>
  </si>
  <si>
    <t>Supply, handle, lay, grout and backfill for all radii 5 to 20 m in 300 mm lengths.</t>
  </si>
  <si>
    <t>i) Barrier Kerb (Type BK2)</t>
  </si>
  <si>
    <t>ii) Channel (Type C1,C1)</t>
  </si>
  <si>
    <t>ANCILLARY ROADWORKS</t>
  </si>
  <si>
    <t>Non reflectorized paint applied at nominal rate of 0,42 l/m2</t>
  </si>
  <si>
    <t>a) Unbroken white line 100 mm wide on  road centre line</t>
  </si>
  <si>
    <t>b) Unbroken white line 300 mm wide</t>
  </si>
  <si>
    <t>c) White characters and symbols</t>
  </si>
  <si>
    <t>d) Word (STOP)</t>
  </si>
  <si>
    <t>Setting out and pre-marking for:</t>
  </si>
  <si>
    <t>a) Lines</t>
  </si>
  <si>
    <t>b) Words and Symbols</t>
  </si>
  <si>
    <t>SECTION : ASPHALT BASE AND SURFACING</t>
  </si>
  <si>
    <t>Excavate in all materials and dispose of or backfill as ordered by the Engineer for:</t>
  </si>
  <si>
    <t>iii) Dispose of at Vissershok 45km radius</t>
  </si>
  <si>
    <t>Treatment of road-bed</t>
  </si>
  <si>
    <t>a) Roadbed preparation and compaction of material:</t>
  </si>
  <si>
    <t>i) minimum of 93%IT of MAASHTO max density (100%IT for sand) in  Roads, 300mm deep</t>
  </si>
  <si>
    <t>ii) minimum of 93%IT of MAASHTO max density (100%IT for sand) for kerbs 100mm thick</t>
  </si>
  <si>
    <t>iii) minimum of 93%IT of MAASHTO max density (100%IT for sand) in Side-walks, 150mm deep</t>
  </si>
  <si>
    <t>Selected layer from commercial sources compacted to 93%IT MAASHTO maximum densities (100%IT for sand) for:</t>
  </si>
  <si>
    <t>a) Roadways G7 material, 150mm deep in areas with unsuitable conditions.</t>
  </si>
  <si>
    <t>ROADS (GENERAL)</t>
  </si>
  <si>
    <t>SUB-BASE</t>
  </si>
  <si>
    <t>Construct sub-base with G5 material from commercial source compacted to 96%IT MAASHTO density for:</t>
  </si>
  <si>
    <t>a) 150 mm in roads</t>
  </si>
  <si>
    <t>b) 100 mm for kerbs</t>
  </si>
  <si>
    <t>c) 100 mm in side walks</t>
  </si>
  <si>
    <t>Construct sub base with G9 material from commercial source and compacted to 90%IT MAASHTO density:</t>
  </si>
  <si>
    <t>a) up to 600 mm in roads and ramp</t>
  </si>
  <si>
    <t>Construct sub base with G7 material from commercial source and compacted to 93%IT MAASHTO density:</t>
  </si>
  <si>
    <t>a) 300 mm in roads and ramp</t>
  </si>
  <si>
    <t>Construct sub base with G6 material from commercial source and compacted to 98%IT MAASHTO density:</t>
  </si>
  <si>
    <t>a) 150 mm in roads, ramp and paving</t>
  </si>
  <si>
    <t>BASE</t>
  </si>
  <si>
    <t>Construct base with G5 material from commercial source and compacted to 98%IT MAASHTO density:</t>
  </si>
  <si>
    <t>b) Continuously graded BTB base 100mm thick (Provisional)</t>
  </si>
  <si>
    <t>Construct base with G4 material from commercial source and compacted to 95%IT MAASHTO density:</t>
  </si>
  <si>
    <t>Construct base with G3 material from commercial source and compacted to 97%IT MAASHTO density:</t>
  </si>
  <si>
    <t>a) 150 mm in roads and ramp</t>
  </si>
  <si>
    <t>Construct base with C3 material from G4 commercial source and compacted to 97%IT MAASHTO density, rate to include 3%IT cement stabilisation, mixing, placing and compaction:</t>
  </si>
  <si>
    <t>a) 150 mm in paving areas, roads and ramp</t>
  </si>
  <si>
    <t>PRIME COAT</t>
  </si>
  <si>
    <t>Prime coat using a cut back bitumen and grade MC-30 or similar approved</t>
  </si>
  <si>
    <t>ASPHALT SURFACING</t>
  </si>
  <si>
    <t>For Side walks, supply and place with paver continuously graded 30 mm asphalt compacted to 93%IT Rice Density.</t>
  </si>
  <si>
    <t>For Roads, supply and place with paver continuously graded 40 mm asphalt compacted to 93%IT Rice Density.</t>
  </si>
  <si>
    <t>Supply, handle and construct new brick paving (20Mpa) including 20mm sand bedding.</t>
  </si>
  <si>
    <t>Contractor can supply an alternative rate for milling of asphalt up to 60mm thick, handle,  process and place new 40mm overlay on tack coat and existing BTB/asphalt base. Rate to include all milling equipment, tack coat, 40mm asphalt overlay, rolling, compaction and testing. (minimum area to be overlay is 200m2 at a given time) This rate will be an alternative to above items for asphalt and prime coat.</t>
  </si>
  <si>
    <t>GUARDRAILS</t>
  </si>
  <si>
    <t>Supply and erect galvanized steel guardrails on timber posts, backfilled with material available on Site.</t>
  </si>
  <si>
    <t>Extra-over above item horizontally curved guardrails factory-bent to a radius of less than 150 mm.</t>
  </si>
  <si>
    <t>SECTION: PUMP STATION</t>
  </si>
  <si>
    <t>Supply, handle, install and commission 20l/s at 30m head vortex type pump with guardrail and duct-foot bend.  Self-priming, single-stage, centrifugal pump designed for handling waste-water, process water and unscreened raw sewage.  The pump must be designed for intermittent and continuous operation. The liquid-less and maintenance free cooling system ensures that the pump can be used for submerged or dry installation. A S-tube type impeller will provide free spherical passage of solids up to 80 mm and must be suitable for waste-water with a dry matter content of up to 3 %IT.  Controls: Moisture sensor: without moisture sensors Water-in-oil sensor: without water-in-oil sensor Temp. sensor: No</t>
  </si>
  <si>
    <t>Materials:  Pump housing: EN 1561 EN-GJL-250 Impeller: Cast iron  Technical:  Actual calculated flow: 20 l/s Resulting head of the pump: 10 m Type of impeller: S-TUBE Maximum particle size: 80 mm Primary shaft seal: SIC/SIC Secondary shaft seal: CARBON/CERAMICS  Installation:  Maximum operating pressure: 600 kPa Flange standard: DIN Pump outlet: DN 100 Pressure rating: PN 10 Maximum installation depth: 20 m</t>
  </si>
  <si>
    <t>Supply, handle, install and commission  50l/s at 15m head vortex type pump with guardrail and duct-foot bend (Stormwater)Self-priming, single-stage, centrifugal pump designed for handling waste-water, process water and unscreened raw sewage.The pump must be designed for intermittent and continuous operation including a cooling jacket to ensures that the pump can operate submerged or dry installed without motor cooling. The single-channel impeller must handle solids up to 100 mm in size.A Smart-trim impeller clearance adjustment system must make it possible to maintain maximum performance throughout the lifetime of the pump.To facilitate easy transportation as well as installation on-site, the pump must be fitted with a robust lifting bracket. For installation on auto coupling, gasket system provides a leak-proof connection.</t>
  </si>
  <si>
    <t>Controls:  Moisture sensor: with moisture sensors Water-in-oil sensor: without water-in-oil sensor  Technical:  Actual calculated flow: 50 l/s Resulting head of the pump: 15 m Actual impeller diameter: 285 mm Type of impeller: 1-CHANNEL Maximum particle size:100 mm Primary shaft seal: SIC-SIC Secondary shaft seal: SIC-CARBON Approvals on nameplate: CE, EAC  Materials: Pump housing: Cast iron EN 1561, EN-GJL-250 ,AISI A48 30 Impeller: Cast iron EN 1561, EN-GJL-250, AISI A48 30 Motor: Cast iron EN 1561, EN-GJL-250, AISI A48 30  Size of outlet: 200mm PN 16</t>
  </si>
  <si>
    <t>Supply, handle, install and commission 5l/s at 10m head vortex type pump with guardrail and duct-foot bend (Stormwater)Vertical single-stage stainless steelsubmersible pump with vertical discharge port and integrated submersible 3-phase totallyenclosed motor in insulation class F. The pump must be fitted with a suction strainer.The impeller must conform to a SEMI OPEN impeller for 12 mm free passage suitable for pumping groundwater, surface water, rain water and similar.The pump must have a double shaft seal and anintermediate oil chamber pre-filled with non-toxicspecial oil.The pump must have a riser pipe, a cooling jacket for continuous cooling of the motor by the pumped liquid and long-life deep-groove greased-for-life ball bearings.</t>
  </si>
  <si>
    <t>Materials:  Pump housing: Stainless steel DIN W.-Nr. 1.4301 AISI 304  Impeller: Stainless steel DIN W.-Nr. 1.4301 AISI 304  Electrical data:  Power input - P1: 0.9 kW Mains frequency: 50 Hz Rated voltage: 3 x 400 V Rated current: 1.6 A  Cos phi - power factor: 0.83 Rated speed: 2815 rpm Enclosure class (IEC 34-5): IP68 Insulation class (IEC 85): F</t>
  </si>
  <si>
    <t>Design, supply, handle and install MCC control units for sewer pump system, BMS linking, ultrazonic level sensor and all switches.</t>
  </si>
  <si>
    <t>Design, supply, handle and install MCC control units for stormwater pump system, BMS linking, ultrazonic level sensor and all switches.</t>
  </si>
  <si>
    <t>Contractors mark-up on above items</t>
  </si>
  <si>
    <t>CONCRETE WORKS</t>
  </si>
  <si>
    <t>SECTION : CONCRETE (STRUCTURAL)</t>
  </si>
  <si>
    <t>All cement to be 42.5N or similar approved. Concrete mix designs to be submitted to the Engineer for approval.</t>
  </si>
  <si>
    <t>Blinding layer in Class 20 MPa/40 mm concrete</t>
  </si>
  <si>
    <t>50 mm minimum thickness</t>
  </si>
  <si>
    <t>Reinforced concrete Class 30 MPa/20mm, rate to include for confined areas and for limited work space. Rate shall also include for water proving admixture to concrete mix, xypex ad-mix C-500 regular grade or similar approved for slabs, walls and screeds for the services tunnel. Minimum of 10kg/m3 to be added to concrete mix. A trial mix is to be done to determine set times and workability of the concrete for:</t>
  </si>
  <si>
    <t>The costs of making, storing and testing of concrete test cubes as required under Clause 7 'Tests' of SANS 1200 G shall include the cost of providing cube moulds necessary for the purpose, for testing costs and for submitting reports on the tests to the Engineer. The testing shall be undertaken by an independent firm or institution nominated by the Contractor to the approval of the Engineer.</t>
  </si>
  <si>
    <t>Making and testing set of 3No 150mm  x 150mm x 150mm concrete strength test cubes.</t>
  </si>
  <si>
    <t>Services culvert floor up to 350mm thick.</t>
  </si>
  <si>
    <t>Services culvert walls up to 350mm thick.</t>
  </si>
  <si>
    <t>Services culvert soffit/slab covering up to 400mm thick.</t>
  </si>
  <si>
    <t>Saw cut joints up to 50 mm deep.</t>
  </si>
  <si>
    <t>FORM-WORK</t>
  </si>
  <si>
    <t>Rough walls below ground</t>
  </si>
  <si>
    <t>Vertical plane</t>
  </si>
  <si>
    <t>Smooth horizontal plane to:</t>
  </si>
  <si>
    <t>Slabs exceeding 250mm thick and not exceeding 500mm thick propped up exceeding 3.5m and not exceeding 5m high for the extension to the services tunnel.</t>
  </si>
  <si>
    <t>Chamfers exceeding 20 mm x 20 mm and grooves</t>
  </si>
  <si>
    <t>Chamfer 30 mm x 30 mm</t>
  </si>
  <si>
    <t>Chamfer 40 mm x 40 mm</t>
  </si>
  <si>
    <t>Box out holes/form voids for puddle flange connections into services tunnel.</t>
  </si>
  <si>
    <t>Circular up to 650mm diameter for depths over and up to:</t>
  </si>
  <si>
    <t>0 m 0,5 m</t>
  </si>
  <si>
    <t>0,5 m 1,0 m</t>
  </si>
  <si>
    <t>1,0 m 1,5 m</t>
  </si>
  <si>
    <t>1,5 m -3.5</t>
  </si>
  <si>
    <t>Large, other shapes of area's 1,0m2 to 3,5 m2  for depths over and up to:</t>
  </si>
  <si>
    <t>1,0 m 2,0 m</t>
  </si>
  <si>
    <t>2,0 m - 3,0 m</t>
  </si>
  <si>
    <t>High-tensile steel reinforcement bars to structural concrete work rate to include bending to required steel bar code.</t>
  </si>
  <si>
    <t>b) 10 mm</t>
  </si>
  <si>
    <t>c) 12 mm</t>
  </si>
  <si>
    <t>d) 16 mm</t>
  </si>
  <si>
    <t>e) 20 mm</t>
  </si>
  <si>
    <t>f) 32 mm</t>
  </si>
  <si>
    <t>High-tensile welded mesh reinforcement</t>
  </si>
  <si>
    <t>Type reference 193 standard square mesh sheets in slabs and walls.</t>
  </si>
  <si>
    <t>Type reference 617 standard square mesh sheets in slabs and walls.</t>
  </si>
  <si>
    <t>Type reference 888 standard square mesh sheets in slabs and walls.</t>
  </si>
  <si>
    <t>UNFORMED SURFACE FINISHES</t>
  </si>
  <si>
    <t>Steel-floated finish to:</t>
  </si>
  <si>
    <t>Horizontal slab floors</t>
  </si>
  <si>
    <t>JOINTS</t>
  </si>
  <si>
    <t>Waterproofing to joints horizontal and vertical include chipping any loose debris off the joint surface; high-pressure cleaning of the joint to open pore structure; application of  a swell profile hybrid type to P 2507 HM to centre of joint using thick bed of sika swell s-2; applying a slurry coat of xypex concentrate at a minimum rate of 1kg per square meter or similar approved to linear joint between wall and slab of services tunnel.</t>
  </si>
  <si>
    <t>BILL NO. 23</t>
  </si>
  <si>
    <t>PROVISIONAL AMOUNTS</t>
  </si>
  <si>
    <t>NOTE: 	contractors are referred to the definition of general attendance on nominated sub-contractors given in Clause 9 of the JBCC Preliminaries</t>
  </si>
  <si>
    <t>NOTE: 	All Provisional and Prime Cost Amounts are NET i.e: there is no cash discount</t>
  </si>
  <si>
    <t>NOTE: 	Under no circumstances may any Prime Cost - Provisional Amount, etc be extended at an amount lower than the amount given in the Bill</t>
  </si>
  <si>
    <t>NOTE: 	All contractors are advised that sub-contract appointments for the provisional amounts included in this bill, will either be a done as a Selected Sub-Contract appointment or a Domestic Sub-Contract appointment. There will be no Nominated Sub-Contract appointments.</t>
  </si>
  <si>
    <t>NOTE: 	All contractors are advised that some of the Provisional Amounts listed in this bill may be appointed as a design, supply and installation sub-contractor for their specific works</t>
  </si>
  <si>
    <t>JOINERY TO ACSA, PRAYER ROOM, ETC.</t>
  </si>
  <si>
    <t>Allow the Provisional Amount of  R120 000.00 (One Hundred and Twenty Thousand Rand) NET for the joinery to ACSA, prayer rooms, etc, to be executed by a sub-contractor</t>
  </si>
  <si>
    <t>JOINERY TO ACSA OFFICES</t>
  </si>
  <si>
    <t>Allow the Provisional Amount of R50 000.00 (Fifty Thousand Rand) NET for joinery to ACSA offices, to be executed by a sub-contractor</t>
  </si>
  <si>
    <t>JOINERY TO OVERSIZED BAGGAGE EXTENSION (2ND FLR)</t>
  </si>
  <si>
    <t>Allow the Provisional Amount of R70 000.00 (Seventy Thousand Rand) NET for joinery to oversized baggage extension on Second Floor, to be executed by a sub-contractor</t>
  </si>
  <si>
    <t>JOINERY TO BAGGAGE SORTATION AREA</t>
  </si>
  <si>
    <t>Allow the Provisional Amount of R70 000.00 (Seventy Thousand Rand) NET for joinery to baggage sortation area, to be executed by a sub-contractor</t>
  </si>
  <si>
    <t>JOINERY TO ABLUTION FACILITIES (GRN &amp; 2ND FLR)</t>
  </si>
  <si>
    <t>Allow the Provisional Amount of R1 000 000.00 (One Million Rand) NET for joinery to ablution facilities to Ground Floor and Second Floor, to be executed by a sub-contractor</t>
  </si>
  <si>
    <t>Allow the Provisional Amount of R160 000.00 (One Hundred and Sixty Thousand Rand) NET for bathroom accessories, to be executed by a sub-contractor</t>
  </si>
  <si>
    <t>STATUTORY SIGNAGE</t>
  </si>
  <si>
    <t>Allow the Provisional Amount of R3 050 000.00 (Three Million and Fifty Thousand Rand) NET for statutory signage, to be executed by a sub-contractor</t>
  </si>
  <si>
    <t>BUILDING SIGNAGE</t>
  </si>
  <si>
    <t>Allow the Provisional Amount of R7 600 000.00 (Seven Million Six Hundred Thousand Rand) NET for building signage, to be executed by a sub-contractor</t>
  </si>
  <si>
    <t>WAY FINDING SIGNAGE</t>
  </si>
  <si>
    <t>Allow the Provisional Amount of R1 550 000.00 (One Million Five Hundred and Fifty Thousand Rand) NET for way finding signage, to be executed by a sub-contractor</t>
  </si>
  <si>
    <t>FINISH TO ROOF</t>
  </si>
  <si>
    <t>Allow the Provisional Amount of R3 900 000.00 (Three Million Nine Hundred Thousand Rand) NET for finish to roof, to be executed by a sub-contractor</t>
  </si>
  <si>
    <t>FINISH TO PLAZA</t>
  </si>
  <si>
    <t>Allow the Provisional Amount of R700 000.00 (Seven Hundred Thousand Rand) NET for finish to plaza, to be executed by a sub-contractor</t>
  </si>
  <si>
    <t>STRUCTURAL STEEL CLADDING TO COLUMNS</t>
  </si>
  <si>
    <t>Allow the Provisional Amount of R1 000 000.00 (One Million Rand) NET for structural steel cladding to columns, to be executed by a sub-contractor</t>
  </si>
  <si>
    <t>STRUCTURAL STEEL TO LIFT</t>
  </si>
  <si>
    <t>Allow the Provisional Amount of R1 000 000.00 (One Million Rand) NET for structural steel to lift, to be executed by a sub-contractor</t>
  </si>
  <si>
    <t>TURNSTILES</t>
  </si>
  <si>
    <t>Allow the Provisional Amount of R100 000.00 (One Hundred Thousand Rand) NET for turnstiles, to be executed by a sub-contractor</t>
  </si>
  <si>
    <t>CORNER PROTECTORS</t>
  </si>
  <si>
    <t>Allow the Provisional Amount of R700 000.00 (Seven Hundred Thousand Rand) NET for corner protectors to basement columns, to be executed by a sub-contractor</t>
  </si>
  <si>
    <t>ALUMINIUM WORKS (FA×ADES, SHOPFRONTS, DOORS, WINDOWS, ETC.)</t>
  </si>
  <si>
    <t>Allow the Provisional Amount of R32 000 000.00 (Thirty Two Million Rand) NET for aluminium works for fa×§ades, shopfronts, doors, windows, etc, to be executed by a sub-contractor</t>
  </si>
  <si>
    <t>ELECTRICAL INSTALLATION</t>
  </si>
  <si>
    <t>Allow the Provisional Amount of R117 458 072.00 (One Hundred and Seventeen Million Four Hundred and Fifty Eight Thousand and Seventy Two Rand) NET for electrical installation, to be executed by a sub-contractor</t>
  </si>
  <si>
    <t>HVAC</t>
  </si>
  <si>
    <t>Allow the Provisional Amount of R51 335 664.00 (Fifty One Million Three Hundred and Thirty Five Thousand Six Hundred and Sixty Four Rand) NET for HVAC, to be executed by a sub-contractor</t>
  </si>
  <si>
    <t>Allow the Provisional Amount of R10 855 578.00 (Ten Million Eight Hundred and Fifty Five Thousand Five Hundred and Seventy Eight Rand) NET for plumbing and drainage, to be executed by a sub-contractor</t>
  </si>
  <si>
    <t>SPRINKLERS INSTALLATION</t>
  </si>
  <si>
    <t>Allow the Provisional Amount of R16 751 717.00 (Sixteen Million Seven Hundred and Fifty One Thousand Seven Hundred and Seventeen Rand) NET for sprinklers installation, to be executed by a sub-contractor</t>
  </si>
  <si>
    <t>LIFTS &amp; ESCALATORS</t>
  </si>
  <si>
    <t>Allow the Provisional Amount of R14 086 600.00 (Fourteen Million and Eighty Six Thousand Six Hundred Rand) NET for lifts &amp; escalators, to be executed by a sub-contractor</t>
  </si>
  <si>
    <t>Allow the Provisional Amount of R555 000.00 (Five Hundred and Fifty Five Thousand Rand) NET for fire protection, to be executed by a sub-contractor</t>
  </si>
  <si>
    <t>GLAZING TO CLERESTORY</t>
  </si>
  <si>
    <t>Allow the Provisional Amount of R2 400 000.00 (Two Million Four Hundred Thousand Rand) NET for glazing to clerestory, to be executed by a sub-contractor</t>
  </si>
  <si>
    <t>SHOWER SCREENS</t>
  </si>
  <si>
    <t>Allow the Provisional Amount of R150 000.00 (One Hundred and Fifty Thousand Rand) NET for shower screens, to be executed by a sub-contractor</t>
  </si>
  <si>
    <t>CLOSER PANELS</t>
  </si>
  <si>
    <t>Allow the Provisional Amount of R2 200 000.00 (Two Million Two Hundred Thousand Rand) NET for gas installation to be executed by a sub-contractor</t>
  </si>
  <si>
    <t>PLANT ROOM DOORS</t>
  </si>
  <si>
    <t>Allow the Provisional Amount of R100 000.00 (One Hundred Thousand Rand) NET for a plant room doors, to be executed by a sub-contractor</t>
  </si>
  <si>
    <t>DUCT COVERS</t>
  </si>
  <si>
    <t>Allow the Provisional Amount of R400 000.00 (Four Hundred Thousand Rand) NET for duct covers, to be executed by a sub-contractor</t>
  </si>
  <si>
    <t>VENTILATION GRILLS</t>
  </si>
  <si>
    <t>Allow the Provisional Amount of R2 000 000.00 (Two Million Rand) NET for ventilation grills, to be executed by a sub-contractor</t>
  </si>
  <si>
    <t>VANITIES</t>
  </si>
  <si>
    <t>Allow the Provisional Amount of R1 150 000.00 (One Million One Hundred and Fifty Thousand Rand) NET for vanities, to be executed by a sub-contractor</t>
  </si>
  <si>
    <t>EXPANSION JOINTS</t>
  </si>
  <si>
    <t>Allow the Provisional Amount of R600 000.00 (Six Hundred Thousand Rand) NET for expansion joints, to be executed by a sub-contractor</t>
  </si>
  <si>
    <t>JOINERY TO STORAGE / CLEANERS</t>
  </si>
  <si>
    <t>Allow the Provisional Amount of R25 000.00 (Twenty Five Thousand Rand) NET for joinery to storage/cleaners, to be executed by a sub-contractor</t>
  </si>
  <si>
    <t>JOINERY TO STAFF AREA</t>
  </si>
  <si>
    <t>Allow the Provisional Amount of R85 000.00 (Eighty Five Thousand Rand) NET for joinery to staff area, to be executed by a sub-contractor</t>
  </si>
  <si>
    <t>TIMBER BULKHEAD</t>
  </si>
  <si>
    <t>Allow the Provisional Amount of R1 200 000.00 (One Million Two Hundred Thousand Rand) NET for joinery to ACSA offices, to be executed by a sub-contractor</t>
  </si>
  <si>
    <t>GENERAL JOINERY</t>
  </si>
  <si>
    <t>Allow the Provisional Amount of R7 450 000.00 (Seven Million Four Hundred and Fifty Thousand Rand) NET for general joinery, to be executed by a sub-contractor</t>
  </si>
  <si>
    <t>SUNDRY METALWORK</t>
  </si>
  <si>
    <t>Allow the Provisional Amount of R6 900 000.00 (Six Million Nine Hundred Thousand Rand) NET for sundry metalwork, to be executed by a sub-contractor</t>
  </si>
  <si>
    <t>WINDOW CLEANING</t>
  </si>
  <si>
    <t>Allow the Provisional Amount of R1 750 000.00 (One Million Seven Hundred and Fifty Thousand Rand) NET for window cleaning, to be executed by a sub-contractor</t>
  </si>
  <si>
    <t>ROPE ACCESS (move to builders work)</t>
  </si>
  <si>
    <t>Allow the Provisional Amount of R50 000.00 (Fifty Thousand Rand) NET for rope access, to be executed by a sub-contractor</t>
  </si>
  <si>
    <t>SCREEN WALLS TO PLANT ROOMS</t>
  </si>
  <si>
    <t>Allow the Provisional Amount of R8 450 000.00 (Eight Million Four Hundred and Fifty Thousand Rand) NET screen walls to plant rooms, to be executed by a sub-contractor</t>
  </si>
  <si>
    <t>MENTIS GRATING</t>
  </si>
  <si>
    <t>Allow the Provisional Amount of R80 000.00 (Eighty Thousand Rand) NET for mentis grating, to be executed by a sub-contractor</t>
  </si>
  <si>
    <t>LIFT INSTALLATION</t>
  </si>
  <si>
    <t>Allow the Provisional Amount of R300 000.00 (Three Hundred Thousand Rand) NET for lift installation, to be executed by a sub-contractor</t>
  </si>
  <si>
    <t>EXTERNAL FEATURE MOULDINGS, ETC.</t>
  </si>
  <si>
    <t>Allow the Provisional Amount of R550 000.00 (Five Hundred and Fifty Thousand Rand) NET for external feature mouldings, etc, to be executed by a sub-contractor</t>
  </si>
  <si>
    <t>WALL CLADDING TO STAFF AREA</t>
  </si>
  <si>
    <t>Allow the Provisional Amount of  R100 000.00 (One Hundred Thousand Rand) NET for wall cladding to staff area, to be executed by a sub-contractor</t>
  </si>
  <si>
    <t>PROVISION FOR PARTITIONS TO BASEMENT &amp; MEZZANINE FLOORS</t>
  </si>
  <si>
    <t>Allow the Provisional Amount of  R1 530 000.00 (One Million Five Hundred and Thirty Thousand Rand) NET for partitions to basement and mezzanine floors, to be executed by a sub-contractor</t>
  </si>
  <si>
    <t>WALL PANELLING EVENT AREA</t>
  </si>
  <si>
    <t>Allow the Provisional Amount of  R300 000.00 (Three Hundred Thousand Rand) NET for wall panelling event area, to be executed by a sub-contractor</t>
  </si>
  <si>
    <t>ARCHITECTURAL FEATURES</t>
  </si>
  <si>
    <t>Allow the Provisional Amount of  R2 800 000.00 (Two Million Eight Hundred Thousand Rand) NET for architectural features, to be executed by a sub-contractor</t>
  </si>
  <si>
    <t>ARCHITECTURAL SCREENING TO BAGGAGE HANDLING EQUIPMENT</t>
  </si>
  <si>
    <t>Allow the Provisional Amount of  R2 450 000.00 (Two Million Four Hundred and Fifty Thousand Rand) NET for architectural screening to baggage handling equipment, to be executed by a sub-contractor</t>
  </si>
  <si>
    <t>WALL CLADDING</t>
  </si>
  <si>
    <t>Allow the Provisional Amount of R10 050 000.00 (Ten Million and Fifty Thousand Rand) NET for wall cladding, to be executed by a sub-contractor</t>
  </si>
  <si>
    <t>ACOUSTIC PANELLING / FEATURE WALLING</t>
  </si>
  <si>
    <t>Allow the Provisional Amount of R16 400 000.00 (Sixteen Million Four Hundred Thousand Rand) NET for acoustic panelling/future walling, to be executed by a sub-contractor</t>
  </si>
  <si>
    <t>HULABOND</t>
  </si>
  <si>
    <t>Allow the Provisional Amount of R22 500 000.00 (Twenty Two Million Five Hundred Thousand Rand) NET for Hulabond, to be executed by a sub-contractor</t>
  </si>
  <si>
    <t>DECORATIVE SCREENS</t>
  </si>
  <si>
    <t>Allow the Provisional Amount of R6 000 000.00 (Six Million Rand) NET for decorative screens, to be executed by a sub-contractor</t>
  </si>
  <si>
    <t>ENTRANCE PORTAL</t>
  </si>
  <si>
    <t>Allow the Provisional Amount of R1 000 000.00 (One Million Rand) NET for entrance portal, to be executed by a sub-contractor</t>
  </si>
  <si>
    <t>SUMP PUMPS</t>
  </si>
  <si>
    <t>Allow the Provisional Amount of R350 000.00 (Three Hundred and Fifty Thousand Rand) NET for sump pumps, to be executed by a sub-contractor</t>
  </si>
  <si>
    <t>QUEUING SYSTEM</t>
  </si>
  <si>
    <t>Allow the Provisional Amount of R7 350 000.00 (Seven Million Three Hundred and Fifty Thousand Rand) NET for queuing system, to be executed by a sub-contractor</t>
  </si>
  <si>
    <t>RELOCATE MEDIA CENTRE</t>
  </si>
  <si>
    <t>Allow the Provisional Amount of R120 000.00 (One Hundred and Twenty Thousand Rand) NET for relocation of media centre, to be executed by a sub-contractor</t>
  </si>
  <si>
    <t>RELOCATE MEDICAL CENTRE</t>
  </si>
  <si>
    <t>Allow the Provisional Amount of R1 000 000.00 (One Million Rand) NET for relocation of medical centre, to be executed by a sub-contractor</t>
  </si>
  <si>
    <t>BAG DROPS</t>
  </si>
  <si>
    <t>Allow the Provisional Amount of R3 200 000.00 (Three Million Two Hundred Thousand Rand) NET for bag drops, to be executed by a sub-contractor</t>
  </si>
  <si>
    <t>EMIGRATION KIOSKS</t>
  </si>
  <si>
    <t>Allow the Provisional Amount of R1 400 000.00 (One Million Four Hundred Thousand Rand) NET for emigration kiosks, to be executed by a sub-contractor</t>
  </si>
  <si>
    <t>TI BIDVEST FE</t>
  </si>
  <si>
    <t>Allow the Provisional Amount of R950 000.00 (Nine Hundred and Fifty Thousand Rand) NET for TI Bidvest FE, to be executed by a sub-contractor</t>
  </si>
  <si>
    <t>CUSTOM CONTROL</t>
  </si>
  <si>
    <t>Allow the Provisional Amount of R1 250 000.00 (One Million Two Hundred and Fifty Thousand Rand) NET for custom control, to be executed by a sub-contractor</t>
  </si>
  <si>
    <t>THEMING TO T2</t>
  </si>
  <si>
    <t>Allow the Provisional Amount of R2 500 000.00 (Two Million Five Hundred Thousand Rand) NET for theming to T2, to be executed by a sub-contractor</t>
  </si>
  <si>
    <t>FF&amp;E TO AIRLINE SUPPORT SERVICES</t>
  </si>
  <si>
    <t>Allow the Provisional Amount of R1 755 000.00 (One Million Seven Hundred and Fifty Five Thousand Rand) NET for FF&amp;E to airline support services, to be executed by a sub-contractor</t>
  </si>
  <si>
    <t>INTERNAL PUBLIC FURNITURE TO T2</t>
  </si>
  <si>
    <t>Allow the Provisional Amount of R3 000 000.00 (Three Million Rand) NET for internal public furniture to T2, to be executed by a sub-contractor</t>
  </si>
  <si>
    <t>FIREARM DISCHARGE BOX</t>
  </si>
  <si>
    <t>Allow the Provisional Amount of R250 000.00 (Two Hundred and Fifty Thousand Rand) NET for firearm discharge box, to be executed by a sub-contractor</t>
  </si>
  <si>
    <t>POST TENSIONING</t>
  </si>
  <si>
    <t>Allow the Provisional Amount of R9 450 000.00 (Nine Million Four Hundred and Fifty Thousand Rand) NET for post tensioning, to be executed by a sub-contractor</t>
  </si>
  <si>
    <t>STREET FURNITURE TO T2</t>
  </si>
  <si>
    <t>Allow the Provisional Amount of R1 000 000.00 (One Million Rand) NET for street furniture to T2, to be executed by a sub-contractor</t>
  </si>
  <si>
    <t>FUTURE POSITION OF T1 LINK</t>
  </si>
  <si>
    <t>Allow the Provisional Amount of R6 100 000.00 (Six Million One Hundred Thousand Rand) NET for future position of T1 link, to be executed by a sub-contractor</t>
  </si>
  <si>
    <t>ARRIVALS HALL ABLUTION RELOCATION</t>
  </si>
  <si>
    <t>Allow the Provisional Amount of R950 000.00 (Nine Hundred and Fifty Thousand Rand) NET for Arrivals Hall ablution relocation, to be executed by a sub-contractor</t>
  </si>
  <si>
    <t>HARD LANDSCAPING (BENCHES, ASHTRAYS, BOLLARDS, ETC.)</t>
  </si>
  <si>
    <t>Allow the Provisional Amount of R750 000.00 (Seven Hundred and Fifty Thousand Rand) NET for hard landscaping (benches, ashtrays, bollards, etc.), to be executed by a sub-contractor</t>
  </si>
  <si>
    <t>SOFT LANDSCAPING</t>
  </si>
  <si>
    <t>Allow the Provisional Amount of R2 000 000.00 (Two Million Rand) NET for soft landscaping, to be executed by a sub-contractor</t>
  </si>
  <si>
    <t>RELOCATE AND RE-POSITION SECURITY / PARKING BOOMS</t>
  </si>
  <si>
    <t>Allow the Provisional Amount of R500 000.00 (Five Hundred Thousand Rand) NET for relocation and re-positioning of security/parking booms, to be executed by a sub-contractor</t>
  </si>
  <si>
    <t>EXISTING FA×ADES</t>
  </si>
  <si>
    <t>Allow the Provisional Amount of R1 500 000.00 (One Million Five Hundred Thousand Rand) NET for existing fa×§ades, to be executed by a sub-contractor</t>
  </si>
  <si>
    <t>SAFETY ACCESS SYSTEM TO ROOF</t>
  </si>
  <si>
    <t>Allow the Provisional Amount of R1 500 000.00 (One Million Five Hundred Thousand Rand) NET for safety access system to roof, to be executed by a sub-contractor</t>
  </si>
  <si>
    <t>FEATURE CANOPY</t>
  </si>
  <si>
    <t>Allow the Provisional Amount of R8 800 000.00 (Eight Million Eight Hundred Thousand Rand) NET for feature canopy, to be executed by a sub-contractor</t>
  </si>
  <si>
    <t>ACOUSTIC TREATMENT TO ROOF</t>
  </si>
  <si>
    <t>Allow the Provisional Amount of  R3 000 000.00 (Three Million Rand) NET for acoustic treatment to roof, to be executed by a sub-contractor</t>
  </si>
  <si>
    <t>PROVISION FOR BOX GUTTER TO MAIN ROOF</t>
  </si>
  <si>
    <t>Allow the Provisional Amount of  R360 000.00 (Three Hundred and Sixty Thousand Rand) NET for provision for box gutter to main roof, to be executed by a sub-contractor</t>
  </si>
  <si>
    <t>MENTIS GRATING &amp; BALUSTRADING TO ROOF LEVEL</t>
  </si>
  <si>
    <t>Allow the Provisional Amount of  R3 800 000.00 (Three Million Eight Hundred Thousand Rand) NET for mentis grating and balustrading to roof level, to be executed by a sub-contractor</t>
  </si>
  <si>
    <t>GLASS LIFT STRUCTURE</t>
  </si>
  <si>
    <t>Allow the Provisional Amount of  R5 000 000.00 (Five Million Rand) NET for glass lift structure, to be executed by a sub-contractor</t>
  </si>
  <si>
    <t>ALUMINIUM LOUVRES</t>
  </si>
  <si>
    <t>Allow the Provisional Amount of R1 350 000.00 (One Million Three Hundred and Fifty Thousand Rand) NET for aluminium louvres, to be executed by a sub-contractor</t>
  </si>
  <si>
    <t>FIRE PROOFING</t>
  </si>
  <si>
    <t>Allow the Provisional Amount of R3 200 000.00 (Three Million Two Hundred Thousand Rand) NET for fire proofing, to be executed by a sub-contractor</t>
  </si>
  <si>
    <t>BAGGAGE SORTATION SYSTEM EXTENSION &amp; EARLY BAG STORE</t>
  </si>
  <si>
    <t>Allow the Provisional Amount of R155 000 000.00 (One Hundred and Fifty Five Million Rand) NET for baggage sortation system extension and early bag store, to be executed by a sub-contractor</t>
  </si>
  <si>
    <t>ADDITIONAL CHECK-IN COUNTERS</t>
  </si>
  <si>
    <t>Allow the Provisional Amount of R49 000 000.00 (Forty Nine Million Rand) NET for additional check-in counters, to be executed by a sub-contractor</t>
  </si>
  <si>
    <t>PRIMARY STRUCTURAL STEEL IN MEZZANINE FLOOR FOR BAGGAGE SORTATION SYSTEM</t>
  </si>
  <si>
    <t>Allow the Provisional Amount of R22 300 000.00 (Twenty Two Million Three Hundred Thousand Rand) NET for primary steel in mezzanine floor for baggage sortation system, to be executed by a sub-contractor</t>
  </si>
  <si>
    <t>ICT</t>
  </si>
  <si>
    <t>Allow the Provisional Amount of R102 950 000.00 (One Hundred and Two Million Nine Hundred and Fifty Thousand Rand) NET for ICT, to be executed by a sub-contractor</t>
  </si>
  <si>
    <t xml:space="preserve">4mm Composite sheet cladding extruded from 1100 H18 alloy with 0.5mm skin gauge all </t>
  </si>
  <si>
    <t>Toilet cubicles consisting of 12mm thick partitions, doors and stiles of compact high pressure laminated construction with outer skins of vitreous enamelled steel sheets bonded to wood particle board, all framed in natural anodised aluminium channel section beading, top rails and fixing components and fitted with all necessary ironmongery comprising standard indicating bolts, combined coat hooks and door stops, toilet roll holders and rubber buffers</t>
  </si>
  <si>
    <t>Design, supply and installation of mild steel bumper rails type T1, approximately 300mm above finished floor level, including fixing to concrete slabs, complete as per architects specifications.</t>
  </si>
  <si>
    <t>Bi-parting glass automatic sliding door, size approximately 11100 x 2800mm high overall and two side fixed glazed panels, comprising two bi-parting sliding doors approximately 2460mm long each, with and including all automated sliding door gear, sensors and ironmongery, located between Customs Control and Transport Vendors.</t>
  </si>
  <si>
    <t>Design, supply and installation of glazed powder coated aluminium door with and including glazed sidelight and fanlight, produced from extruded aluminium alloy and non-rusting fasteners, in strict accordance to AAAMSA requirements and to meet the relevant performance criteria, with 6.38mm thick laminated safety glass to comply with AAAMSA, SANS 10400 part N glazing, SANS 10137, SANS 10160 and SANS 1263, including all necessary ironmongery plugged to concrete or brickwork, wall opening to suit approximate size 1440 x 2500mm high overall, complete.</t>
  </si>
  <si>
    <t>Design, supply and installation of powder coated (Colour: tbc) aluminium shopfronts type 3.1, with and including double door type GS-13, in strict accordance to AAAMSA requirements and to meet the relevant performance criteria, with 6.38mm thick laminated safety glass to comply with AAAMSA, SANS 10400 part N glazing, SANS 10137, SANS 10160 and SANS 1263 complete including all necessary ironmongery plugged to concrete or brickwork.</t>
  </si>
  <si>
    <t xml:space="preserve">Glazed aluminium shopfront approximately 3710 x 2800mm high overall, complete. </t>
  </si>
  <si>
    <t xml:space="preserve">Glazed aluminium shopfront approximately 4000 x 3405mm high overall, complete. </t>
  </si>
  <si>
    <t xml:space="preserve">Glazed aluminium shopfront approximately 3740 x 3405mm high overall, complete. </t>
  </si>
  <si>
    <t xml:space="preserve">Glazed aluminium shopfront approximately 3685 x 3405mm high overall, complete. </t>
  </si>
  <si>
    <t>Glazed aluminium shopfront approximately 5340 x 3000mm high overall, complete.</t>
  </si>
  <si>
    <t xml:space="preserve">Glazed aluminium shopfront approximately 5385 x 3000mm high overall, complete. </t>
  </si>
  <si>
    <t xml:space="preserve">Glazed aluminium shopfront approximately 3184 x 3000mm high overall, complete. </t>
  </si>
  <si>
    <t xml:space="preserve">Glazed aluminium shopfront approximately 3114 x 3000mm high overall, complete. </t>
  </si>
  <si>
    <t xml:space="preserve">Glazed aluminium shopfront approximately 7164 x 2800mm high overall, complete. </t>
  </si>
  <si>
    <t>Design, supply and installation of glazed powder coated (Colour: tbc) aluminium shopfronts type 3.1, with and including 2(No.) double doors type GS-13, in strict accordance to AAAMSA requirements and to meet the relevant performance criteria, with 6.38mm thick laminated safety glass to comply with AAAMSA, SANS 10400 part N glazing, SANS 10137, SANS 10160 and SANS 1263 complete including all necessary ironmongery plugged to concrete or brickwork, complete.</t>
  </si>
  <si>
    <t xml:space="preserve">Glazed aluminium shopfront approximately 4495 x 3000mm high overall, complete. </t>
  </si>
  <si>
    <t xml:space="preserve">Glazed aluminium shopfront approximately 5883 x 2400mm high overall, complete. </t>
  </si>
  <si>
    <t>Glazed aluminium shopfront approximately 3724 x 3000mm high overall, complete.</t>
  </si>
  <si>
    <t xml:space="preserve">Glazed aluminium shopfront approximately 3780 x 3000mm high overall, complete. </t>
  </si>
  <si>
    <t xml:space="preserve">Glazed aluminium shopfront approximately 4316 x 3000mm high overall, complete. </t>
  </si>
  <si>
    <t xml:space="preserve">Glazed aluminium shopfront approximately 6140 x 3000mm high overall, complete. </t>
  </si>
  <si>
    <t>Glazed aluminium shopfront approximately 7906/7888 x 2400mm high overall, L-shaped on plan, complete.</t>
  </si>
  <si>
    <t xml:space="preserve">Glazed aluminium shopfront approximately 10583 x 2400mm high overall, complete. </t>
  </si>
  <si>
    <t>Glazed aluminium shopfront approximately 12898 x 2400mm high overall, complete.</t>
  </si>
  <si>
    <t>Design, supply and installation of glazed powder coated (Colour: tbc) aluminium shopfronts type 3.1, with frame for double door type DD-9 (timber door elsewhere measured), in strict accordance to AAAMSA requirements and to meet the relevant performance criteria, with 6.38mm thick laminated safety glass to comply with AAAMSA, SANS 10400 part N glazing, SANS 10137, SANS 10160 and SANS 1263 complete including all necessary ironmongery plugged to concrete or brickwork, complete.</t>
  </si>
  <si>
    <t xml:space="preserve">Glazed aluminium shopfront approximately 5710 x 2800mm high overall, complete. </t>
  </si>
  <si>
    <t xml:space="preserve">Glazed aluminium shopfront approximately 11000 x 2400mm high overall, complete. </t>
  </si>
  <si>
    <t>Glazed aluminium shopfront approximately 12700/4090 x 2600mm high overall, L-shaped on plan, complete.</t>
  </si>
  <si>
    <t xml:space="preserve">Glazed aluminium shopfront approximately 13235 x 2600mm high overall, complete. </t>
  </si>
  <si>
    <t xml:space="preserve">Glazed aluminium shopfront approximately 5972/6800 x 2600mm high overall, L-shaped om plan, complete. </t>
  </si>
  <si>
    <t>Glazed aluminium shopfront approximately 5770 x 2600mm high overall, complete.</t>
  </si>
  <si>
    <t>Glazed aluminium shopfront approximately 6032 x 2600mm high overall, complete.</t>
  </si>
  <si>
    <t xml:space="preserve">Glazed aluminium shopfront approximately  5131 x 2600mm high overall, complete. </t>
  </si>
  <si>
    <t>Glazed aluminium shopfront approximately 4648 x 3000mm high overall, complete.</t>
  </si>
  <si>
    <t xml:space="preserve">Glazed aluminium shopfront approximately 4856 x 3000mm high overall, complete. </t>
  </si>
  <si>
    <t>Design, supply and installation of powder coated (Colour: tbc) aluminium shopfronts type 3.3, in strict accordance to AAAMSA requirements and to meet the relevant performance criteria, with 6.38mm thick laminated safety glass with one way vision film fitted to internal side of glass to comply with AAAMSA, SANS 10400 part N glazing, SANS 10137, SANS 10160 and SANS 1263 complete including all necessary ironmongery plugged to concrete or brickwork, complete.</t>
  </si>
  <si>
    <t xml:space="preserve">Glazed aluminium shopfront approximately 5912 x 2600mm high overall, complete. </t>
  </si>
  <si>
    <t>Glazed aluminium shopfront approximately 5972 x 2600mm high overall, complete.</t>
  </si>
  <si>
    <t xml:space="preserve">Glazed aluminium shopfront approximately 13433 x 2600mm high overall, complete. </t>
  </si>
  <si>
    <t>Glazed aluminium shopfront approximately 5871 x 2600mm high overall, complete.</t>
  </si>
  <si>
    <t xml:space="preserve">Glazed aluminium shopfront approximately 5119 x 2600mm high overall, complete. </t>
  </si>
  <si>
    <t xml:space="preserve">Glazed aluminium shopfront approximately 5842 x 2600mm high overall, complete. </t>
  </si>
  <si>
    <t>Bi-parting glass automatic sliding door, size approximately 10150 x 2800mm high overall and two side fixed glazed panels, comprising two bi-parting sliding doors approximately 1147mm long each, with and including all automated sliding door gear, sensors and ironmongery.</t>
  </si>
  <si>
    <t>Design, supply and installation of purpose made powder coated (Colour: tbc) aluminium framed sliding door type GS-11, in strict accordance to AAAMSA requirements and to meet the relevant performance criteria, with 6.8mm laminated safety glass to comply with AAAMSA, SANS 10400 part N glazing, SANS 10137, SANS 10160 and SANS 1263 complete including all necessary ironmongery plugged to concrete or brickwork, complete.</t>
  </si>
  <si>
    <t>Design, supply and installation of powder coated (Colour: tbc) aluminium window type W-1, in strict accordance to AAAMSA requirements and to meet the relevant performance criteria, category SANS 10160 and to withstand wind loads as per SANS 10160/2010, with 6mm borosilicate glass to achieve 1 hour fire rating to comply with AAAMSA, SANS 10400 part N glazing, SANS 10137, SANS 10160 and SANS 1263 complete including all necessary ironmongery plugged to concrete or brickwork, complete.</t>
  </si>
  <si>
    <t>Design, supply and installation of glazed stainless steel screen type 5, approximately 1800mm above finished floor level, in strict accordance to AAAMSA requirements and to meet the relevant performance criteria, with 6.38mm thick laminated safety glass to comply with AAAMSA, SANS 10400 part N glazing, SANS 10137, SANS 10160 and SANS 1263 complete including all fixing to concrete floors.</t>
  </si>
  <si>
    <t>Design, supply and installation of glazed stainless steel balustrade type T1, approximately 1100mm high, including fixing to concrete slab, complete.</t>
  </si>
  <si>
    <t>Square shaped bumper rail, approximately 4800mm in girth, to 900 x 900mm column, complete.</t>
  </si>
  <si>
    <t>Three-quarter-circular shaped bumper rail, approximately 1100mm diameter, to 900mm diameter column, complete.</t>
  </si>
  <si>
    <t>Semi-circular shaped bumper rail, approximately 1100mm diameter, to 900mm diameter column, complete.</t>
  </si>
  <si>
    <t>Circular shaped bumper rail, approximately 1100mm diameter, fixed to 900mm diameter column, complete.</t>
  </si>
  <si>
    <t>Design, supply and installation of stainless steel horizontal bumper rail type T2, including fixing to concrete slabs, complete.</t>
  </si>
  <si>
    <t>Design, supply and installation of galvanised mild steel balustrade type T2, approximately 1000mm above finished floor level, including fixing.</t>
  </si>
  <si>
    <t>Type 1 dowel (HLDQ-L30) lockable shear load connector dowel embedded in concrete at expansion joint, with and including epoxy resin, fixing and hole through formwork, complete.</t>
  </si>
  <si>
    <t>Type 2 dowel (ESDQ-L20) lockable shear load connector dowel embedded in concrete at expansion joint, with and including epoxy resin, fixing and hole through formwork, complete.</t>
  </si>
  <si>
    <t>Design, supply &amp; installation of the dewatering system of seepage water and water from other subterranean sources complete as per engineers drawings &amp; specifications including establishment, relocation, maintaining and removal of dewatering system on completion.</t>
  </si>
  <si>
    <t>Design, supply and install 0.8mm thick galvanised steel permanent decking system to soffits into/onto structural steel beam supports/trusses including shear studs (structural steel by others) complete</t>
  </si>
  <si>
    <t>Design, supply and install 1.2mm thick galvanised steel permanent decking system to soffits into/onto structural steel beam supports/trusses including shear studs (structural steel by others), complete.</t>
  </si>
  <si>
    <t>Design, supply &amp; install complete 150mm thick pre-cast pre-stressed hollow-core slabs in suitable lengths, closely butted at ends including bedding edges along both sides, with and including necessary supports (steel angle by others), complete</t>
  </si>
  <si>
    <t xml:space="preserve">100 x 10mm thick plate hot dipped galvanised wall stiffener, with and including 150 x 75mm x 10kg/m angle cleats with chemical anchor bolts, complete </t>
  </si>
  <si>
    <t xml:space="preserve">200 x 10mm thick plate hot dipped galvanised wall stiffener, with and including 150 x 75mm x 10kg/m angle cleats with chemical anchor bolts, complete </t>
  </si>
  <si>
    <t xml:space="preserve">250 x 10mm thick plate hot dipped galvanised wall stiffener, with and including 150 x 75mm x 10kg/m angle cleats with chemical anchor bolts, complete </t>
  </si>
  <si>
    <t>Design, supply &amp; install pre-painted / treated feature acoustic ceiling, consisting of perforated and non-perforated acoustic ceilings type 2 ,CLG6 approximately 915mÂ² fixed to concrete soffits with and including pre-painted exposed tee suspension system and supporting steel substructure including main and cross tees, necessary hangers, grids, etc. complete</t>
  </si>
  <si>
    <t>Design, supply &amp; install pre-painted / treated feature acoustic ceiling, consisting of plasterboard ceilings, approximately 530mÂ² with tape fixed over joints and the whole finished with gypsum plaster trowelled to a smooth polished surface, perforated and non-perforated acoustic ceilings type 2  approximately 1000mÂ², acoustic timber ceilings panels (65 No) as per architects specification CLG7, all fixed to concrete soffits with and including pre-painted exposed tee suspension system and supporting steel substructure including main and cross tees, necessary hangers, grids, etc. complete</t>
  </si>
  <si>
    <t xml:space="preserve">Design, supply and installation of galvanised mild steel bumper rail type T1, consisting of 2 (No.) horizontal rails, including fixing to concrete column, complete </t>
  </si>
  <si>
    <t xml:space="preserve">Design, supply and installation of mild steel handrails type T1, approximately 900mm above finished floor level, including fixing to walls, complete </t>
  </si>
  <si>
    <t>Design, supply and installation of stainless steel queuing rails type T1, approximately 925mm above finished floor level, including fixing to concrete slabs, complete</t>
  </si>
  <si>
    <t xml:space="preserve">Design, supply and installation of stainless steel queuing rail swing gate type T1, size approximately 980x925mm high, including fixing to concrete slabs, complete </t>
  </si>
  <si>
    <t xml:space="preserve">Design, supply and installation of powder coated (Colour: tbc) aluminium window type W-2, in strict accordance to AAAMSA requirements and to meet the relevant performance criteria, 6.38mm thick laminated safety glass with one way vision film fitted to internal side of glass, to comply with AAAMSA, SANS 10400 part N glazing, SANS 10137, SANS 10160 and SANS 1263 complete including all necessary ironmongery plugged to concrete or brickwork, complete </t>
  </si>
  <si>
    <t>Design, supply and installation of glazed powder coated (Colour: tbc) aluminium shopfronts type 3.1, with one single door type GS-1, in strict accordance to AAAMSA requirements and to meet the relevant performance criteria, with 6.38mm thick laminated safety glass to comply with AAAMSA, SANS 10400 part N glazing, SANS 10137, SANS 10160 and SANS 1263 complete including all necessary ironmongery plugged to concrete or brickwork, complete</t>
  </si>
  <si>
    <t xml:space="preserve">Design, supply and installation of glazed powder coated (Colour: tbc) aluminium shopfronts type 3.2, in strict accordance to AAAMSA requirements and to meet the relevant performance criteria, with 6.38mm thick laminated safety glass to comply with AAAMSA, SANS 10400 part N glazing, SANS 10137, SANS 10160 and SANS 1263 complete including all necessary ironmongery plugged to concrete or brickwork, complete </t>
  </si>
  <si>
    <t xml:space="preserve">Glazed aluminium screen approximately 5950/24330 x 2800mm high overall, L-shaped on plan, complete. </t>
  </si>
  <si>
    <t>Design, supply and installation of glazed powder coated (Colour: tbc) aluminium shopfronts type 3.3, in strict accordance to AAAMSA requirements and to meet the relevant performance criteria, with 6.38mm thick laminated safety glass to comply with AAAMSA, SANS 10400 part N glazing, SANS 10137, SANS 10160 and SANS 1263 complete including all necessary ironmongery plugged to concrete or brickwork, complete.</t>
  </si>
  <si>
    <t xml:space="preserve">Glazed aluminium screen approximately 5645 x 2400mm high overall, complete. </t>
  </si>
  <si>
    <t xml:space="preserve">Glazed aluminium screen approximately 5125 x 2400mm high overall, complete. </t>
  </si>
  <si>
    <t>Glazed aluminium screen approximately 12300 x 2800mm high overall, complete.</t>
  </si>
  <si>
    <t xml:space="preserve">Glazed aluminium screen approximately 2820/4975 x 2800mm high overall, T-shaped on plan, complete. </t>
  </si>
  <si>
    <t>Glazed aluminium screen approximately 2245/1640 x 2400mm high overall, L-shaped on plan, complete. L</t>
  </si>
  <si>
    <t xml:space="preserve">Glazed aluminium screen approximately 7830 x 2800mm high overall, complete. </t>
  </si>
  <si>
    <t xml:space="preserve">Glazed aluminium screen approximately 11600 x 2800mm high overall, complete. </t>
  </si>
  <si>
    <t>Glazed aluminium screen approximately 7518 x 3000mm high overall, complete.</t>
  </si>
  <si>
    <t xml:space="preserve">Glazed aluminium screen approximately 4990/5565 x 3000mm high overall, L-shaped on plan, complete. </t>
  </si>
  <si>
    <t xml:space="preserve">Glazed aluminium screen approximately 2834 x 3000mm high overall, complete. </t>
  </si>
  <si>
    <t xml:space="preserve">Glazed aluminium screen approximately 8923 x 3000mm high overall, complete. </t>
  </si>
  <si>
    <t xml:space="preserve">Glazed aluminium screen approximately 6423 x 3000mm high overall, complete. </t>
  </si>
  <si>
    <t xml:space="preserve">Glazed aluminium screen approximately 7173 x 3000mm high overall, complete. </t>
  </si>
  <si>
    <t xml:space="preserve">Glazed aluminium screen approximately 5573 x 3000mm high overall, complete. </t>
  </si>
  <si>
    <t xml:space="preserve">Glazed aluminium screen approximately 19885 x 3000mm high overall, complete. </t>
  </si>
  <si>
    <t>Design, supply and installation of powder coated (Colour: tbc) aluminium framed stack-away doors type SFD-2, in strict accordance to AAAMSA requirements and to meet the relevant performance criteria, with 6.8mm laminated safety glass to comply with AAAMSA, SANS 10400 part N glazing, SANS 10137, SANS 10160 and SANS 1263 complete including all necessary ironmongery plugged to concrete or brickwork, complete.</t>
  </si>
  <si>
    <t xml:space="preserve">Glass side stack automatic sliding door, size approximately 3600 x 3000mm high overall with and including automated stack door gear, sensors and ironmongery, complete. </t>
  </si>
  <si>
    <t xml:space="preserve">Glass side stack automatic sliding door, size approximately 4800 x 3000mm high overall with and including automated stack door gear, sensors and ironmongery, complete. </t>
  </si>
  <si>
    <t xml:space="preserve">Glass side stack automatic sliding door, size approximately 3600 x 3205mm high overall with and including automated stack door gear, sensors and ironmongery, complete. </t>
  </si>
  <si>
    <t>Design, supply and installation of powder coated (Colour: tbc) aluminium framed stack-away doors type SFD-3, in strict accordance to AAAMSA requirements and to meet the relevant performance criteria, with 6.8mm laminated safety glass to comply with AAAMSA, SANS 10400 part N glazing, SANS 10137, SANS 10160 and SANS 1263 complete including all necessary ironmongery plugged to concrete or brickwork, complete.</t>
  </si>
  <si>
    <t>Glass side stack automatic bi-parting sliding door, size approximately 5150/5200 x 3000mm high overall with and including automated stack door gear, sensors and ironmongery, complete.</t>
  </si>
  <si>
    <t xml:space="preserve">Glass side stack automatic bi-parting sliding door, size approximately 11040 x 3000mm high overall with and including automated stack door gear, sensors and ironmongery, complete. </t>
  </si>
  <si>
    <t xml:space="preserve">Glass side stack automatic bi-parting sliding door, size approximately 10850 x 3000mm high overall with and including automated stack door gear, sensors and ironmongery, complete. </t>
  </si>
  <si>
    <t>Glass side stack automatic bi-parting sliding door, size approximately 4240 x 3000mm high overall with and including automated stack door gear, sensors and ironmongery, complete.</t>
  </si>
  <si>
    <t xml:space="preserve">Glass side stack automatic bi-parting sliding door, size approximately 6360 x 3000mm high overall with and including automated stack door gear, sensors and ironmongery, complete. </t>
  </si>
  <si>
    <t xml:space="preserve">Glass side stack automatic bi-parting sliding door, size approximately 8860 x 3000mm high overall with and including automated stack door gear, sensors and ironmongery, complete. </t>
  </si>
  <si>
    <t>Automated 77mm micro domestic powder coated aluminium roller shutter door fixed to brickwork, concrete soffits with 80mm aluminium guides, and end-brackets with 350mm cover box, all complete.</t>
  </si>
  <si>
    <t>Galvanised mild steel roller shutter doors manufactured with galvanised 100mm slats including guide rails and hood, fixed to brickwork or concrete, all complete</t>
  </si>
  <si>
    <t xml:space="preserve">Strongroom door and frame suitable for one brick wall, consisting of 60mm barrier material finished with grey zinc chromate rust resistant primer with a mass of 540kg, must also be SANS 949:2005 approved, with and including all necessary ironmongery, fixed to concrete, brickwork, steel, etc. all in strict accordance to manufacturer's specifications and architects details and specification. </t>
  </si>
  <si>
    <t>Design, supply and installation of purpose made  powder coated (Colour: tbc) aluminium cashier screen type W-4.2, in strict accordance to AAAMSA requirements and to meet the relevant performance criteria, with 28mm thick bullet proof glass to comply with AAAMSA, SANS 10400 part N glazing, SANS 10137, SANS 10160 and SANS 1263 complete including all necessary ironmongery plugged to drywall partitioning.</t>
  </si>
  <si>
    <t>2020 RATE</t>
  </si>
  <si>
    <t>150mm² x 3c 11kV Cu PILC Cable removal and handover</t>
  </si>
  <si>
    <t>March 2022 (ZAR)</t>
  </si>
  <si>
    <t>Reference 2021 Q4 Table 2 - BER Building Cost Index</t>
  </si>
  <si>
    <t>Base Date Nov 2017 (ZAR)
Current date March 2022 (ZAR)</t>
  </si>
  <si>
    <t>Updated: Fourth Quarter 2021</t>
  </si>
  <si>
    <t>13 000 - 68 000</t>
  </si>
  <si>
    <t>Taxiways incl. associated infrastructure (70m wide Code F)</t>
  </si>
  <si>
    <t>Runway incl. associated infrastructure (3,885m long x 60m wide, Code F)</t>
  </si>
  <si>
    <t>Structured parking /bay</t>
  </si>
  <si>
    <t>Basement parking/bay</t>
  </si>
  <si>
    <t>Current date
March 2022</t>
  </si>
  <si>
    <t>2022 RATE</t>
  </si>
  <si>
    <t>Current Rate March 2022 (ZAR)</t>
  </si>
  <si>
    <t>Between R2.5m to R3.3m depends on the length.</t>
  </si>
  <si>
    <t>Rate (2021)</t>
  </si>
  <si>
    <t>Rate (2022)</t>
  </si>
  <si>
    <t>Tender Submission</t>
  </si>
  <si>
    <t>ORACLE PROJECT NO:  9999 : TERMINAL B REFURBISHMENT</t>
  </si>
  <si>
    <t>HOTEL TAXIWAY</t>
  </si>
  <si>
    <t>MECHANICAL PROJECTS</t>
  </si>
  <si>
    <t>AWELANI NETSHIVHANGONI</t>
  </si>
  <si>
    <t>Hotel taxi way inclusive of the following disciplines:
1) Civil works
2) Electrical works
3) Mechanical installations
4) Structural works
7) Technology upgrades &amp; controls (i.e.: BMS,Sensors)
Project includes installationof  new track, temporary platform for aircraft to pass on during construction , focusing on reliability and compliance items. A comprehensive condition assesment needs to be conducted at the beginning of the project.
Motor tripping on start up on gate close to Fire station, repeatedly.
Old parts being replaced as they fail, rendering the gate unreliable.These facilities require urgent replacement. 
The proposed replacement will reduce operational costs and improve safety and compliance. Mechanical Maintenance Department seeks to replace the hotel taxiway throughout at Cape Town International Airport. The current design is too heavy making the maintenance of the gate difficult e and are unreliable. This has led togatefailing open  for long periods with visotr accidently crossing the into the runaway and introducers freeely accessing the airside.This has also been an audit fidning. which can lead negative impact on ACSA’s reputation which could in turn negatively affect the business. The project also seeks to address the safety and security.</t>
  </si>
  <si>
    <t>EA</t>
  </si>
  <si>
    <t>ea</t>
  </si>
  <si>
    <t>Electrical works</t>
  </si>
  <si>
    <t>Mechanical Works (New) rates excluding P&amp;G, Contingency, Fees &amp; Disbursments</t>
  </si>
  <si>
    <t>P&amp;G on Mechanical Works</t>
  </si>
  <si>
    <t>P&amp;G on Electrical works</t>
  </si>
  <si>
    <t>Controls Work rates excluding P&amp;G, Contingency, Fees &amp; Disbursments</t>
  </si>
  <si>
    <t>Aportioning</t>
  </si>
  <si>
    <t>value I want to change</t>
  </si>
  <si>
    <t>value I want to get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</si>
</sst>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1">
    <numFmt numFmtId="44" formatCode="_-&quot;R&quot;* #,##0.00_-;\-&quot;R&quot;* #,##0.00_-;_-&quot;R&quot;* &quot;-&quot;??_-;_-@_-"/>
    <numFmt numFmtId="43" formatCode="_-* #,##0.00_-;\-* #,##0.00_-;_-* &quot;-&quot;??_-;_-@_-"/>
    <numFmt numFmtId="164" formatCode="&quot;$&quot;#,##0_);\(&quot;$&quot;#,##0\)"/>
    <numFmt numFmtId="165" formatCode="_(* #,##0.00_);_(* \(#,##0.00\);_(* &quot;-&quot;??_);_(@_)"/>
    <numFmt numFmtId="166" formatCode="&quot;R&quot;\ #,##0;&quot;R&quot;\ \-#,##0"/>
    <numFmt numFmtId="167" formatCode="_ &quot;R&quot;\ * #,##0.00_ ;_ &quot;R&quot;\ * \-#,##0.00_ ;_ &quot;R&quot;\ * &quot;-&quot;??_ ;_ @_ "/>
    <numFmt numFmtId="168" formatCode="_ * #,##0.00_ ;_ * \-#,##0.00_ ;_ * &quot;-&quot;??_ ;_ @_ "/>
    <numFmt numFmtId="169" formatCode="_(* #,##0_);_(* \(#,##0\);_(* &quot;-&quot;??_);_(@_)"/>
    <numFmt numFmtId="170" formatCode="0."/>
    <numFmt numFmtId="171" formatCode="&quot;R&quot;\ #,##0.00"/>
    <numFmt numFmtId="172" formatCode="&quot;R&quot;\ #,##0"/>
    <numFmt numFmtId="173" formatCode="mmm\-yyyy"/>
    <numFmt numFmtId="174" formatCode="\ mmmm\-yyyy"/>
    <numFmt numFmtId="175" formatCode="mmm\-yyyy;@"/>
    <numFmt numFmtId="176" formatCode="0.0"/>
    <numFmt numFmtId="177" formatCode="0.0%"/>
    <numFmt numFmtId="178" formatCode="_ * #,##0_ ;_ * \-#,##0_ ;_ * &quot;-&quot;??_ ;_ @_ "/>
    <numFmt numFmtId="179" formatCode="_ [$R-1C09]\ * #,##0.00_ ;_ [$R-1C09]\ * \-#,##0.00_ ;_ [$R-1C09]\ * &quot;-&quot;??_ ;_ @_ "/>
    <numFmt numFmtId="180" formatCode="[$-1C09]dd\ mmmm\ yyyy;@"/>
    <numFmt numFmtId="181" formatCode="&quot;R&quot;#,##0.0_);\(&quot;R&quot;#,##0.0\)"/>
    <numFmt numFmtId="182" formatCode="_-* #,##0_-;\-* #,##0_-;_-* &quot;-&quot;??_-;_-@_-"/>
    <numFmt numFmtId="183" formatCode="#."/>
    <numFmt numFmtId="184" formatCode="0.000_)"/>
    <numFmt numFmtId="185" formatCode="0.00_)"/>
    <numFmt numFmtId="186" formatCode="_ * #,##0.00000_ ;_ * \-#,##0.00000_ ;_ * &quot;-&quot;??_ ;_ @_ "/>
    <numFmt numFmtId="187" formatCode="&quot;R&quot;#,##0.00"/>
    <numFmt numFmtId="188" formatCode="&quot;R&quot;#,##0"/>
    <numFmt numFmtId="189" formatCode="#,##0.000"/>
    <numFmt numFmtId="190" formatCode="0.000"/>
    <numFmt numFmtId="191" formatCode="0%;\x;&quot; -  &quot;"/>
    <numFmt numFmtId="192" formatCode="&quot;Base date:&quot;\ d\ mmm\ \'yy"/>
    <numFmt numFmtId="193" formatCode="&quot;R&quot;\ #,##0&quot;/m²&quot;"/>
    <numFmt numFmtId="194" formatCode="#,##0&quot;m&quot;"/>
    <numFmt numFmtId="195" formatCode="#,##0&quot;m²&quot;"/>
    <numFmt numFmtId="196" formatCode="#,##0.0&quot;m&quot;"/>
    <numFmt numFmtId="197" formatCode="_ &quot;R&quot;\ * #,##0_ ;_ &quot;R&quot;\ * \-#,##0_ ;_ &quot;R&quot;\ * &quot;-&quot;??_ ;_ @_ "/>
    <numFmt numFmtId="198" formatCode="&quot;R&quot;\ #,##0&quot;/m³&quot;"/>
    <numFmt numFmtId="199" formatCode="&quot;R&quot;\ #,##0&quot;/m&quot;"/>
    <numFmt numFmtId="200" formatCode="0.\)"/>
    <numFmt numFmtId="201" formatCode="_(&quot;R&quot;\ * #,##0.00_);_(&quot;R&quot;\ * \(#,##0.00\);_(&quot;R&quot;\ * &quot;-&quot;??_);_(@_)"/>
    <numFmt numFmtId="202" formatCode="_(&quot;R&quot;\ * #,##0_);_(&quot;R&quot;\ * \(#,##0\);_(&quot;R&quot;\ * &quot;-&quot;??_);_(@_)"/>
    <numFmt numFmtId="203" formatCode="#,##0&quot;No&quot;"/>
    <numFmt numFmtId="204" formatCode="&quot;R&quot;\ #,##0&quot;/No&quot;"/>
    <numFmt numFmtId="205" formatCode="d\ mmm\ \'yy"/>
    <numFmt numFmtId="206" formatCode="#,##0&quot;mths&quot;"/>
    <numFmt numFmtId="207" formatCode="#,##0.0_);[Red]\(#,##0.0\);&quot;-&quot;"/>
    <numFmt numFmtId="208" formatCode="#,##0_);[Red]\(#,##0\);&quot;-&quot;"/>
    <numFmt numFmtId="209" formatCode="#,##0.00_);[Red]\(#,##0.00\);&quot;-&quot;"/>
    <numFmt numFmtId="210" formatCode="#,##0&quot;m&quot;;&quot;&quot;;&quot;-&quot;"/>
    <numFmt numFmtId="211" formatCode="#,##0&quot;m wide&quot;"/>
    <numFmt numFmtId="212" formatCode="&quot;x&quot;\ #,##0&quot;m&quot;"/>
  </numFmts>
  <fonts count="146">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color theme="0"/>
      <name val="Arial"/>
      <family val="2"/>
    </font>
    <font>
      <sz val="11"/>
      <color theme="1"/>
      <name val="Arial"/>
      <family val="2"/>
    </font>
    <font>
      <sz val="10"/>
      <name val="Arial"/>
      <family val="2"/>
    </font>
    <font>
      <b/>
      <u/>
      <sz val="11"/>
      <color theme="0"/>
      <name val="Calibri"/>
      <family val="2"/>
      <scheme val="minor"/>
    </font>
    <font>
      <u/>
      <sz val="11"/>
      <color theme="0"/>
      <name val="Calibri"/>
      <family val="2"/>
      <scheme val="minor"/>
    </font>
    <font>
      <sz val="11"/>
      <color indexed="8"/>
      <name val="Calibri"/>
      <family val="2"/>
    </font>
    <font>
      <sz val="9"/>
      <name val="Univers (WN)"/>
    </font>
    <font>
      <sz val="10"/>
      <name val="Tahoma"/>
      <family val="2"/>
    </font>
    <font>
      <b/>
      <u/>
      <sz val="12"/>
      <name val="Tahoma"/>
      <family val="2"/>
    </font>
    <font>
      <b/>
      <sz val="12"/>
      <name val="Tahoma"/>
      <family val="2"/>
    </font>
    <font>
      <b/>
      <i/>
      <sz val="10"/>
      <name val="Tahoma"/>
      <family val="2"/>
    </font>
    <font>
      <b/>
      <sz val="12"/>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b/>
      <sz val="18"/>
      <name val="Arial"/>
      <family val="2"/>
    </font>
    <font>
      <b/>
      <sz val="10"/>
      <name val="Arial"/>
      <family val="2"/>
    </font>
    <font>
      <b/>
      <sz val="9"/>
      <color indexed="81"/>
      <name val="Tahoma"/>
      <family val="2"/>
    </font>
    <font>
      <sz val="9"/>
      <color indexed="81"/>
      <name val="Tahoma"/>
      <family val="2"/>
    </font>
    <font>
      <b/>
      <sz val="10"/>
      <color theme="0"/>
      <name val="Arial"/>
      <family val="2"/>
    </font>
    <font>
      <b/>
      <sz val="11"/>
      <color theme="0"/>
      <name val="Arial"/>
      <family val="2"/>
    </font>
    <font>
      <b/>
      <sz val="12"/>
      <color theme="0"/>
      <name val="Arial"/>
      <family val="2"/>
    </font>
    <font>
      <b/>
      <sz val="16"/>
      <color theme="0"/>
      <name val="Arial"/>
      <family val="2"/>
    </font>
    <font>
      <b/>
      <sz val="16"/>
      <color theme="0"/>
      <name val="Calibri"/>
      <family val="2"/>
      <scheme val="minor"/>
    </font>
    <font>
      <b/>
      <sz val="11"/>
      <name val="Arial"/>
      <family val="2"/>
    </font>
    <font>
      <sz val="11"/>
      <name val="Arial"/>
      <family val="2"/>
    </font>
    <font>
      <sz val="11"/>
      <name val="Calibri"/>
      <family val="2"/>
      <scheme val="minor"/>
    </font>
    <font>
      <i/>
      <sz val="11"/>
      <name val="Arial"/>
      <family val="2"/>
    </font>
    <font>
      <b/>
      <u/>
      <sz val="11"/>
      <name val="Arial"/>
      <family val="2"/>
    </font>
    <font>
      <b/>
      <sz val="12"/>
      <color indexed="81"/>
      <name val="Tahoma"/>
      <family val="2"/>
    </font>
    <font>
      <sz val="8"/>
      <color indexed="81"/>
      <name val="Tahoma"/>
      <family val="2"/>
    </font>
    <font>
      <b/>
      <u/>
      <sz val="11"/>
      <color theme="0"/>
      <name val="Arial"/>
      <family val="2"/>
    </font>
    <font>
      <sz val="11"/>
      <color theme="3" tint="-0.499984740745262"/>
      <name val="Arial"/>
      <family val="2"/>
    </font>
    <font>
      <sz val="10"/>
      <name val="MS Sans Serif"/>
      <family val="2"/>
    </font>
    <font>
      <u/>
      <sz val="11"/>
      <color theme="10"/>
      <name val="Calibri"/>
      <family val="2"/>
      <scheme val="minor"/>
    </font>
    <font>
      <sz val="10"/>
      <name val="Times New Roman"/>
      <family val="1"/>
    </font>
    <font>
      <b/>
      <u/>
      <sz val="14"/>
      <name val="Arial"/>
      <family val="2"/>
    </font>
    <font>
      <sz val="14"/>
      <name val="Arial"/>
      <family val="2"/>
    </font>
    <font>
      <b/>
      <sz val="14"/>
      <name val="Arial"/>
      <family val="2"/>
    </font>
    <font>
      <b/>
      <sz val="14"/>
      <color indexed="10"/>
      <name val="Arial"/>
      <family val="2"/>
    </font>
    <font>
      <sz val="1"/>
      <color indexed="8"/>
      <name val="Courier"/>
      <family val="3"/>
    </font>
    <font>
      <sz val="11"/>
      <name val="Tms Rmn"/>
    </font>
    <font>
      <sz val="18"/>
      <name val="Times New Roman"/>
      <family val="1"/>
    </font>
    <font>
      <sz val="12"/>
      <name val="Times New Roman"/>
      <family val="1"/>
    </font>
    <font>
      <i/>
      <sz val="12"/>
      <name val="Times New Roman"/>
      <family val="1"/>
    </font>
    <font>
      <sz val="12"/>
      <name val="Arial"/>
      <family val="2"/>
    </font>
    <font>
      <sz val="18"/>
      <name val="Arial"/>
      <family val="2"/>
    </font>
    <font>
      <sz val="8"/>
      <name val="Arial"/>
      <family val="2"/>
    </font>
    <font>
      <i/>
      <sz val="12"/>
      <name val="Symbol"/>
      <family val="1"/>
      <charset val="2"/>
    </font>
    <font>
      <b/>
      <sz val="1"/>
      <color indexed="8"/>
      <name val="Courier"/>
      <family val="3"/>
    </font>
    <font>
      <b/>
      <i/>
      <sz val="16"/>
      <name val="Helv"/>
    </font>
    <font>
      <sz val="8"/>
      <color indexed="10"/>
      <name val="Arial Narrow"/>
      <family val="2"/>
    </font>
    <font>
      <u/>
      <sz val="11"/>
      <color theme="0"/>
      <name val="Arial"/>
      <family val="2"/>
    </font>
    <font>
      <sz val="14"/>
      <color theme="0"/>
      <name val="Arial"/>
      <family val="2"/>
    </font>
    <font>
      <sz val="12"/>
      <color theme="0"/>
      <name val="Arial"/>
      <family val="2"/>
    </font>
    <font>
      <i/>
      <sz val="11"/>
      <color theme="0"/>
      <name val="Calibri"/>
      <family val="2"/>
      <scheme val="minor"/>
    </font>
    <font>
      <b/>
      <sz val="11"/>
      <name val="Calibri"/>
      <family val="2"/>
      <scheme val="minor"/>
    </font>
    <font>
      <b/>
      <vertAlign val="superscript"/>
      <sz val="11"/>
      <name val="Calibri"/>
      <family val="2"/>
      <scheme val="minor"/>
    </font>
    <font>
      <i/>
      <sz val="10"/>
      <name val="CG Times (W1)"/>
      <family val="1"/>
    </font>
    <font>
      <i/>
      <sz val="10"/>
      <name val="Tahoma"/>
      <family val="2"/>
    </font>
    <font>
      <sz val="12"/>
      <name val="Tahoma"/>
      <family val="2"/>
    </font>
    <font>
      <b/>
      <i/>
      <sz val="18"/>
      <name val="Tahoma"/>
      <family val="2"/>
    </font>
    <font>
      <i/>
      <sz val="12"/>
      <name val="Tahoma"/>
      <family val="2"/>
    </font>
    <font>
      <i/>
      <sz val="8"/>
      <name val="Tahoma"/>
      <family val="2"/>
    </font>
    <font>
      <sz val="10"/>
      <name val="Arial"/>
      <family val="2"/>
    </font>
    <font>
      <b/>
      <sz val="14"/>
      <name val="Tahoma"/>
      <family val="2"/>
    </font>
    <font>
      <sz val="10"/>
      <name val="Calibri"/>
      <family val="2"/>
    </font>
    <font>
      <b/>
      <sz val="10"/>
      <name val="Calibri"/>
      <family val="2"/>
    </font>
    <font>
      <i/>
      <sz val="10"/>
      <name val="Calibri"/>
      <family val="2"/>
    </font>
    <font>
      <b/>
      <i/>
      <sz val="10"/>
      <name val="Calibri"/>
      <family val="2"/>
    </font>
    <font>
      <b/>
      <sz val="14"/>
      <name val="Calibri"/>
      <family val="2"/>
    </font>
    <font>
      <sz val="9"/>
      <name val="Calibri"/>
      <family val="2"/>
    </font>
    <font>
      <b/>
      <u/>
      <sz val="10"/>
      <name val="Calibri"/>
      <family val="2"/>
    </font>
    <font>
      <sz val="8"/>
      <name val="Tahoma"/>
      <family val="2"/>
    </font>
    <font>
      <i/>
      <sz val="9"/>
      <name val="Calibri"/>
      <family val="2"/>
    </font>
    <font>
      <u/>
      <sz val="10"/>
      <name val="Calibri"/>
      <family val="2"/>
    </font>
    <font>
      <sz val="14"/>
      <name val="Calibri"/>
      <family val="2"/>
    </font>
    <font>
      <b/>
      <sz val="10"/>
      <color indexed="12"/>
      <name val="Calibri"/>
      <family val="2"/>
    </font>
    <font>
      <sz val="15"/>
      <name val="Calibri"/>
      <family val="2"/>
    </font>
    <font>
      <sz val="18"/>
      <name val="Calibri"/>
      <family val="2"/>
    </font>
    <font>
      <sz val="22"/>
      <name val="Calibri"/>
      <family val="2"/>
    </font>
    <font>
      <i/>
      <sz val="8"/>
      <name val="Calibri"/>
      <family val="2"/>
    </font>
    <font>
      <b/>
      <sz val="10"/>
      <name val="Tahoma"/>
      <family val="2"/>
    </font>
    <font>
      <b/>
      <i/>
      <sz val="8"/>
      <name val="Tahoma"/>
      <family val="2"/>
    </font>
    <font>
      <b/>
      <i/>
      <sz val="12"/>
      <name val="Tahoma"/>
      <family val="2"/>
    </font>
    <font>
      <sz val="10"/>
      <name val="Calibri"/>
      <family val="2"/>
      <scheme val="minor"/>
    </font>
    <font>
      <b/>
      <sz val="10"/>
      <name val="Calibri"/>
      <family val="2"/>
      <scheme val="minor"/>
    </font>
    <font>
      <b/>
      <u/>
      <sz val="12"/>
      <name val="Calibri"/>
      <family val="2"/>
      <scheme val="minor"/>
    </font>
    <font>
      <b/>
      <u/>
      <sz val="11"/>
      <name val="Calibri"/>
      <family val="2"/>
      <scheme val="minor"/>
    </font>
    <font>
      <u/>
      <sz val="11"/>
      <name val="Calibri"/>
      <family val="2"/>
      <scheme val="minor"/>
    </font>
    <font>
      <vertAlign val="superscript"/>
      <sz val="11"/>
      <name val="Calibri"/>
      <family val="2"/>
      <scheme val="minor"/>
    </font>
    <font>
      <sz val="9"/>
      <color theme="1"/>
      <name val="Arial"/>
      <family val="2"/>
    </font>
    <font>
      <u/>
      <sz val="10"/>
      <name val="Tahoma"/>
      <family val="2"/>
    </font>
    <font>
      <u val="singleAccounting"/>
      <sz val="10"/>
      <name val="Calibri"/>
      <family val="2"/>
    </font>
    <font>
      <b/>
      <sz val="9"/>
      <color theme="1"/>
      <name val="Arial"/>
      <family val="2"/>
    </font>
    <font>
      <b/>
      <u/>
      <sz val="9"/>
      <color theme="1"/>
      <name val="Arial"/>
      <family val="2"/>
    </font>
    <font>
      <b/>
      <u/>
      <sz val="10"/>
      <name val="Tahoma"/>
      <family val="2"/>
    </font>
    <font>
      <i/>
      <sz val="8"/>
      <name val="Calibri"/>
      <family val="2"/>
      <scheme val="minor"/>
    </font>
    <font>
      <sz val="9"/>
      <name val="Tahoma"/>
      <family val="2"/>
    </font>
    <font>
      <vertAlign val="superscript"/>
      <sz val="10"/>
      <name val="Tahoma"/>
      <family val="2"/>
    </font>
    <font>
      <sz val="8"/>
      <name val="Calibri"/>
      <family val="2"/>
      <scheme val="minor"/>
    </font>
    <font>
      <b/>
      <sz val="22"/>
      <color theme="1"/>
      <name val="Calibri"/>
      <family val="2"/>
      <scheme val="minor"/>
    </font>
    <font>
      <sz val="22"/>
      <color theme="1"/>
      <name val="Calibri"/>
      <family val="2"/>
      <scheme val="minor"/>
    </font>
    <font>
      <sz val="14"/>
      <color theme="1"/>
      <name val="Calibri"/>
      <family val="2"/>
      <scheme val="minor"/>
    </font>
    <font>
      <b/>
      <sz val="14"/>
      <color theme="1"/>
      <name val="Calibri"/>
      <family val="2"/>
      <scheme val="minor"/>
    </font>
    <font>
      <sz val="9"/>
      <color theme="1"/>
      <name val="Calibri"/>
      <family val="2"/>
      <scheme val="minor"/>
    </font>
    <font>
      <b/>
      <sz val="9"/>
      <color theme="1"/>
      <name val="Calibri"/>
      <family val="2"/>
      <scheme val="minor"/>
    </font>
    <font>
      <b/>
      <sz val="14"/>
      <color rgb="FFC00000"/>
      <name val="Calibri"/>
      <family val="2"/>
      <scheme val="minor"/>
    </font>
    <font>
      <b/>
      <i/>
      <sz val="9"/>
      <color theme="1"/>
      <name val="Calibri"/>
      <family val="2"/>
      <scheme val="minor"/>
    </font>
    <font>
      <i/>
      <sz val="9"/>
      <color theme="1"/>
      <name val="Calibri"/>
      <family val="2"/>
      <scheme val="minor"/>
    </font>
    <font>
      <b/>
      <sz val="18"/>
      <color theme="0"/>
      <name val="Calibri"/>
      <family val="2"/>
      <scheme val="minor"/>
    </font>
    <font>
      <i/>
      <vertAlign val="superscript"/>
      <sz val="10"/>
      <name val="Tahoma"/>
      <family val="2"/>
    </font>
    <font>
      <sz val="14"/>
      <name val="Calibri"/>
      <family val="2"/>
      <scheme val="minor"/>
    </font>
    <font>
      <b/>
      <sz val="14"/>
      <name val="Calibri"/>
      <family val="2"/>
      <scheme val="minor"/>
    </font>
    <font>
      <b/>
      <vertAlign val="superscript"/>
      <sz val="10"/>
      <name val="Tahoma"/>
      <family val="2"/>
    </font>
    <font>
      <b/>
      <sz val="11"/>
      <name val="Calibri"/>
      <family val="2"/>
    </font>
    <font>
      <b/>
      <i/>
      <sz val="11"/>
      <name val="Arial"/>
      <family val="2"/>
    </font>
    <font>
      <b/>
      <sz val="8"/>
      <color theme="1"/>
      <name val="Calibri"/>
      <family val="2"/>
      <scheme val="minor"/>
    </font>
    <font>
      <b/>
      <i/>
      <sz val="11"/>
      <color theme="1"/>
      <name val="Calibri"/>
      <family val="2"/>
      <scheme val="minor"/>
    </font>
    <font>
      <i/>
      <sz val="11"/>
      <color theme="1"/>
      <name val="Calibri"/>
      <family val="2"/>
      <scheme val="minor"/>
    </font>
    <font>
      <b/>
      <sz val="10"/>
      <color theme="1"/>
      <name val="Arial"/>
      <family val="2"/>
    </font>
    <font>
      <b/>
      <sz val="20"/>
      <name val="Tahoma"/>
      <family val="2"/>
    </font>
    <font>
      <sz val="11"/>
      <color theme="1"/>
      <name val="Arial Nova Cond"/>
      <family val="2"/>
    </font>
    <font>
      <b/>
      <u/>
      <sz val="10"/>
      <color theme="1"/>
      <name val="Arial"/>
      <family val="2"/>
    </font>
    <font>
      <u/>
      <sz val="10"/>
      <color theme="1"/>
      <name val="Arial"/>
      <family val="2"/>
    </font>
    <font>
      <b/>
      <u/>
      <sz val="10"/>
      <color theme="1"/>
      <name val="Calibri"/>
      <family val="2"/>
      <scheme val="minor"/>
    </font>
    <font>
      <b/>
      <sz val="10"/>
      <color theme="1"/>
      <name val="Calibri"/>
      <family val="2"/>
      <scheme val="minor"/>
    </font>
    <font>
      <b/>
      <i/>
      <sz val="11"/>
      <color theme="0"/>
      <name val="Calibri"/>
      <family val="2"/>
      <scheme val="minor"/>
    </font>
    <font>
      <b/>
      <sz val="10"/>
      <color theme="0"/>
      <name val="Tahoma"/>
      <family val="2"/>
    </font>
    <font>
      <sz val="9"/>
      <color indexed="81"/>
      <name val="Tahoma"/>
      <charset val="1"/>
    </font>
    <font>
      <b/>
      <sz val="9"/>
      <color indexed="81"/>
      <name val="Tahoma"/>
      <charset val="1"/>
    </font>
  </fonts>
  <fills count="60">
    <fill>
      <patternFill patternType="none"/>
    </fill>
    <fill>
      <patternFill patternType="gray125"/>
    </fill>
    <fill>
      <patternFill patternType="solid">
        <fgColor theme="6" tint="-0.249977111117893"/>
        <bgColor indexed="64"/>
      </patternFill>
    </fill>
    <fill>
      <patternFill patternType="solid">
        <fgColor theme="4" tint="-0.249977111117893"/>
        <bgColor indexed="64"/>
      </patternFill>
    </fill>
    <fill>
      <patternFill patternType="solid">
        <fgColor theme="9" tint="-0.249977111117893"/>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7" tint="-0.249977111117893"/>
        <bgColor indexed="64"/>
      </patternFill>
    </fill>
    <fill>
      <patternFill patternType="solid">
        <fgColor rgb="FFFFFF00"/>
        <bgColor indexed="64"/>
      </patternFill>
    </fill>
    <fill>
      <patternFill patternType="solid">
        <fgColor theme="9"/>
        <bgColor indexed="64"/>
      </patternFill>
    </fill>
    <fill>
      <patternFill patternType="solid">
        <fgColor theme="5" tint="0.59999389629810485"/>
        <bgColor indexed="64"/>
      </patternFill>
    </fill>
    <fill>
      <patternFill patternType="solid">
        <fgColor theme="8" tint="-0.249977111117893"/>
        <bgColor indexed="64"/>
      </patternFill>
    </fill>
    <fill>
      <patternFill patternType="solid">
        <fgColor theme="5"/>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7" tint="0.39997558519241921"/>
        <bgColor indexed="64"/>
      </patternFill>
    </fill>
    <fill>
      <patternFill patternType="solid">
        <fgColor theme="4" tint="-0.499984740745262"/>
        <bgColor indexed="64"/>
      </patternFill>
    </fill>
    <fill>
      <patternFill patternType="solid">
        <fgColor theme="4"/>
        <bgColor indexed="64"/>
      </patternFill>
    </fill>
    <fill>
      <patternFill patternType="solid">
        <fgColor theme="4" tint="0.39997558519241921"/>
        <bgColor indexed="64"/>
      </patternFill>
    </fill>
    <fill>
      <patternFill patternType="solid">
        <fgColor indexed="41"/>
        <bgColor indexed="24"/>
      </patternFill>
    </fill>
    <fill>
      <patternFill patternType="solid">
        <fgColor indexed="43"/>
        <bgColor indexed="64"/>
      </patternFill>
    </fill>
    <fill>
      <patternFill patternType="solid">
        <fgColor indexed="13"/>
        <bgColor indexed="64"/>
      </patternFill>
    </fill>
    <fill>
      <patternFill patternType="solid">
        <fgColor indexed="42"/>
        <bgColor indexed="64"/>
      </patternFill>
    </fill>
    <fill>
      <patternFill patternType="solid">
        <fgColor indexed="51"/>
        <bgColor indexed="64"/>
      </patternFill>
    </fill>
    <fill>
      <patternFill patternType="solid">
        <fgColor indexed="47"/>
        <bgColor indexed="64"/>
      </patternFill>
    </fill>
    <fill>
      <patternFill patternType="solid">
        <fgColor indexed="10"/>
        <bgColor indexed="64"/>
      </patternFill>
    </fill>
    <fill>
      <patternFill patternType="solid">
        <fgColor theme="4" tint="0.79998168889431442"/>
        <bgColor indexed="64"/>
      </patternFill>
    </fill>
    <fill>
      <patternFill patternType="solid">
        <fgColor rgb="FF004D60"/>
        <bgColor indexed="64"/>
      </patternFill>
    </fill>
    <fill>
      <patternFill patternType="solid">
        <fgColor rgb="FFFFC000"/>
        <bgColor indexed="64"/>
      </patternFill>
    </fill>
    <fill>
      <patternFill patternType="solid">
        <fgColor theme="6" tint="0.39997558519241921"/>
        <bgColor indexed="64"/>
      </patternFill>
    </fill>
    <fill>
      <patternFill patternType="solid">
        <fgColor theme="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6" tint="0.59999389629810485"/>
        <bgColor indexed="64"/>
      </patternFill>
    </fill>
    <fill>
      <patternFill patternType="solid">
        <fgColor rgb="FFFFFFCC"/>
        <bgColor indexed="64"/>
      </patternFill>
    </fill>
    <fill>
      <patternFill patternType="solid">
        <fgColor rgb="FFC00000"/>
        <bgColor indexed="64"/>
      </patternFill>
    </fill>
    <fill>
      <patternFill patternType="solid">
        <fgColor theme="2" tint="-9.9978637043366805E-2"/>
        <bgColor indexed="64"/>
      </patternFill>
    </fill>
    <fill>
      <patternFill patternType="solid">
        <fgColor theme="0"/>
        <bgColor indexed="64"/>
      </patternFill>
    </fill>
    <fill>
      <patternFill patternType="solid">
        <fgColor theme="0" tint="-0.249977111117893"/>
        <bgColor indexed="64"/>
      </patternFill>
    </fill>
    <fill>
      <patternFill patternType="solid">
        <fgColor rgb="FFFF33CC"/>
        <bgColor indexed="64"/>
      </patternFill>
    </fill>
  </fills>
  <borders count="20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0"/>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thin">
        <color indexed="64"/>
      </right>
      <top/>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hair">
        <color indexed="64"/>
      </left>
      <right style="thin">
        <color indexed="64"/>
      </right>
      <top style="double">
        <color indexed="64"/>
      </top>
      <bottom style="hair">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right style="hair">
        <color indexed="64"/>
      </right>
      <top style="thin">
        <color indexed="64"/>
      </top>
      <bottom/>
      <diagonal/>
    </border>
    <border>
      <left style="thin">
        <color indexed="64"/>
      </left>
      <right style="hair">
        <color indexed="64"/>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right/>
      <top/>
      <bottom style="thin">
        <color indexed="2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medium">
        <color indexed="64"/>
      </left>
      <right/>
      <top style="hair">
        <color indexed="64"/>
      </top>
      <bottom/>
      <diagonal/>
    </border>
    <border>
      <left/>
      <right/>
      <top style="hair">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style="hair">
        <color indexed="64"/>
      </bottom>
      <diagonal/>
    </border>
    <border>
      <left/>
      <right style="medium">
        <color indexed="64"/>
      </right>
      <top style="thin">
        <color indexed="64"/>
      </top>
      <bottom/>
      <diagonal/>
    </border>
    <border>
      <left style="thin">
        <color indexed="64"/>
      </left>
      <right style="medium">
        <color indexed="64"/>
      </right>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right/>
      <top style="medium">
        <color indexed="60"/>
      </top>
      <bottom/>
      <diagonal/>
    </border>
    <border>
      <left/>
      <right/>
      <top/>
      <bottom style="medium">
        <color indexed="60"/>
      </bottom>
      <diagonal/>
    </border>
    <border>
      <left style="hair">
        <color indexed="64"/>
      </left>
      <right/>
      <top style="thin">
        <color indexed="64"/>
      </top>
      <bottom/>
      <diagonal/>
    </border>
    <border>
      <left/>
      <right style="hair">
        <color indexed="64"/>
      </right>
      <top/>
      <bottom style="thin">
        <color indexed="64"/>
      </bottom>
      <diagonal/>
    </border>
    <border>
      <left style="hair">
        <color indexed="64"/>
      </left>
      <right/>
      <top/>
      <bottom style="thin">
        <color indexed="64"/>
      </bottom>
      <diagonal/>
    </border>
    <border>
      <left style="thin">
        <color indexed="64"/>
      </left>
      <right/>
      <top style="hair">
        <color indexed="64"/>
      </top>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double">
        <color indexed="64"/>
      </bottom>
      <diagonal/>
    </border>
    <border>
      <left style="dashed">
        <color indexed="64"/>
      </left>
      <right style="dashed">
        <color indexed="64"/>
      </right>
      <top style="thin">
        <color indexed="64"/>
      </top>
      <bottom style="hair">
        <color indexed="64"/>
      </bottom>
      <diagonal/>
    </border>
    <border>
      <left style="dashed">
        <color indexed="64"/>
      </left>
      <right style="dashed">
        <color indexed="64"/>
      </right>
      <top style="hair">
        <color indexed="64"/>
      </top>
      <bottom style="hair">
        <color indexed="64"/>
      </bottom>
      <diagonal/>
    </border>
    <border>
      <left style="dashed">
        <color indexed="64"/>
      </left>
      <right style="dashed">
        <color indexed="64"/>
      </right>
      <top style="hair">
        <color indexed="64"/>
      </top>
      <bottom/>
      <diagonal/>
    </border>
    <border>
      <left style="dashed">
        <color indexed="64"/>
      </left>
      <right style="dashed">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hair">
        <color indexed="64"/>
      </top>
      <bottom style="medium">
        <color indexed="64"/>
      </bottom>
      <diagonal/>
    </border>
    <border>
      <left style="thin">
        <color indexed="64"/>
      </left>
      <right/>
      <top style="hair">
        <color indexed="64"/>
      </top>
      <bottom style="medium">
        <color indexed="64"/>
      </bottom>
      <diagonal/>
    </border>
    <border>
      <left style="dashed">
        <color indexed="64"/>
      </left>
      <right style="dashed">
        <color indexed="64"/>
      </right>
      <top style="hair">
        <color indexed="64"/>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dashed">
        <color indexed="64"/>
      </top>
      <bottom style="dashed">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medium">
        <color indexed="64"/>
      </right>
      <top/>
      <bottom/>
      <diagonal/>
    </border>
    <border>
      <left style="thin">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diagonalUp="1">
      <left style="medium">
        <color indexed="64"/>
      </left>
      <right/>
      <top style="medium">
        <color indexed="64"/>
      </top>
      <bottom style="medium">
        <color indexed="64"/>
      </bottom>
      <diagonal style="medium">
        <color indexed="64"/>
      </diagonal>
    </border>
    <border diagonalUp="1">
      <left/>
      <right/>
      <top style="medium">
        <color indexed="64"/>
      </top>
      <bottom style="medium">
        <color indexed="64"/>
      </bottom>
      <diagonal style="medium">
        <color indexed="64"/>
      </diagonal>
    </border>
    <border diagonalUp="1">
      <left/>
      <right style="medium">
        <color indexed="64"/>
      </right>
      <top style="medium">
        <color indexed="64"/>
      </top>
      <bottom style="medium">
        <color indexed="64"/>
      </bottom>
      <diagonal style="medium">
        <color indexed="64"/>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style="double">
        <color indexed="64"/>
      </left>
      <right style="thin">
        <color indexed="64"/>
      </right>
      <top style="medium">
        <color indexed="64"/>
      </top>
      <bottom style="thin">
        <color indexed="64"/>
      </bottom>
      <diagonal/>
    </border>
    <border>
      <left style="thin">
        <color indexed="64"/>
      </left>
      <right style="double">
        <color indexed="64"/>
      </right>
      <top style="medium">
        <color indexed="64"/>
      </top>
      <bottom style="thin">
        <color indexed="64"/>
      </bottom>
      <diagonal/>
    </border>
    <border>
      <left style="medium">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thin">
        <color indexed="64"/>
      </right>
      <top style="thin">
        <color indexed="64"/>
      </top>
      <bottom style="medium">
        <color indexed="64"/>
      </bottom>
      <diagonal/>
    </border>
    <border>
      <left style="thin">
        <color indexed="64"/>
      </left>
      <right style="double">
        <color indexed="64"/>
      </right>
      <top style="thin">
        <color indexed="64"/>
      </top>
      <bottom style="medium">
        <color indexed="64"/>
      </bottom>
      <diagonal/>
    </border>
    <border>
      <left style="double">
        <color indexed="64"/>
      </left>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dashed">
        <color indexed="64"/>
      </left>
      <right style="thin">
        <color indexed="64"/>
      </right>
      <top style="thin">
        <color indexed="64"/>
      </top>
      <bottom style="hair">
        <color indexed="64"/>
      </bottom>
      <diagonal/>
    </border>
    <border>
      <left style="dashed">
        <color indexed="64"/>
      </left>
      <right style="thin">
        <color indexed="64"/>
      </right>
      <top style="hair">
        <color indexed="64"/>
      </top>
      <bottom style="hair">
        <color indexed="64"/>
      </bottom>
      <diagonal/>
    </border>
    <border>
      <left style="dashed">
        <color indexed="64"/>
      </left>
      <right style="thin">
        <color indexed="64"/>
      </right>
      <top style="hair">
        <color indexed="64"/>
      </top>
      <bottom style="medium">
        <color indexed="64"/>
      </bottom>
      <diagonal/>
    </border>
  </borders>
  <cellStyleXfs count="108">
    <xf numFmtId="0" fontId="0" fillId="0" borderId="0"/>
    <xf numFmtId="165" fontId="1" fillId="0" borderId="0" applyFont="0" applyFill="0" applyBorder="0" applyAlignment="0" applyProtection="0"/>
    <xf numFmtId="0" fontId="10"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10" fillId="12" borderId="0" applyNumberFormat="0" applyBorder="0" applyAlignment="0" applyProtection="0"/>
    <xf numFmtId="0" fontId="10" fillId="13"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7" fillId="15"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7" fillId="22" borderId="0" applyNumberFormat="0" applyBorder="0" applyAlignment="0" applyProtection="0"/>
    <xf numFmtId="0" fontId="18" fillId="6" borderId="0" applyNumberFormat="0" applyBorder="0" applyAlignment="0" applyProtection="0"/>
    <xf numFmtId="0" fontId="19" fillId="23" borderId="7" applyNumberFormat="0" applyAlignment="0" applyProtection="0"/>
    <xf numFmtId="0" fontId="20" fillId="24" borderId="8" applyNumberFormat="0" applyAlignment="0" applyProtection="0"/>
    <xf numFmtId="168" fontId="10" fillId="0" borderId="0" applyFont="0" applyFill="0" applyBorder="0" applyAlignment="0" applyProtection="0"/>
    <xf numFmtId="4" fontId="7" fillId="0" borderId="0" applyFont="0" applyFill="0" applyBorder="0" applyAlignment="0" applyProtection="0"/>
    <xf numFmtId="3" fontId="7" fillId="0" borderId="0" applyFont="0" applyFill="0" applyBorder="0" applyAlignment="0" applyProtection="0"/>
    <xf numFmtId="166" fontId="7" fillId="0" borderId="0" applyFont="0" applyFill="0" applyBorder="0" applyAlignment="0" applyProtection="0"/>
    <xf numFmtId="14" fontId="7" fillId="0" borderId="0" applyFont="0" applyFill="0" applyBorder="0" applyAlignment="0" applyProtection="0"/>
    <xf numFmtId="0" fontId="21" fillId="0" borderId="0" applyNumberFormat="0" applyFill="0" applyBorder="0" applyAlignment="0" applyProtection="0"/>
    <xf numFmtId="2" fontId="7" fillId="0" borderId="0" applyFont="0" applyFill="0" applyBorder="0" applyAlignment="0" applyProtection="0"/>
    <xf numFmtId="0" fontId="22" fillId="7" borderId="0" applyNumberFormat="0" applyBorder="0" applyAlignment="0" applyProtection="0"/>
    <xf numFmtId="0" fontId="30" fillId="0" borderId="0" applyNumberFormat="0" applyFont="0" applyBorder="0" applyAlignment="0" applyProtection="0"/>
    <xf numFmtId="0" fontId="16" fillId="0" borderId="0" applyNumberFormat="0" applyFont="0" applyBorder="0" applyAlignment="0" applyProtection="0"/>
    <xf numFmtId="0" fontId="23" fillId="0" borderId="9" applyNumberFormat="0" applyFill="0" applyAlignment="0" applyProtection="0"/>
    <xf numFmtId="0" fontId="23" fillId="0" borderId="0" applyNumberFormat="0" applyFill="0" applyBorder="0" applyAlignment="0" applyProtection="0"/>
    <xf numFmtId="0" fontId="24" fillId="10" borderId="7" applyNumberFormat="0" applyAlignment="0" applyProtection="0"/>
    <xf numFmtId="0" fontId="25" fillId="0" borderId="10" applyNumberFormat="0" applyFill="0" applyAlignment="0" applyProtection="0"/>
    <xf numFmtId="0" fontId="26" fillId="25" borderId="0" applyNumberFormat="0" applyBorder="0" applyAlignment="0" applyProtection="0"/>
    <xf numFmtId="0" fontId="11" fillId="0" borderId="0"/>
    <xf numFmtId="0" fontId="7" fillId="0" borderId="0"/>
    <xf numFmtId="0" fontId="1" fillId="0" borderId="0"/>
    <xf numFmtId="0" fontId="7" fillId="0" borderId="0">
      <alignment vertical="top"/>
    </xf>
    <xf numFmtId="0" fontId="10" fillId="26" borderId="11" applyNumberFormat="0" applyFont="0" applyAlignment="0" applyProtection="0"/>
    <xf numFmtId="0" fontId="27" fillId="23" borderId="12" applyNumberFormat="0" applyAlignment="0" applyProtection="0"/>
    <xf numFmtId="0" fontId="28" fillId="0" borderId="0" applyNumberFormat="0" applyFill="0" applyBorder="0" applyAlignment="0" applyProtection="0"/>
    <xf numFmtId="0" fontId="7" fillId="0" borderId="13" applyNumberFormat="0" applyFont="0" applyFill="0" applyBorder="0" applyProtection="0"/>
    <xf numFmtId="0" fontId="29" fillId="0" borderId="0" applyNumberFormat="0" applyFill="0" applyBorder="0" applyAlignment="0" applyProtection="0"/>
    <xf numFmtId="9" fontId="1" fillId="0" borderId="0" applyFont="0" applyFill="0" applyBorder="0" applyAlignment="0" applyProtection="0"/>
    <xf numFmtId="167" fontId="10" fillId="0" borderId="0" applyFont="0" applyFill="0" applyBorder="0" applyAlignment="0" applyProtection="0"/>
    <xf numFmtId="0" fontId="48" fillId="0" borderId="0"/>
    <xf numFmtId="0" fontId="49" fillId="0" borderId="0" applyNumberFormat="0" applyFill="0" applyBorder="0" applyAlignment="0" applyProtection="0"/>
    <xf numFmtId="0" fontId="50" fillId="0" borderId="0">
      <alignment vertical="top"/>
    </xf>
    <xf numFmtId="181" fontId="7" fillId="0" borderId="0" applyFont="0" applyFill="0" applyBorder="0" applyAlignment="0" applyProtection="0"/>
    <xf numFmtId="9" fontId="40" fillId="0" borderId="0" applyFont="0" applyFill="0" applyBorder="0" applyAlignment="0" applyProtection="0"/>
    <xf numFmtId="171" fontId="7" fillId="0" borderId="0" applyFont="0" applyFill="0" applyBorder="0" applyAlignment="0" applyProtection="0"/>
    <xf numFmtId="183" fontId="55" fillId="0" borderId="0">
      <protection locked="0"/>
    </xf>
    <xf numFmtId="184" fontId="56" fillId="0" borderId="0"/>
    <xf numFmtId="184" fontId="56" fillId="0" borderId="0"/>
    <xf numFmtId="184" fontId="56" fillId="0" borderId="0"/>
    <xf numFmtId="184" fontId="56" fillId="0" borderId="0"/>
    <xf numFmtId="184" fontId="56" fillId="0" borderId="0"/>
    <xf numFmtId="184" fontId="56" fillId="0" borderId="0"/>
    <xf numFmtId="184" fontId="56" fillId="0" borderId="0"/>
    <xf numFmtId="184" fontId="56" fillId="0" borderId="0"/>
    <xf numFmtId="168" fontId="40" fillId="0" borderId="0" applyFont="0" applyFill="0" applyBorder="0" applyAlignment="0" applyProtection="0"/>
    <xf numFmtId="168" fontId="7" fillId="0" borderId="0" applyFont="0" applyFill="0" applyBorder="0" applyAlignment="0" applyProtection="0"/>
    <xf numFmtId="167" fontId="7" fillId="0" borderId="0" applyFont="0" applyFill="0" applyBorder="0" applyAlignment="0" applyProtection="0"/>
    <xf numFmtId="167" fontId="40" fillId="0" borderId="0" applyFont="0" applyFill="0" applyBorder="0" applyAlignment="0" applyProtection="0"/>
    <xf numFmtId="167" fontId="40" fillId="0" borderId="0" applyFont="0" applyFill="0" applyBorder="0" applyAlignment="0" applyProtection="0"/>
    <xf numFmtId="167" fontId="1" fillId="0" borderId="0" applyFont="0" applyFill="0" applyBorder="0" applyAlignment="0" applyProtection="0"/>
    <xf numFmtId="167" fontId="7" fillId="0" borderId="0" applyFont="0" applyFill="0" applyBorder="0" applyAlignment="0" applyProtection="0"/>
    <xf numFmtId="0" fontId="57" fillId="0" borderId="0" applyProtection="0">
      <alignment vertical="top"/>
    </xf>
    <xf numFmtId="0" fontId="58" fillId="0" borderId="0" applyProtection="0">
      <alignment vertical="top"/>
    </xf>
    <xf numFmtId="0" fontId="59" fillId="0" borderId="0" applyProtection="0">
      <alignment vertical="top"/>
    </xf>
    <xf numFmtId="0" fontId="60" fillId="0" borderId="0" applyProtection="0">
      <alignment vertical="top"/>
    </xf>
    <xf numFmtId="0" fontId="61" fillId="0" borderId="0" applyProtection="0">
      <alignment vertical="top"/>
    </xf>
    <xf numFmtId="0" fontId="62" fillId="0" borderId="0" applyProtection="0">
      <alignment vertical="top"/>
    </xf>
    <xf numFmtId="0" fontId="63" fillId="0" borderId="0" applyProtection="0">
      <alignment vertical="top"/>
    </xf>
    <xf numFmtId="183" fontId="64" fillId="0" borderId="0">
      <protection locked="0"/>
    </xf>
    <xf numFmtId="183" fontId="64" fillId="0" borderId="0">
      <protection locked="0"/>
    </xf>
    <xf numFmtId="0" fontId="7" fillId="40" borderId="0" applyNumberFormat="0" applyFont="0" applyBorder="0" applyAlignment="0">
      <protection locked="0"/>
    </xf>
    <xf numFmtId="3" fontId="7" fillId="0" borderId="83" applyNumberFormat="0" applyFont="0" applyFill="0" applyAlignment="0" applyProtection="0">
      <alignment vertical="top"/>
    </xf>
    <xf numFmtId="0" fontId="7" fillId="0" borderId="0">
      <alignment horizontal="right" vertical="top"/>
      <protection locked="0"/>
    </xf>
    <xf numFmtId="185" fontId="65" fillId="0" borderId="0"/>
    <xf numFmtId="0" fontId="1" fillId="0" borderId="0"/>
    <xf numFmtId="0" fontId="1" fillId="0" borderId="0"/>
    <xf numFmtId="0" fontId="1" fillId="0" borderId="0"/>
    <xf numFmtId="9" fontId="7"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0" fontId="66" fillId="0" borderId="0">
      <alignment vertical="top"/>
    </xf>
    <xf numFmtId="38" fontId="73" fillId="0" borderId="0"/>
    <xf numFmtId="0" fontId="79" fillId="0" borderId="0"/>
    <xf numFmtId="0" fontId="79" fillId="0" borderId="0"/>
    <xf numFmtId="0" fontId="10" fillId="0" borderId="0"/>
    <xf numFmtId="165" fontId="79" fillId="0" borderId="0" applyFont="0" applyFill="0" applyBorder="0" applyAlignment="0" applyProtection="0"/>
    <xf numFmtId="9" fontId="79" fillId="0" borderId="0" applyFont="0" applyFill="0" applyBorder="0" applyAlignment="0" applyProtection="0"/>
    <xf numFmtId="201" fontId="79" fillId="0" borderId="0" applyFont="0" applyFill="0" applyBorder="0" applyAlignment="0" applyProtection="0"/>
    <xf numFmtId="0" fontId="137" fillId="0" borderId="0"/>
    <xf numFmtId="168" fontId="137" fillId="0" borderId="0" applyFont="0" applyFill="0" applyBorder="0" applyAlignment="0" applyProtection="0"/>
  </cellStyleXfs>
  <cellXfs count="2042">
    <xf numFmtId="0" fontId="0" fillId="0" borderId="0" xfId="0"/>
    <xf numFmtId="0" fontId="0" fillId="2" borderId="0" xfId="0" applyFill="1"/>
    <xf numFmtId="0" fontId="4" fillId="2" borderId="0" xfId="0" applyFont="1" applyFill="1"/>
    <xf numFmtId="0" fontId="5" fillId="2" borderId="0" xfId="0" applyFont="1" applyFill="1"/>
    <xf numFmtId="0" fontId="6" fillId="2" borderId="0" xfId="0" applyFont="1" applyFill="1"/>
    <xf numFmtId="0" fontId="2" fillId="2" borderId="0" xfId="0" applyFont="1" applyFill="1"/>
    <xf numFmtId="49" fontId="4" fillId="2" borderId="0" xfId="0" applyNumberFormat="1" applyFont="1" applyFill="1"/>
    <xf numFmtId="0" fontId="4" fillId="0" borderId="0" xfId="0" applyFont="1"/>
    <xf numFmtId="0" fontId="8" fillId="2" borderId="0" xfId="0" applyFont="1" applyFill="1"/>
    <xf numFmtId="0" fontId="9" fillId="2" borderId="0" xfId="0" applyFont="1" applyFill="1"/>
    <xf numFmtId="169" fontId="4" fillId="2" borderId="0" xfId="1" applyNumberFormat="1" applyFont="1" applyFill="1"/>
    <xf numFmtId="0" fontId="4" fillId="3" borderId="0" xfId="0" applyFont="1" applyFill="1"/>
    <xf numFmtId="9" fontId="5" fillId="2" borderId="0" xfId="0" applyNumberFormat="1" applyFont="1" applyFill="1"/>
    <xf numFmtId="9" fontId="5" fillId="2" borderId="0" xfId="53" applyFont="1" applyFill="1" applyAlignment="1">
      <alignment horizontal="center"/>
    </xf>
    <xf numFmtId="0" fontId="35" fillId="2" borderId="0" xfId="0" applyFont="1" applyFill="1"/>
    <xf numFmtId="0" fontId="5" fillId="27" borderId="14" xfId="0" applyFont="1" applyFill="1" applyBorder="1"/>
    <xf numFmtId="0" fontId="5" fillId="27" borderId="0" xfId="0" applyFont="1" applyFill="1"/>
    <xf numFmtId="0" fontId="5" fillId="27" borderId="15" xfId="0" applyFont="1" applyFill="1" applyBorder="1"/>
    <xf numFmtId="0" fontId="4" fillId="27" borderId="1" xfId="0" applyFont="1" applyFill="1" applyBorder="1"/>
    <xf numFmtId="0" fontId="4" fillId="4" borderId="1" xfId="0" applyFont="1" applyFill="1" applyBorder="1"/>
    <xf numFmtId="0" fontId="4" fillId="4" borderId="2" xfId="0" applyFont="1" applyFill="1" applyBorder="1"/>
    <xf numFmtId="0" fontId="0" fillId="4" borderId="3" xfId="0" applyFill="1" applyBorder="1"/>
    <xf numFmtId="0" fontId="4" fillId="4" borderId="3" xfId="0" applyFont="1" applyFill="1" applyBorder="1"/>
    <xf numFmtId="0" fontId="4" fillId="4" borderId="4" xfId="0" applyFont="1" applyFill="1" applyBorder="1"/>
    <xf numFmtId="0" fontId="4" fillId="4" borderId="0" xfId="0" applyFont="1" applyFill="1"/>
    <xf numFmtId="0" fontId="0" fillId="4" borderId="0" xfId="0" applyFill="1"/>
    <xf numFmtId="169" fontId="4" fillId="3" borderId="0" xfId="0" applyNumberFormat="1" applyFont="1" applyFill="1"/>
    <xf numFmtId="0" fontId="3" fillId="0" borderId="0" xfId="0" applyFont="1"/>
    <xf numFmtId="0" fontId="3" fillId="32" borderId="1" xfId="0" applyFont="1" applyFill="1" applyBorder="1" applyAlignment="1">
      <alignment horizontal="center"/>
    </xf>
    <xf numFmtId="165" fontId="0" fillId="0" borderId="0" xfId="1" applyFont="1"/>
    <xf numFmtId="0" fontId="6" fillId="0" borderId="0" xfId="0" applyFont="1"/>
    <xf numFmtId="0" fontId="37" fillId="4" borderId="14" xfId="0" applyFont="1" applyFill="1" applyBorder="1"/>
    <xf numFmtId="0" fontId="38" fillId="4" borderId="15" xfId="0" applyFont="1" applyFill="1" applyBorder="1"/>
    <xf numFmtId="0" fontId="8" fillId="35" borderId="17" xfId="0" applyFont="1" applyFill="1" applyBorder="1"/>
    <xf numFmtId="0" fontId="8" fillId="35" borderId="35" xfId="0" applyFont="1" applyFill="1" applyBorder="1"/>
    <xf numFmtId="0" fontId="8" fillId="35" borderId="37" xfId="0" applyFont="1" applyFill="1" applyBorder="1"/>
    <xf numFmtId="0" fontId="8" fillId="35" borderId="14" xfId="0" applyFont="1" applyFill="1" applyBorder="1"/>
    <xf numFmtId="0" fontId="8" fillId="35" borderId="0" xfId="0" applyFont="1" applyFill="1"/>
    <xf numFmtId="0" fontId="8" fillId="35" borderId="15" xfId="0" applyFont="1" applyFill="1" applyBorder="1"/>
    <xf numFmtId="0" fontId="4" fillId="35" borderId="14" xfId="0" applyFont="1" applyFill="1" applyBorder="1"/>
    <xf numFmtId="0" fontId="4" fillId="35" borderId="0" xfId="0" applyFont="1" applyFill="1"/>
    <xf numFmtId="0" fontId="4" fillId="35" borderId="15" xfId="0" applyFont="1" applyFill="1" applyBorder="1"/>
    <xf numFmtId="0" fontId="0" fillId="35" borderId="14" xfId="0" applyFill="1" applyBorder="1"/>
    <xf numFmtId="0" fontId="0" fillId="35" borderId="0" xfId="0" applyFill="1"/>
    <xf numFmtId="0" fontId="0" fillId="35" borderId="15" xfId="0" applyFill="1" applyBorder="1"/>
    <xf numFmtId="0" fontId="8" fillId="35" borderId="16" xfId="0" applyFont="1" applyFill="1" applyBorder="1"/>
    <xf numFmtId="0" fontId="8" fillId="35" borderId="36" xfId="0" applyFont="1" applyFill="1" applyBorder="1"/>
    <xf numFmtId="0" fontId="8" fillId="35" borderId="38" xfId="0" applyFont="1" applyFill="1" applyBorder="1"/>
    <xf numFmtId="0" fontId="35" fillId="27" borderId="14" xfId="0" applyFont="1" applyFill="1" applyBorder="1"/>
    <xf numFmtId="0" fontId="35" fillId="27" borderId="14" xfId="0" applyFont="1" applyFill="1" applyBorder="1" applyAlignment="1">
      <alignment vertical="center"/>
    </xf>
    <xf numFmtId="0" fontId="35" fillId="27" borderId="15" xfId="0" applyFont="1" applyFill="1" applyBorder="1" applyAlignment="1">
      <alignment vertical="center"/>
    </xf>
    <xf numFmtId="0" fontId="5" fillId="27" borderId="14" xfId="0" applyFont="1" applyFill="1" applyBorder="1" applyAlignment="1">
      <alignment vertical="center"/>
    </xf>
    <xf numFmtId="0" fontId="35" fillId="27" borderId="15" xfId="0" applyFont="1" applyFill="1" applyBorder="1"/>
    <xf numFmtId="0" fontId="35" fillId="27" borderId="0" xfId="0" applyFont="1" applyFill="1" applyAlignment="1">
      <alignment horizontal="center"/>
    </xf>
    <xf numFmtId="0" fontId="35" fillId="27" borderId="1" xfId="0" applyFont="1" applyFill="1" applyBorder="1" applyAlignment="1">
      <alignment horizontal="center"/>
    </xf>
    <xf numFmtId="173" fontId="5" fillId="27" borderId="1" xfId="0" applyNumberFormat="1" applyFont="1" applyFill="1" applyBorder="1" applyAlignment="1">
      <alignment horizontal="center"/>
    </xf>
    <xf numFmtId="0" fontId="5" fillId="27" borderId="0" xfId="0" applyFont="1" applyFill="1" applyAlignment="1">
      <alignment horizontal="center"/>
    </xf>
    <xf numFmtId="173" fontId="5" fillId="27" borderId="0" xfId="0" applyNumberFormat="1" applyFont="1" applyFill="1"/>
    <xf numFmtId="3" fontId="5" fillId="27" borderId="0" xfId="0" applyNumberFormat="1" applyFont="1" applyFill="1"/>
    <xf numFmtId="3" fontId="35" fillId="27" borderId="1" xfId="0" applyNumberFormat="1" applyFont="1" applyFill="1" applyBorder="1" applyAlignment="1">
      <alignment horizontal="center" vertical="center"/>
    </xf>
    <xf numFmtId="0" fontId="35" fillId="4" borderId="14" xfId="0" applyFont="1" applyFill="1" applyBorder="1"/>
    <xf numFmtId="0" fontId="5" fillId="4" borderId="0" xfId="0" applyFont="1" applyFill="1"/>
    <xf numFmtId="0" fontId="40" fillId="29" borderId="1" xfId="0" applyFont="1" applyFill="1" applyBorder="1" applyAlignment="1" applyProtection="1">
      <alignment horizontal="center"/>
      <protection locked="0"/>
    </xf>
    <xf numFmtId="0" fontId="37" fillId="2" borderId="14" xfId="0" applyFont="1" applyFill="1" applyBorder="1"/>
    <xf numFmtId="0" fontId="8" fillId="0" borderId="0" xfId="0" applyFont="1"/>
    <xf numFmtId="0" fontId="37" fillId="2" borderId="17" xfId="0" applyFont="1" applyFill="1" applyBorder="1"/>
    <xf numFmtId="168" fontId="5" fillId="27" borderId="1" xfId="29" applyFont="1" applyFill="1" applyBorder="1"/>
    <xf numFmtId="14" fontId="35" fillId="31" borderId="1" xfId="55" applyNumberFormat="1" applyFont="1" applyFill="1" applyBorder="1" applyAlignment="1">
      <alignment vertical="top"/>
    </xf>
    <xf numFmtId="0" fontId="6" fillId="0" borderId="0" xfId="0" applyFont="1" applyAlignment="1">
      <alignment horizontal="center"/>
    </xf>
    <xf numFmtId="14" fontId="7" fillId="0" borderId="0" xfId="44" applyNumberFormat="1" applyFont="1" applyAlignment="1">
      <alignment horizontal="left"/>
    </xf>
    <xf numFmtId="176" fontId="7" fillId="0" borderId="14" xfId="44" applyNumberFormat="1" applyFont="1" applyBorder="1" applyAlignment="1">
      <alignment horizontal="center"/>
    </xf>
    <xf numFmtId="176" fontId="7" fillId="0" borderId="16" xfId="44" applyNumberFormat="1" applyFont="1" applyBorder="1" applyAlignment="1">
      <alignment horizontal="center"/>
    </xf>
    <xf numFmtId="176" fontId="7" fillId="0" borderId="17" xfId="44" applyNumberFormat="1" applyFont="1" applyBorder="1" applyAlignment="1">
      <alignment horizontal="center"/>
    </xf>
    <xf numFmtId="176" fontId="7" fillId="0" borderId="17" xfId="55" applyNumberFormat="1" applyFont="1" applyBorder="1" applyAlignment="1">
      <alignment horizontal="center" vertical="top"/>
    </xf>
    <xf numFmtId="176" fontId="7" fillId="0" borderId="14" xfId="55" applyNumberFormat="1" applyFont="1" applyBorder="1" applyAlignment="1">
      <alignment horizontal="center" vertical="top"/>
    </xf>
    <xf numFmtId="176" fontId="7" fillId="0" borderId="16" xfId="55" applyNumberFormat="1" applyFont="1" applyBorder="1" applyAlignment="1">
      <alignment horizontal="center" vertical="top"/>
    </xf>
    <xf numFmtId="14" fontId="7" fillId="0" borderId="36" xfId="44" applyNumberFormat="1" applyFont="1" applyBorder="1" applyAlignment="1">
      <alignment horizontal="left"/>
    </xf>
    <xf numFmtId="0" fontId="31" fillId="0" borderId="39" xfId="44" applyFont="1" applyBorder="1" applyAlignment="1">
      <alignment horizontal="center"/>
    </xf>
    <xf numFmtId="0" fontId="31" fillId="0" borderId="44" xfId="44" applyFont="1" applyBorder="1" applyAlignment="1">
      <alignment horizontal="center"/>
    </xf>
    <xf numFmtId="0" fontId="31" fillId="0" borderId="40" xfId="44" applyFont="1" applyBorder="1" applyAlignment="1">
      <alignment horizontal="center"/>
    </xf>
    <xf numFmtId="0" fontId="6" fillId="2" borderId="35" xfId="0" applyFont="1" applyFill="1" applyBorder="1"/>
    <xf numFmtId="0" fontId="37" fillId="2" borderId="16" xfId="0" applyFont="1" applyFill="1" applyBorder="1"/>
    <xf numFmtId="0" fontId="6" fillId="2" borderId="36" xfId="0" applyFont="1" applyFill="1" applyBorder="1"/>
    <xf numFmtId="179" fontId="4" fillId="3" borderId="0" xfId="0" applyNumberFormat="1" applyFont="1" applyFill="1"/>
    <xf numFmtId="0" fontId="0" fillId="0" borderId="17" xfId="0" applyBorder="1"/>
    <xf numFmtId="0" fontId="0" fillId="0" borderId="35" xfId="0" applyBorder="1"/>
    <xf numFmtId="0" fontId="0" fillId="0" borderId="14" xfId="0" applyBorder="1"/>
    <xf numFmtId="0" fontId="0" fillId="0" borderId="16" xfId="0" applyBorder="1"/>
    <xf numFmtId="0" fontId="0" fillId="0" borderId="36" xfId="0" applyBorder="1"/>
    <xf numFmtId="169" fontId="0" fillId="0" borderId="14" xfId="0" applyNumberFormat="1" applyBorder="1"/>
    <xf numFmtId="0" fontId="4" fillId="0" borderId="16" xfId="0" applyFont="1" applyBorder="1"/>
    <xf numFmtId="0" fontId="4" fillId="0" borderId="36" xfId="0" applyFont="1" applyBorder="1"/>
    <xf numFmtId="179" fontId="0" fillId="0" borderId="0" xfId="0" applyNumberFormat="1"/>
    <xf numFmtId="179" fontId="0" fillId="0" borderId="36" xfId="0" applyNumberFormat="1" applyBorder="1"/>
    <xf numFmtId="179" fontId="0" fillId="0" borderId="35" xfId="0" applyNumberFormat="1" applyBorder="1"/>
    <xf numFmtId="179" fontId="4" fillId="0" borderId="36" xfId="0" applyNumberFormat="1" applyFont="1" applyBorder="1"/>
    <xf numFmtId="0" fontId="0" fillId="30" borderId="14" xfId="0" applyFill="1" applyBorder="1"/>
    <xf numFmtId="0" fontId="0" fillId="33" borderId="0" xfId="0" applyFill="1"/>
    <xf numFmtId="0" fontId="0" fillId="34" borderId="15" xfId="0" applyFill="1" applyBorder="1"/>
    <xf numFmtId="0" fontId="4" fillId="30" borderId="14" xfId="0" applyFont="1" applyFill="1" applyBorder="1"/>
    <xf numFmtId="0" fontId="4" fillId="33" borderId="0" xfId="0" applyFont="1" applyFill="1"/>
    <xf numFmtId="0" fontId="4" fillId="34" borderId="15" xfId="0" applyFont="1" applyFill="1" applyBorder="1"/>
    <xf numFmtId="179" fontId="0" fillId="30" borderId="14" xfId="1" applyNumberFormat="1" applyFont="1" applyFill="1" applyBorder="1"/>
    <xf numFmtId="179" fontId="0" fillId="33" borderId="0" xfId="1" applyNumberFormat="1" applyFont="1" applyFill="1"/>
    <xf numFmtId="179" fontId="0" fillId="34" borderId="15" xfId="0" applyNumberFormat="1" applyFill="1" applyBorder="1"/>
    <xf numFmtId="179" fontId="4" fillId="30" borderId="14" xfId="1" applyNumberFormat="1" applyFont="1" applyFill="1" applyBorder="1"/>
    <xf numFmtId="179" fontId="1" fillId="30" borderId="14" xfId="1" applyNumberFormat="1" applyFill="1" applyBorder="1"/>
    <xf numFmtId="179" fontId="0" fillId="30" borderId="16" xfId="1" applyNumberFormat="1" applyFont="1" applyFill="1" applyBorder="1"/>
    <xf numFmtId="179" fontId="0" fillId="34" borderId="38" xfId="0" applyNumberFormat="1" applyFill="1" applyBorder="1"/>
    <xf numFmtId="0" fontId="9" fillId="2" borderId="0" xfId="56" applyFont="1" applyFill="1"/>
    <xf numFmtId="0" fontId="35" fillId="2" borderId="39" xfId="55" applyFont="1" applyFill="1" applyBorder="1" applyAlignment="1">
      <alignment horizontal="center" vertical="top"/>
    </xf>
    <xf numFmtId="17" fontId="35" fillId="2" borderId="39" xfId="55" applyNumberFormat="1" applyFont="1" applyFill="1" applyBorder="1" applyAlignment="1">
      <alignment horizontal="center" vertical="top"/>
    </xf>
    <xf numFmtId="0" fontId="35" fillId="2" borderId="39" xfId="55" applyFont="1" applyFill="1" applyBorder="1" applyAlignment="1">
      <alignment horizontal="center" vertical="top" wrapText="1"/>
    </xf>
    <xf numFmtId="0" fontId="35" fillId="2" borderId="40" xfId="55" applyFont="1" applyFill="1" applyBorder="1" applyAlignment="1">
      <alignment vertical="top"/>
    </xf>
    <xf numFmtId="17" fontId="35" fillId="2" borderId="40" xfId="55" applyNumberFormat="1" applyFont="1" applyFill="1" applyBorder="1" applyAlignment="1">
      <alignment vertical="top"/>
    </xf>
    <xf numFmtId="0" fontId="35" fillId="2" borderId="40" xfId="55" applyFont="1" applyFill="1" applyBorder="1" applyAlignment="1">
      <alignment horizontal="center" vertical="top" wrapText="1"/>
    </xf>
    <xf numFmtId="0" fontId="5" fillId="2" borderId="1" xfId="44" applyFont="1" applyFill="1" applyBorder="1"/>
    <xf numFmtId="173" fontId="5" fillId="2" borderId="1" xfId="44" applyNumberFormat="1" applyFont="1" applyFill="1" applyBorder="1" applyAlignment="1">
      <alignment horizontal="center" vertical="center"/>
    </xf>
    <xf numFmtId="38" fontId="35" fillId="2" borderId="4" xfId="55" applyNumberFormat="1" applyFont="1" applyFill="1" applyBorder="1" applyAlignment="1">
      <alignment vertical="top"/>
    </xf>
    <xf numFmtId="38" fontId="5" fillId="2" borderId="0" xfId="0" applyNumberFormat="1" applyFont="1" applyFill="1"/>
    <xf numFmtId="9" fontId="36" fillId="2" borderId="0" xfId="0" applyNumberFormat="1" applyFont="1" applyFill="1" applyAlignment="1">
      <alignment horizontal="left" vertical="center"/>
    </xf>
    <xf numFmtId="9" fontId="34" fillId="2" borderId="0" xfId="0" applyNumberFormat="1" applyFont="1" applyFill="1" applyAlignment="1">
      <alignment horizontal="center"/>
    </xf>
    <xf numFmtId="173" fontId="47" fillId="2" borderId="1" xfId="0" applyNumberFormat="1" applyFont="1" applyFill="1" applyBorder="1" applyAlignment="1">
      <alignment horizontal="center"/>
    </xf>
    <xf numFmtId="0" fontId="47" fillId="2" borderId="1" xfId="0" applyFont="1" applyFill="1" applyBorder="1" applyAlignment="1">
      <alignment horizontal="center"/>
    </xf>
    <xf numFmtId="0" fontId="5" fillId="2" borderId="0" xfId="0" applyFont="1" applyFill="1" applyAlignment="1">
      <alignment horizontal="center"/>
    </xf>
    <xf numFmtId="3" fontId="5" fillId="2" borderId="0" xfId="0" applyNumberFormat="1" applyFont="1" applyFill="1" applyAlignment="1">
      <alignment horizontal="right"/>
    </xf>
    <xf numFmtId="176" fontId="47" fillId="2" borderId="1" xfId="0" applyNumberFormat="1" applyFont="1" applyFill="1" applyBorder="1" applyAlignment="1">
      <alignment horizontal="center"/>
    </xf>
    <xf numFmtId="9" fontId="47" fillId="2" borderId="1" xfId="0" applyNumberFormat="1" applyFont="1" applyFill="1" applyBorder="1" applyAlignment="1">
      <alignment horizontal="center"/>
    </xf>
    <xf numFmtId="9" fontId="5" fillId="2" borderId="0" xfId="0" applyNumberFormat="1" applyFont="1" applyFill="1" applyAlignment="1">
      <alignment horizontal="center"/>
    </xf>
    <xf numFmtId="169" fontId="35" fillId="2" borderId="0" xfId="1" applyNumberFormat="1" applyFont="1" applyFill="1"/>
    <xf numFmtId="169" fontId="35" fillId="36" borderId="0" xfId="0" applyNumberFormat="1" applyFont="1" applyFill="1"/>
    <xf numFmtId="0" fontId="35" fillId="36" borderId="0" xfId="0" applyFont="1" applyFill="1"/>
    <xf numFmtId="169" fontId="5" fillId="2" borderId="0" xfId="0" applyNumberFormat="1" applyFont="1" applyFill="1"/>
    <xf numFmtId="17" fontId="5" fillId="2" borderId="0" xfId="0" applyNumberFormat="1" applyFont="1" applyFill="1" applyAlignment="1">
      <alignment horizontal="center"/>
    </xf>
    <xf numFmtId="0" fontId="5" fillId="2" borderId="35" xfId="0" applyFont="1" applyFill="1" applyBorder="1" applyAlignment="1" applyProtection="1">
      <alignment horizontal="center"/>
      <protection locked="0"/>
    </xf>
    <xf numFmtId="173" fontId="5" fillId="2" borderId="35" xfId="0" applyNumberFormat="1" applyFont="1" applyFill="1" applyBorder="1" applyAlignment="1" applyProtection="1">
      <alignment horizontal="center"/>
      <protection locked="0"/>
    </xf>
    <xf numFmtId="173" fontId="5" fillId="2" borderId="35" xfId="0" applyNumberFormat="1" applyFont="1" applyFill="1" applyBorder="1" applyAlignment="1">
      <alignment horizontal="center"/>
    </xf>
    <xf numFmtId="17" fontId="47" fillId="2" borderId="1" xfId="0" applyNumberFormat="1" applyFont="1" applyFill="1" applyBorder="1" applyAlignment="1">
      <alignment horizontal="center"/>
    </xf>
    <xf numFmtId="0" fontId="35" fillId="36" borderId="39" xfId="0" applyFont="1" applyFill="1" applyBorder="1"/>
    <xf numFmtId="17" fontId="35" fillId="29" borderId="0" xfId="0" applyNumberFormat="1" applyFont="1" applyFill="1" applyAlignment="1">
      <alignment horizontal="left"/>
    </xf>
    <xf numFmtId="0" fontId="47" fillId="2" borderId="0" xfId="0" applyFont="1" applyFill="1"/>
    <xf numFmtId="0" fontId="5" fillId="2" borderId="1" xfId="0" applyFont="1" applyFill="1" applyBorder="1" applyAlignment="1">
      <alignment horizontal="center"/>
    </xf>
    <xf numFmtId="176" fontId="31" fillId="0" borderId="14" xfId="55" applyNumberFormat="1" applyFont="1" applyBorder="1" applyAlignment="1">
      <alignment horizontal="center" vertical="top"/>
    </xf>
    <xf numFmtId="0" fontId="3" fillId="34" borderId="1" xfId="0" applyFont="1" applyFill="1" applyBorder="1" applyAlignment="1">
      <alignment horizontal="center" wrapText="1"/>
    </xf>
    <xf numFmtId="0" fontId="0" fillId="37" borderId="0" xfId="0" applyFill="1" applyAlignment="1">
      <alignment wrapText="1"/>
    </xf>
    <xf numFmtId="0" fontId="0" fillId="38" borderId="0" xfId="0" applyFill="1"/>
    <xf numFmtId="179" fontId="0" fillId="38" borderId="0" xfId="0" applyNumberFormat="1" applyFill="1"/>
    <xf numFmtId="1" fontId="0" fillId="0" borderId="0" xfId="0" applyNumberFormat="1"/>
    <xf numFmtId="0" fontId="52" fillId="0" borderId="0" xfId="57" applyFont="1" applyAlignment="1">
      <alignment horizontal="center" vertical="top"/>
    </xf>
    <xf numFmtId="0" fontId="52" fillId="0" borderId="0" xfId="57" applyFont="1">
      <alignment vertical="top"/>
    </xf>
    <xf numFmtId="0" fontId="51" fillId="0" borderId="0" xfId="57" applyFont="1">
      <alignment vertical="top"/>
    </xf>
    <xf numFmtId="0" fontId="52" fillId="0" borderId="0" xfId="57" applyFont="1" applyAlignment="1">
      <alignment horizontal="left" vertical="top"/>
    </xf>
    <xf numFmtId="180" fontId="52" fillId="0" borderId="0" xfId="57" applyNumberFormat="1" applyFont="1">
      <alignment vertical="top"/>
    </xf>
    <xf numFmtId="14" fontId="52" fillId="0" borderId="0" xfId="57" quotePrefix="1" applyNumberFormat="1" applyFont="1">
      <alignment vertical="top"/>
    </xf>
    <xf numFmtId="0" fontId="53" fillId="0" borderId="0" xfId="57" applyFont="1" applyAlignment="1">
      <alignment horizontal="left" vertical="top"/>
    </xf>
    <xf numFmtId="0" fontId="53" fillId="0" borderId="0" xfId="57" applyFont="1">
      <alignment vertical="top"/>
    </xf>
    <xf numFmtId="171" fontId="54" fillId="39" borderId="0" xfId="57" applyNumberFormat="1" applyFont="1" applyFill="1">
      <alignment vertical="top"/>
    </xf>
    <xf numFmtId="164" fontId="53" fillId="0" borderId="0" xfId="57" applyNumberFormat="1" applyFont="1">
      <alignment vertical="top"/>
    </xf>
    <xf numFmtId="0" fontId="52" fillId="0" borderId="1" xfId="57" applyFont="1" applyBorder="1">
      <alignment vertical="top"/>
    </xf>
    <xf numFmtId="0" fontId="52" fillId="0" borderId="1" xfId="57" applyFont="1" applyBorder="1" applyAlignment="1">
      <alignment horizontal="center" vertical="top"/>
    </xf>
    <xf numFmtId="0" fontId="52" fillId="0" borderId="4" xfId="57" applyFont="1" applyBorder="1">
      <alignment vertical="top"/>
    </xf>
    <xf numFmtId="0" fontId="52" fillId="0" borderId="39" xfId="57" applyFont="1" applyBorder="1" applyAlignment="1">
      <alignment horizontal="center" vertical="top"/>
    </xf>
    <xf numFmtId="3" fontId="52" fillId="0" borderId="1" xfId="57" applyNumberFormat="1" applyFont="1" applyBorder="1">
      <alignment vertical="top"/>
    </xf>
    <xf numFmtId="10" fontId="52" fillId="0" borderId="1" xfId="59" applyNumberFormat="1" applyFont="1" applyBorder="1" applyAlignment="1">
      <alignment vertical="top"/>
    </xf>
    <xf numFmtId="182" fontId="52" fillId="0" borderId="1" xfId="60" applyNumberFormat="1" applyFont="1" applyBorder="1" applyAlignment="1">
      <alignment vertical="top"/>
    </xf>
    <xf numFmtId="3" fontId="52" fillId="0" borderId="0" xfId="57" applyNumberFormat="1" applyFont="1">
      <alignment vertical="top"/>
    </xf>
    <xf numFmtId="0" fontId="52" fillId="0" borderId="44" xfId="57" applyFont="1" applyBorder="1" applyAlignment="1">
      <alignment horizontal="center" vertical="top"/>
    </xf>
    <xf numFmtId="164" fontId="52" fillId="0" borderId="0" xfId="57" applyNumberFormat="1" applyFont="1">
      <alignment vertical="top"/>
    </xf>
    <xf numFmtId="0" fontId="52" fillId="0" borderId="40" xfId="57" applyFont="1" applyBorder="1" applyAlignment="1">
      <alignment horizontal="center" vertical="top"/>
    </xf>
    <xf numFmtId="10" fontId="52" fillId="0" borderId="0" xfId="57" applyNumberFormat="1" applyFont="1">
      <alignment vertical="top"/>
    </xf>
    <xf numFmtId="1" fontId="52" fillId="0" borderId="0" xfId="57" applyNumberFormat="1" applyFont="1">
      <alignment vertical="top"/>
    </xf>
    <xf numFmtId="168" fontId="35" fillId="2" borderId="0" xfId="1" applyNumberFormat="1" applyFont="1" applyFill="1"/>
    <xf numFmtId="10" fontId="52" fillId="0" borderId="0" xfId="59" applyNumberFormat="1" applyFont="1" applyAlignment="1">
      <alignment vertical="top"/>
    </xf>
    <xf numFmtId="2" fontId="47" fillId="2" borderId="1" xfId="0" applyNumberFormat="1" applyFont="1" applyFill="1" applyBorder="1" applyAlignment="1">
      <alignment horizontal="center"/>
    </xf>
    <xf numFmtId="1" fontId="47" fillId="2" borderId="1" xfId="0" applyNumberFormat="1" applyFont="1" applyFill="1" applyBorder="1" applyAlignment="1">
      <alignment horizontal="center"/>
    </xf>
    <xf numFmtId="176" fontId="4" fillId="27" borderId="1" xfId="0" applyNumberFormat="1" applyFont="1" applyFill="1" applyBorder="1"/>
    <xf numFmtId="0" fontId="46" fillId="2" borderId="0" xfId="0" applyFont="1" applyFill="1"/>
    <xf numFmtId="0" fontId="67" fillId="2" borderId="0" xfId="0" applyFont="1" applyFill="1"/>
    <xf numFmtId="0" fontId="68" fillId="2" borderId="0" xfId="0" applyFont="1" applyFill="1"/>
    <xf numFmtId="169" fontId="5" fillId="2" borderId="0" xfId="1" applyNumberFormat="1" applyFont="1" applyFill="1"/>
    <xf numFmtId="10" fontId="5" fillId="2" borderId="0" xfId="0" applyNumberFormat="1" applyFont="1" applyFill="1"/>
    <xf numFmtId="9" fontId="6" fillId="2" borderId="0" xfId="53" applyFont="1" applyFill="1" applyAlignment="1">
      <alignment horizontal="center"/>
    </xf>
    <xf numFmtId="0" fontId="67" fillId="2" borderId="0" xfId="56" applyFont="1" applyFill="1"/>
    <xf numFmtId="0" fontId="69" fillId="2" borderId="0" xfId="0" applyFont="1" applyFill="1"/>
    <xf numFmtId="0" fontId="54" fillId="39" borderId="0" xfId="58" applyNumberFormat="1" applyFont="1" applyFill="1" applyAlignment="1">
      <alignment vertical="top"/>
    </xf>
    <xf numFmtId="0" fontId="53" fillId="0" borderId="0" xfId="57" applyFont="1" applyAlignment="1">
      <alignment horizontal="center" vertical="top"/>
    </xf>
    <xf numFmtId="0" fontId="52" fillId="0" borderId="55" xfId="57" applyFont="1" applyBorder="1" applyAlignment="1">
      <alignment horizontal="center" vertical="top"/>
    </xf>
    <xf numFmtId="0" fontId="52" fillId="0" borderId="55" xfId="57" applyFont="1" applyBorder="1">
      <alignment vertical="top"/>
    </xf>
    <xf numFmtId="0" fontId="52" fillId="0" borderId="88" xfId="57" applyFont="1" applyBorder="1">
      <alignment vertical="top"/>
    </xf>
    <xf numFmtId="0" fontId="52" fillId="0" borderId="90" xfId="57" applyFont="1" applyBorder="1">
      <alignment vertical="top"/>
    </xf>
    <xf numFmtId="0" fontId="52" fillId="0" borderId="89" xfId="57" applyFont="1" applyBorder="1">
      <alignment vertical="top"/>
    </xf>
    <xf numFmtId="3" fontId="52" fillId="0" borderId="89" xfId="57" applyNumberFormat="1" applyFont="1" applyBorder="1">
      <alignment vertical="top"/>
    </xf>
    <xf numFmtId="3" fontId="52" fillId="0" borderId="91" xfId="57" applyNumberFormat="1" applyFont="1" applyBorder="1">
      <alignment vertical="top"/>
    </xf>
    <xf numFmtId="10" fontId="52" fillId="0" borderId="92" xfId="59" applyNumberFormat="1" applyFont="1" applyBorder="1" applyAlignment="1">
      <alignment vertical="top"/>
    </xf>
    <xf numFmtId="3" fontId="52" fillId="0" borderId="92" xfId="57" applyNumberFormat="1" applyFont="1" applyBorder="1">
      <alignment vertical="top"/>
    </xf>
    <xf numFmtId="0" fontId="52" fillId="0" borderId="92" xfId="57" applyFont="1" applyBorder="1">
      <alignment vertical="top"/>
    </xf>
    <xf numFmtId="0" fontId="52" fillId="0" borderId="93" xfId="57" applyFont="1" applyBorder="1">
      <alignment vertical="top"/>
    </xf>
    <xf numFmtId="0" fontId="70" fillId="2" borderId="0" xfId="0" applyFont="1" applyFill="1"/>
    <xf numFmtId="0" fontId="4" fillId="27" borderId="1" xfId="0" applyFont="1" applyFill="1" applyBorder="1" applyAlignment="1">
      <alignment horizontal="right"/>
    </xf>
    <xf numFmtId="176" fontId="4" fillId="27" borderId="1" xfId="0" applyNumberFormat="1" applyFont="1" applyFill="1" applyBorder="1" applyAlignment="1">
      <alignment horizontal="right"/>
    </xf>
    <xf numFmtId="0" fontId="42" fillId="2" borderId="0" xfId="0" applyFont="1" applyFill="1"/>
    <xf numFmtId="0" fontId="0" fillId="0" borderId="1" xfId="0" applyBorder="1"/>
    <xf numFmtId="0" fontId="3" fillId="0" borderId="1" xfId="0" applyFont="1" applyBorder="1"/>
    <xf numFmtId="0" fontId="3" fillId="0" borderId="1" xfId="0" applyFont="1" applyBorder="1" applyAlignment="1">
      <alignment horizontal="center"/>
    </xf>
    <xf numFmtId="9" fontId="3" fillId="0" borderId="1" xfId="0" applyNumberFormat="1" applyFont="1" applyBorder="1" applyAlignment="1">
      <alignment horizontal="center"/>
    </xf>
    <xf numFmtId="0" fontId="3" fillId="0" borderId="94" xfId="0" applyFont="1" applyBorder="1"/>
    <xf numFmtId="0" fontId="3" fillId="0" borderId="95" xfId="0" applyFont="1" applyBorder="1"/>
    <xf numFmtId="0" fontId="3" fillId="0" borderId="96" xfId="0" applyFont="1" applyBorder="1"/>
    <xf numFmtId="0" fontId="0" fillId="0" borderId="97" xfId="0" applyBorder="1"/>
    <xf numFmtId="0" fontId="3" fillId="0" borderId="97" xfId="0" applyFont="1" applyBorder="1" applyAlignment="1">
      <alignment horizontal="center"/>
    </xf>
    <xf numFmtId="9" fontId="3" fillId="0" borderId="95" xfId="0" applyNumberFormat="1" applyFont="1" applyBorder="1" applyAlignment="1">
      <alignment horizontal="center"/>
    </xf>
    <xf numFmtId="0" fontId="3" fillId="0" borderId="0" xfId="0" applyFont="1" applyAlignment="1">
      <alignment horizontal="center" vertical="center"/>
    </xf>
    <xf numFmtId="0" fontId="3" fillId="0" borderId="102" xfId="0" applyFont="1" applyBorder="1" applyAlignment="1">
      <alignment horizontal="center" vertical="center"/>
    </xf>
    <xf numFmtId="0" fontId="3" fillId="0" borderId="40" xfId="0" applyFont="1" applyBorder="1" applyAlignment="1">
      <alignment horizontal="center" vertical="center"/>
    </xf>
    <xf numFmtId="0" fontId="3" fillId="0" borderId="103" xfId="0" applyFont="1" applyBorder="1" applyAlignment="1">
      <alignment horizontal="center" vertical="center"/>
    </xf>
    <xf numFmtId="0" fontId="3" fillId="33" borderId="104" xfId="0" applyFont="1" applyFill="1" applyBorder="1" applyAlignment="1">
      <alignment horizontal="center"/>
    </xf>
    <xf numFmtId="0" fontId="3" fillId="33" borderId="105" xfId="0" applyFont="1" applyFill="1" applyBorder="1" applyAlignment="1">
      <alignment horizontal="center"/>
    </xf>
    <xf numFmtId="38" fontId="74" fillId="0" borderId="0" xfId="99" applyFont="1"/>
    <xf numFmtId="176" fontId="74" fillId="0" borderId="0" xfId="99" applyNumberFormat="1" applyFont="1"/>
    <xf numFmtId="38" fontId="74" fillId="0" borderId="132" xfId="99" applyFont="1" applyBorder="1"/>
    <xf numFmtId="176" fontId="74" fillId="0" borderId="132" xfId="99" applyNumberFormat="1" applyFont="1" applyBorder="1"/>
    <xf numFmtId="176" fontId="75" fillId="0" borderId="0" xfId="99" applyNumberFormat="1" applyFont="1"/>
    <xf numFmtId="38" fontId="75" fillId="0" borderId="0" xfId="99" applyFont="1"/>
    <xf numFmtId="38" fontId="15" fillId="0" borderId="0" xfId="99" applyFont="1"/>
    <xf numFmtId="191" fontId="74" fillId="0" borderId="0" xfId="99" applyNumberFormat="1" applyFont="1"/>
    <xf numFmtId="191" fontId="74" fillId="0" borderId="0" xfId="99" applyNumberFormat="1" applyFont="1" applyAlignment="1">
      <alignment horizontal="center"/>
    </xf>
    <xf numFmtId="38" fontId="74" fillId="0" borderId="133" xfId="99" applyFont="1" applyBorder="1"/>
    <xf numFmtId="176" fontId="74" fillId="0" borderId="133" xfId="99" applyNumberFormat="1" applyFont="1" applyBorder="1"/>
    <xf numFmtId="176" fontId="77" fillId="0" borderId="0" xfId="99" applyNumberFormat="1" applyFont="1"/>
    <xf numFmtId="38" fontId="77" fillId="0" borderId="0" xfId="99" applyFont="1"/>
    <xf numFmtId="38" fontId="78" fillId="0" borderId="0" xfId="99" applyFont="1"/>
    <xf numFmtId="0" fontId="81" fillId="0" borderId="0" xfId="101" applyFont="1"/>
    <xf numFmtId="0" fontId="80" fillId="0" borderId="0" xfId="101" applyFont="1"/>
    <xf numFmtId="0" fontId="12" fillId="0" borderId="0" xfId="101" applyFont="1"/>
    <xf numFmtId="0" fontId="81" fillId="0" borderId="0" xfId="101" applyFont="1" applyAlignment="1">
      <alignment horizontal="center"/>
    </xf>
    <xf numFmtId="0" fontId="82" fillId="0" borderId="0" xfId="101" applyFont="1" applyAlignment="1">
      <alignment horizontal="right"/>
    </xf>
    <xf numFmtId="0" fontId="82" fillId="0" borderId="0" xfId="101" applyFont="1"/>
    <xf numFmtId="0" fontId="81" fillId="0" borderId="0" xfId="101" applyFont="1" applyAlignment="1">
      <alignment horizontal="right"/>
    </xf>
    <xf numFmtId="193" fontId="81" fillId="0" borderId="0" xfId="101" applyNumberFormat="1" applyFont="1"/>
    <xf numFmtId="0" fontId="83" fillId="0" borderId="0" xfId="101" applyFont="1"/>
    <xf numFmtId="0" fontId="83" fillId="0" borderId="0" xfId="101" applyFont="1" applyAlignment="1">
      <alignment horizontal="center"/>
    </xf>
    <xf numFmtId="0" fontId="84" fillId="0" borderId="0" xfId="101" applyFont="1" applyAlignment="1">
      <alignment horizontal="center"/>
    </xf>
    <xf numFmtId="194" fontId="81" fillId="0" borderId="0" xfId="101" applyNumberFormat="1" applyFont="1" applyAlignment="1">
      <alignment horizontal="center"/>
    </xf>
    <xf numFmtId="195" fontId="81" fillId="0" borderId="0" xfId="101" applyNumberFormat="1" applyFont="1" applyAlignment="1">
      <alignment horizontal="center"/>
    </xf>
    <xf numFmtId="0" fontId="84" fillId="0" borderId="0" xfId="101" applyFont="1"/>
    <xf numFmtId="196" fontId="81" fillId="0" borderId="0" xfId="101" applyNumberFormat="1" applyFont="1" applyAlignment="1">
      <alignment horizontal="center"/>
    </xf>
    <xf numFmtId="0" fontId="12" fillId="0" borderId="0" xfId="101" applyFont="1" applyAlignment="1">
      <alignment horizontal="center"/>
    </xf>
    <xf numFmtId="0" fontId="81" fillId="41" borderId="17" xfId="101" applyFont="1" applyFill="1" applyBorder="1"/>
    <xf numFmtId="0" fontId="81" fillId="41" borderId="35" xfId="101" applyFont="1" applyFill="1" applyBorder="1"/>
    <xf numFmtId="197" fontId="81" fillId="41" borderId="78" xfId="54" applyNumberFormat="1" applyFont="1" applyFill="1" applyBorder="1"/>
    <xf numFmtId="171" fontId="82" fillId="41" borderId="52" xfId="101" applyNumberFormat="1" applyFont="1" applyFill="1" applyBorder="1"/>
    <xf numFmtId="3" fontId="82" fillId="41" borderId="52" xfId="101" applyNumberFormat="1" applyFont="1" applyFill="1" applyBorder="1"/>
    <xf numFmtId="0" fontId="81" fillId="41" borderId="37" xfId="101" applyFont="1" applyFill="1" applyBorder="1"/>
    <xf numFmtId="0" fontId="86" fillId="41" borderId="0" xfId="101" applyFont="1" applyFill="1" applyAlignment="1">
      <alignment horizontal="center"/>
    </xf>
    <xf numFmtId="0" fontId="81" fillId="41" borderId="75" xfId="101" applyFont="1" applyFill="1" applyBorder="1"/>
    <xf numFmtId="171" fontId="81" fillId="41" borderId="42" xfId="101" applyNumberFormat="1" applyFont="1" applyFill="1" applyBorder="1"/>
    <xf numFmtId="3" fontId="81" fillId="41" borderId="42" xfId="101" applyNumberFormat="1" applyFont="1" applyFill="1" applyBorder="1"/>
    <xf numFmtId="194" fontId="86" fillId="41" borderId="0" xfId="101" applyNumberFormat="1" applyFont="1" applyFill="1" applyAlignment="1">
      <alignment horizontal="center"/>
    </xf>
    <xf numFmtId="195" fontId="88" fillId="41" borderId="75" xfId="102" applyNumberFormat="1" applyFont="1" applyFill="1" applyBorder="1" applyAlignment="1">
      <alignment horizontal="center"/>
    </xf>
    <xf numFmtId="0" fontId="87" fillId="41" borderId="14" xfId="101" applyFont="1" applyFill="1" applyBorder="1"/>
    <xf numFmtId="0" fontId="81" fillId="41" borderId="0" xfId="101" applyFont="1" applyFill="1"/>
    <xf numFmtId="0" fontId="87" fillId="41" borderId="16" xfId="101" applyFont="1" applyFill="1" applyBorder="1"/>
    <xf numFmtId="0" fontId="81" fillId="41" borderId="36" xfId="101" applyFont="1" applyFill="1" applyBorder="1"/>
    <xf numFmtId="194" fontId="86" fillId="41" borderId="36" xfId="101" applyNumberFormat="1" applyFont="1" applyFill="1" applyBorder="1" applyAlignment="1">
      <alignment horizontal="center"/>
    </xf>
    <xf numFmtId="195" fontId="88" fillId="41" borderId="135" xfId="102" applyNumberFormat="1" applyFont="1" applyFill="1" applyBorder="1" applyAlignment="1">
      <alignment horizontal="center"/>
    </xf>
    <xf numFmtId="171" fontId="81" fillId="41" borderId="45" xfId="101" applyNumberFormat="1" applyFont="1" applyFill="1" applyBorder="1"/>
    <xf numFmtId="3" fontId="81" fillId="41" borderId="45" xfId="101" applyNumberFormat="1" applyFont="1" applyFill="1" applyBorder="1"/>
    <xf numFmtId="197" fontId="81" fillId="41" borderId="136" xfId="101" applyNumberFormat="1" applyFont="1" applyFill="1" applyBorder="1"/>
    <xf numFmtId="0" fontId="81" fillId="41" borderId="38" xfId="101" applyFont="1" applyFill="1" applyBorder="1"/>
    <xf numFmtId="0" fontId="87" fillId="0" borderId="14" xfId="101" applyFont="1" applyBorder="1"/>
    <xf numFmtId="194" fontId="86" fillId="0" borderId="0" xfId="101" applyNumberFormat="1" applyFont="1" applyAlignment="1">
      <alignment horizontal="center"/>
    </xf>
    <xf numFmtId="195" fontId="88" fillId="0" borderId="78" xfId="102" applyNumberFormat="1" applyFont="1" applyBorder="1" applyAlignment="1">
      <alignment horizontal="center"/>
    </xf>
    <xf numFmtId="171" fontId="81" fillId="0" borderId="52" xfId="101" applyNumberFormat="1" applyFont="1" applyBorder="1"/>
    <xf numFmtId="3" fontId="81" fillId="0" borderId="52" xfId="101" applyNumberFormat="1" applyFont="1" applyBorder="1"/>
    <xf numFmtId="197" fontId="81" fillId="0" borderId="134" xfId="101" applyNumberFormat="1" applyFont="1" applyBorder="1"/>
    <xf numFmtId="0" fontId="81" fillId="0" borderId="15" xfId="101" applyFont="1" applyBorder="1"/>
    <xf numFmtId="172" fontId="81" fillId="0" borderId="134" xfId="101" applyNumberFormat="1" applyFont="1" applyBorder="1"/>
    <xf numFmtId="0" fontId="82" fillId="0" borderId="14" xfId="101" applyFont="1" applyBorder="1"/>
    <xf numFmtId="197" fontId="81" fillId="0" borderId="75" xfId="54" applyNumberFormat="1" applyFont="1" applyBorder="1"/>
    <xf numFmtId="171" fontId="81" fillId="0" borderId="42" xfId="101" applyNumberFormat="1" applyFont="1" applyBorder="1"/>
    <xf numFmtId="3" fontId="81" fillId="0" borderId="42" xfId="101" applyNumberFormat="1" applyFont="1" applyBorder="1"/>
    <xf numFmtId="197" fontId="81" fillId="0" borderId="74" xfId="101" applyNumberFormat="1" applyFont="1" applyBorder="1"/>
    <xf numFmtId="172" fontId="81" fillId="0" borderId="74" xfId="101" applyNumberFormat="1" applyFont="1" applyBorder="1"/>
    <xf numFmtId="0" fontId="82" fillId="0" borderId="14" xfId="101" applyFont="1" applyBorder="1" applyAlignment="1">
      <alignment horizontal="right"/>
    </xf>
    <xf numFmtId="197" fontId="86" fillId="0" borderId="75" xfId="54" applyNumberFormat="1" applyFont="1" applyBorder="1"/>
    <xf numFmtId="198" fontId="89" fillId="0" borderId="75" xfId="54" applyNumberFormat="1" applyFont="1" applyBorder="1"/>
    <xf numFmtId="198" fontId="83" fillId="0" borderId="75" xfId="54" applyNumberFormat="1" applyFont="1" applyBorder="1"/>
    <xf numFmtId="169" fontId="81" fillId="0" borderId="0" xfId="101" applyNumberFormat="1" applyFont="1"/>
    <xf numFmtId="171" fontId="81" fillId="0" borderId="45" xfId="101" applyNumberFormat="1" applyFont="1" applyBorder="1"/>
    <xf numFmtId="3" fontId="81" fillId="0" borderId="45" xfId="101" applyNumberFormat="1" applyFont="1" applyBorder="1"/>
    <xf numFmtId="172" fontId="81" fillId="0" borderId="136" xfId="101" applyNumberFormat="1" applyFont="1" applyBorder="1"/>
    <xf numFmtId="0" fontId="81" fillId="0" borderId="38" xfId="101" applyFont="1" applyBorder="1"/>
    <xf numFmtId="197" fontId="82" fillId="0" borderId="75" xfId="54" applyNumberFormat="1" applyFont="1" applyBorder="1"/>
    <xf numFmtId="171" fontId="82" fillId="0" borderId="42" xfId="101" applyNumberFormat="1" applyFont="1" applyBorder="1"/>
    <xf numFmtId="3" fontId="82" fillId="0" borderId="42" xfId="101" quotePrefix="1" applyNumberFormat="1" applyFont="1" applyBorder="1"/>
    <xf numFmtId="172" fontId="82" fillId="0" borderId="74" xfId="101" applyNumberFormat="1" applyFont="1" applyBorder="1"/>
    <xf numFmtId="3" fontId="82" fillId="0" borderId="15" xfId="101" quotePrefix="1" applyNumberFormat="1" applyFont="1" applyBorder="1"/>
    <xf numFmtId="169" fontId="82" fillId="0" borderId="0" xfId="101" applyNumberFormat="1" applyFont="1"/>
    <xf numFmtId="3" fontId="81" fillId="0" borderId="42" xfId="101" quotePrefix="1" applyNumberFormat="1" applyFont="1" applyBorder="1"/>
    <xf numFmtId="169" fontId="81" fillId="0" borderId="0" xfId="103" applyNumberFormat="1" applyFont="1"/>
    <xf numFmtId="169" fontId="81" fillId="0" borderId="75" xfId="54" applyNumberFormat="1" applyFont="1" applyBorder="1"/>
    <xf numFmtId="169" fontId="81" fillId="0" borderId="135" xfId="54" applyNumberFormat="1" applyFont="1" applyBorder="1"/>
    <xf numFmtId="165" fontId="81" fillId="0" borderId="0" xfId="101" applyNumberFormat="1" applyFont="1"/>
    <xf numFmtId="169" fontId="81" fillId="0" borderId="75" xfId="103" applyNumberFormat="1" applyFont="1" applyBorder="1"/>
    <xf numFmtId="0" fontId="82" fillId="0" borderId="14" xfId="101" applyFont="1" applyBorder="1" applyAlignment="1">
      <alignment horizontal="right" vertical="top"/>
    </xf>
    <xf numFmtId="0" fontId="81" fillId="0" borderId="0" xfId="101" applyFont="1" applyAlignment="1">
      <alignment vertical="top" wrapText="1"/>
    </xf>
    <xf numFmtId="169" fontId="81" fillId="0" borderId="135" xfId="103" applyNumberFormat="1" applyFont="1" applyBorder="1"/>
    <xf numFmtId="0" fontId="81" fillId="0" borderId="0" xfId="101" applyFont="1" applyAlignment="1">
      <alignment wrapText="1"/>
    </xf>
    <xf numFmtId="0" fontId="82" fillId="41" borderId="17" xfId="101" applyFont="1" applyFill="1" applyBorder="1"/>
    <xf numFmtId="169" fontId="81" fillId="41" borderId="35" xfId="101" applyNumberFormat="1" applyFont="1" applyFill="1" applyBorder="1"/>
    <xf numFmtId="171" fontId="81" fillId="41" borderId="52" xfId="101" applyNumberFormat="1" applyFont="1" applyFill="1" applyBorder="1"/>
    <xf numFmtId="3" fontId="81" fillId="41" borderId="52" xfId="101" applyNumberFormat="1" applyFont="1" applyFill="1" applyBorder="1"/>
    <xf numFmtId="172" fontId="81" fillId="41" borderId="134" xfId="101" applyNumberFormat="1" applyFont="1" applyFill="1" applyBorder="1"/>
    <xf numFmtId="0" fontId="85" fillId="41" borderId="14" xfId="101" applyFont="1" applyFill="1" applyBorder="1" applyAlignment="1">
      <alignment vertical="center"/>
    </xf>
    <xf numFmtId="0" fontId="85" fillId="41" borderId="0" xfId="101" applyFont="1" applyFill="1" applyAlignment="1">
      <alignment vertical="center"/>
    </xf>
    <xf numFmtId="169" fontId="85" fillId="41" borderId="0" xfId="101" applyNumberFormat="1" applyFont="1" applyFill="1" applyAlignment="1">
      <alignment vertical="center"/>
    </xf>
    <xf numFmtId="197" fontId="85" fillId="41" borderId="75" xfId="54" applyNumberFormat="1" applyFont="1" applyFill="1" applyBorder="1" applyAlignment="1">
      <alignment vertical="center"/>
    </xf>
    <xf numFmtId="171" fontId="85" fillId="41" borderId="42" xfId="101" applyNumberFormat="1" applyFont="1" applyFill="1" applyBorder="1" applyAlignment="1">
      <alignment vertical="center"/>
    </xf>
    <xf numFmtId="3" fontId="85" fillId="41" borderId="42" xfId="101" quotePrefix="1" applyNumberFormat="1" applyFont="1" applyFill="1" applyBorder="1" applyAlignment="1">
      <alignment vertical="center"/>
    </xf>
    <xf numFmtId="172" fontId="85" fillId="41" borderId="74" xfId="101" applyNumberFormat="1" applyFont="1" applyFill="1" applyBorder="1" applyAlignment="1">
      <alignment vertical="center"/>
    </xf>
    <xf numFmtId="0" fontId="85" fillId="41" borderId="15" xfId="101" quotePrefix="1" applyFont="1" applyFill="1" applyBorder="1" applyAlignment="1">
      <alignment vertical="center"/>
    </xf>
    <xf numFmtId="0" fontId="82" fillId="0" borderId="0" xfId="101" applyFont="1" applyAlignment="1">
      <alignment vertical="center"/>
    </xf>
    <xf numFmtId="0" fontId="82" fillId="41" borderId="16" xfId="101" applyFont="1" applyFill="1" applyBorder="1"/>
    <xf numFmtId="169" fontId="81" fillId="41" borderId="36" xfId="101" applyNumberFormat="1" applyFont="1" applyFill="1" applyBorder="1"/>
    <xf numFmtId="197" fontId="81" fillId="41" borderId="135" xfId="54" applyNumberFormat="1" applyFont="1" applyFill="1" applyBorder="1"/>
    <xf numFmtId="172" fontId="81" fillId="41" borderId="136" xfId="101" applyNumberFormat="1" applyFont="1" applyFill="1" applyBorder="1"/>
    <xf numFmtId="197" fontId="81" fillId="0" borderId="0" xfId="54" applyNumberFormat="1" applyFont="1"/>
    <xf numFmtId="171" fontId="81" fillId="0" borderId="0" xfId="101" applyNumberFormat="1" applyFont="1"/>
    <xf numFmtId="3" fontId="81" fillId="0" borderId="0" xfId="101" applyNumberFormat="1" applyFont="1"/>
    <xf numFmtId="197" fontId="81" fillId="0" borderId="0" xfId="101" applyNumberFormat="1" applyFont="1"/>
    <xf numFmtId="172" fontId="81" fillId="0" borderId="0" xfId="101" applyNumberFormat="1" applyFont="1"/>
    <xf numFmtId="167" fontId="81" fillId="0" borderId="15" xfId="54" applyFont="1" applyBorder="1"/>
    <xf numFmtId="199" fontId="81" fillId="0" borderId="0" xfId="101" applyNumberFormat="1" applyFont="1"/>
    <xf numFmtId="167" fontId="81" fillId="0" borderId="15" xfId="54" quotePrefix="1" applyFont="1" applyBorder="1"/>
    <xf numFmtId="0" fontId="81" fillId="0" borderId="44" xfId="101" applyFont="1" applyBorder="1"/>
    <xf numFmtId="194" fontId="88" fillId="41" borderId="135" xfId="102" applyNumberFormat="1" applyFont="1" applyFill="1" applyBorder="1" applyAlignment="1">
      <alignment horizontal="center"/>
    </xf>
    <xf numFmtId="0" fontId="90" fillId="0" borderId="14" xfId="101" applyFont="1" applyBorder="1"/>
    <xf numFmtId="167" fontId="81" fillId="0" borderId="78" xfId="54" applyFont="1" applyBorder="1"/>
    <xf numFmtId="197" fontId="81" fillId="0" borderId="78" xfId="54" applyNumberFormat="1" applyFont="1" applyBorder="1"/>
    <xf numFmtId="167" fontId="81" fillId="0" borderId="75" xfId="54" applyFont="1" applyBorder="1"/>
    <xf numFmtId="0" fontId="81" fillId="0" borderId="40" xfId="101" applyFont="1" applyBorder="1"/>
    <xf numFmtId="0" fontId="81" fillId="0" borderId="75" xfId="101" applyFont="1" applyBorder="1"/>
    <xf numFmtId="0" fontId="81" fillId="0" borderId="42" xfId="101" applyFont="1" applyBorder="1"/>
    <xf numFmtId="10" fontId="81" fillId="0" borderId="44" xfId="104" applyNumberFormat="1" applyFont="1" applyBorder="1" applyAlignment="1">
      <alignment horizontal="center"/>
    </xf>
    <xf numFmtId="190" fontId="81" fillId="0" borderId="0" xfId="101" applyNumberFormat="1" applyFont="1"/>
    <xf numFmtId="197" fontId="82" fillId="0" borderId="75" xfId="54" applyNumberFormat="1" applyFont="1" applyBorder="1" applyAlignment="1">
      <alignment horizontal="right"/>
    </xf>
    <xf numFmtId="0" fontId="82" fillId="0" borderId="16" xfId="101" applyFont="1" applyBorder="1"/>
    <xf numFmtId="0" fontId="81" fillId="0" borderId="36" xfId="101" applyFont="1" applyBorder="1"/>
    <xf numFmtId="197" fontId="81" fillId="0" borderId="135" xfId="54" applyNumberFormat="1" applyFont="1" applyBorder="1"/>
    <xf numFmtId="0" fontId="82" fillId="41" borderId="14" xfId="101" applyFont="1" applyFill="1" applyBorder="1"/>
    <xf numFmtId="197" fontId="81" fillId="41" borderId="75" xfId="54" applyNumberFormat="1" applyFont="1" applyFill="1" applyBorder="1"/>
    <xf numFmtId="172" fontId="81" fillId="41" borderId="74" xfId="101" applyNumberFormat="1" applyFont="1" applyFill="1" applyBorder="1"/>
    <xf numFmtId="0" fontId="81" fillId="41" borderId="15" xfId="101" applyFont="1" applyFill="1" applyBorder="1"/>
    <xf numFmtId="10" fontId="81" fillId="41" borderId="44" xfId="104" applyNumberFormat="1" applyFont="1" applyFill="1" applyBorder="1" applyAlignment="1">
      <alignment horizontal="center"/>
    </xf>
    <xf numFmtId="0" fontId="85" fillId="41" borderId="14" xfId="101" applyFont="1" applyFill="1" applyBorder="1"/>
    <xf numFmtId="3" fontId="85" fillId="41" borderId="15" xfId="101" quotePrefix="1" applyNumberFormat="1" applyFont="1" applyFill="1" applyBorder="1" applyAlignment="1">
      <alignment vertical="center"/>
    </xf>
    <xf numFmtId="10" fontId="91" fillId="41" borderId="44" xfId="104" applyNumberFormat="1" applyFont="1" applyFill="1" applyBorder="1" applyAlignment="1">
      <alignment vertical="center"/>
    </xf>
    <xf numFmtId="0" fontId="81" fillId="41" borderId="40" xfId="101" applyFont="1" applyFill="1" applyBorder="1"/>
    <xf numFmtId="0" fontId="81" fillId="0" borderId="0" xfId="101" applyFont="1" applyAlignment="1">
      <alignment vertical="center"/>
    </xf>
    <xf numFmtId="197" fontId="82" fillId="0" borderId="0" xfId="101" applyNumberFormat="1" applyFont="1"/>
    <xf numFmtId="172" fontId="82" fillId="0" borderId="0" xfId="101" applyNumberFormat="1" applyFont="1"/>
    <xf numFmtId="167" fontId="81" fillId="0" borderId="0" xfId="54" applyFont="1"/>
    <xf numFmtId="0" fontId="81" fillId="0" borderId="17" xfId="101" applyFont="1" applyBorder="1"/>
    <xf numFmtId="0" fontId="81" fillId="0" borderId="35" xfId="101" applyFont="1" applyBorder="1"/>
    <xf numFmtId="197" fontId="81" fillId="0" borderId="35" xfId="54" applyNumberFormat="1" applyFont="1" applyBorder="1"/>
    <xf numFmtId="171" fontId="81" fillId="0" borderId="35" xfId="101" applyNumberFormat="1" applyFont="1" applyBorder="1"/>
    <xf numFmtId="3" fontId="81" fillId="0" borderId="35" xfId="101" applyNumberFormat="1" applyFont="1" applyBorder="1"/>
    <xf numFmtId="172" fontId="81" fillId="0" borderId="35" xfId="101" applyNumberFormat="1" applyFont="1" applyBorder="1"/>
    <xf numFmtId="0" fontId="82" fillId="0" borderId="37" xfId="101" applyFont="1" applyBorder="1"/>
    <xf numFmtId="10" fontId="81" fillId="0" borderId="0" xfId="104" applyNumberFormat="1" applyFont="1" applyAlignment="1">
      <alignment horizontal="center"/>
    </xf>
    <xf numFmtId="0" fontId="82" fillId="0" borderId="17" xfId="101" applyFont="1" applyBorder="1"/>
    <xf numFmtId="0" fontId="81" fillId="0" borderId="37" xfId="101" applyFont="1" applyBorder="1"/>
    <xf numFmtId="0" fontId="81" fillId="0" borderId="14" xfId="101" applyFont="1" applyBorder="1" applyAlignment="1">
      <alignment horizontal="right"/>
    </xf>
    <xf numFmtId="171" fontId="81" fillId="0" borderId="0" xfId="101" quotePrefix="1" applyNumberFormat="1" applyFont="1"/>
    <xf numFmtId="167" fontId="81" fillId="0" borderId="36" xfId="54" applyFont="1" applyBorder="1"/>
    <xf numFmtId="171" fontId="81" fillId="0" borderId="36" xfId="101" applyNumberFormat="1" applyFont="1" applyBorder="1"/>
    <xf numFmtId="3" fontId="81" fillId="0" borderId="36" xfId="101" applyNumberFormat="1" applyFont="1" applyBorder="1"/>
    <xf numFmtId="172" fontId="81" fillId="0" borderId="36" xfId="101" applyNumberFormat="1" applyFont="1" applyBorder="1"/>
    <xf numFmtId="10" fontId="81" fillId="0" borderId="15" xfId="104" applyNumberFormat="1" applyFont="1" applyBorder="1" applyAlignment="1">
      <alignment horizontal="center"/>
    </xf>
    <xf numFmtId="10" fontId="82" fillId="0" borderId="44" xfId="104" applyNumberFormat="1" applyFont="1" applyBorder="1" applyAlignment="1">
      <alignment horizontal="center"/>
    </xf>
    <xf numFmtId="197" fontId="81" fillId="41" borderId="35" xfId="54" applyNumberFormat="1" applyFont="1" applyFill="1" applyBorder="1"/>
    <xf numFmtId="3" fontId="82" fillId="41" borderId="35" xfId="101" applyNumberFormat="1" applyFont="1" applyFill="1" applyBorder="1"/>
    <xf numFmtId="3" fontId="81" fillId="41" borderId="0" xfId="101" applyNumberFormat="1" applyFont="1" applyFill="1"/>
    <xf numFmtId="194" fontId="83" fillId="41" borderId="0" xfId="101" applyNumberFormat="1" applyFont="1" applyFill="1" applyAlignment="1">
      <alignment horizontal="center"/>
    </xf>
    <xf numFmtId="197" fontId="82" fillId="41" borderId="15" xfId="101" applyNumberFormat="1" applyFont="1" applyFill="1" applyBorder="1"/>
    <xf numFmtId="0" fontId="85" fillId="41" borderId="0" xfId="101" applyFont="1" applyFill="1"/>
    <xf numFmtId="195" fontId="78" fillId="41" borderId="36" xfId="102" applyNumberFormat="1" applyFont="1" applyFill="1" applyBorder="1" applyAlignment="1">
      <alignment horizontal="center"/>
    </xf>
    <xf numFmtId="3" fontId="81" fillId="41" borderId="36" xfId="101" applyNumberFormat="1" applyFont="1" applyFill="1" applyBorder="1"/>
    <xf numFmtId="197" fontId="81" fillId="41" borderId="36" xfId="101" applyNumberFormat="1" applyFont="1" applyFill="1" applyBorder="1"/>
    <xf numFmtId="200" fontId="81" fillId="0" borderId="14" xfId="101" applyNumberFormat="1" applyFont="1" applyBorder="1"/>
    <xf numFmtId="194" fontId="83" fillId="0" borderId="0" xfId="101" applyNumberFormat="1" applyFont="1" applyAlignment="1">
      <alignment horizontal="center"/>
    </xf>
    <xf numFmtId="193" fontId="81" fillId="0" borderId="0" xfId="101" applyNumberFormat="1" applyFont="1" applyAlignment="1">
      <alignment horizontal="center"/>
    </xf>
    <xf numFmtId="202" fontId="81" fillId="0" borderId="0" xfId="105" applyNumberFormat="1" applyFont="1"/>
    <xf numFmtId="203" fontId="83" fillId="0" borderId="0" xfId="101" applyNumberFormat="1" applyFont="1" applyAlignment="1">
      <alignment horizontal="center"/>
    </xf>
    <xf numFmtId="195" fontId="81" fillId="0" borderId="36" xfId="101" applyNumberFormat="1" applyFont="1" applyBorder="1" applyAlignment="1">
      <alignment horizontal="center"/>
    </xf>
    <xf numFmtId="204" fontId="81" fillId="0" borderId="0" xfId="101" applyNumberFormat="1" applyFont="1"/>
    <xf numFmtId="169" fontId="81" fillId="0" borderId="36" xfId="103" applyNumberFormat="1" applyFont="1" applyBorder="1"/>
    <xf numFmtId="177" fontId="81" fillId="0" borderId="0" xfId="104" applyNumberFormat="1" applyFont="1" applyAlignment="1">
      <alignment horizontal="center"/>
    </xf>
    <xf numFmtId="9" fontId="81" fillId="0" borderId="0" xfId="104" applyFont="1" applyAlignment="1">
      <alignment horizontal="center"/>
    </xf>
    <xf numFmtId="205" fontId="81" fillId="0" borderId="0" xfId="101" applyNumberFormat="1" applyFont="1"/>
    <xf numFmtId="206" fontId="81" fillId="0" borderId="0" xfId="103" applyNumberFormat="1" applyFont="1"/>
    <xf numFmtId="9" fontId="81" fillId="0" borderId="0" xfId="101" applyNumberFormat="1" applyFont="1"/>
    <xf numFmtId="176" fontId="81" fillId="0" borderId="0" xfId="103" applyNumberFormat="1" applyFont="1" applyAlignment="1">
      <alignment horizontal="left"/>
    </xf>
    <xf numFmtId="165" fontId="81" fillId="0" borderId="0" xfId="103" applyFont="1"/>
    <xf numFmtId="3" fontId="81" fillId="41" borderId="35" xfId="101" applyNumberFormat="1" applyFont="1" applyFill="1" applyBorder="1"/>
    <xf numFmtId="172" fontId="81" fillId="41" borderId="35" xfId="101" applyNumberFormat="1" applyFont="1" applyFill="1" applyBorder="1"/>
    <xf numFmtId="197" fontId="85" fillId="41" borderId="0" xfId="54" applyNumberFormat="1" applyFont="1" applyFill="1" applyAlignment="1">
      <alignment vertical="center"/>
    </xf>
    <xf numFmtId="197" fontId="85" fillId="41" borderId="0" xfId="54" applyNumberFormat="1" applyFont="1" applyFill="1" applyAlignment="1">
      <alignment horizontal="right" vertical="center"/>
    </xf>
    <xf numFmtId="193" fontId="85" fillId="41" borderId="0" xfId="101" applyNumberFormat="1" applyFont="1" applyFill="1"/>
    <xf numFmtId="3" fontId="85" fillId="41" borderId="0" xfId="101" quotePrefix="1" applyNumberFormat="1" applyFont="1" applyFill="1" applyAlignment="1">
      <alignment vertical="center"/>
    </xf>
    <xf numFmtId="172" fontId="85" fillId="41" borderId="0" xfId="101" applyNumberFormat="1" applyFont="1" applyFill="1" applyAlignment="1">
      <alignment vertical="center"/>
    </xf>
    <xf numFmtId="197" fontId="81" fillId="41" borderId="36" xfId="54" applyNumberFormat="1" applyFont="1" applyFill="1" applyBorder="1"/>
    <xf numFmtId="197" fontId="81" fillId="41" borderId="36" xfId="54" applyNumberFormat="1" applyFont="1" applyFill="1" applyBorder="1" applyAlignment="1">
      <alignment horizontal="right"/>
    </xf>
    <xf numFmtId="172" fontId="81" fillId="41" borderId="36" xfId="101" applyNumberFormat="1" applyFont="1" applyFill="1" applyBorder="1"/>
    <xf numFmtId="0" fontId="81" fillId="41" borderId="44" xfId="101" applyFont="1" applyFill="1" applyBorder="1"/>
    <xf numFmtId="0" fontId="92" fillId="0" borderId="0" xfId="101" applyFont="1"/>
    <xf numFmtId="197" fontId="83" fillId="0" borderId="0" xfId="101" applyNumberFormat="1" applyFont="1"/>
    <xf numFmtId="197" fontId="81" fillId="0" borderId="0" xfId="101" applyNumberFormat="1" applyFont="1" applyAlignment="1">
      <alignment wrapText="1"/>
    </xf>
    <xf numFmtId="0" fontId="82" fillId="0" borderId="0" xfId="101" applyFont="1" applyAlignment="1">
      <alignment wrapText="1"/>
    </xf>
    <xf numFmtId="0" fontId="82" fillId="0" borderId="0" xfId="101" applyFont="1" applyAlignment="1">
      <alignment vertical="center" wrapText="1"/>
    </xf>
    <xf numFmtId="0" fontId="81" fillId="0" borderId="0" xfId="101" applyFont="1" applyAlignment="1">
      <alignment vertical="center" wrapText="1"/>
    </xf>
    <xf numFmtId="197" fontId="81" fillId="0" borderId="0" xfId="101" applyNumberFormat="1" applyFont="1" applyAlignment="1">
      <alignment horizontal="left"/>
    </xf>
    <xf numFmtId="197" fontId="93" fillId="0" borderId="0" xfId="101" applyNumberFormat="1" applyFont="1"/>
    <xf numFmtId="197" fontId="81" fillId="0" borderId="0" xfId="101" applyNumberFormat="1" applyFont="1" applyAlignment="1">
      <alignment vertical="top"/>
    </xf>
    <xf numFmtId="197" fontId="93" fillId="0" borderId="0" xfId="101" applyNumberFormat="1" applyFont="1" applyAlignment="1">
      <alignment horizontal="center"/>
    </xf>
    <xf numFmtId="210" fontId="81" fillId="0" borderId="0" xfId="101" applyNumberFormat="1" applyFont="1" applyAlignment="1">
      <alignment vertical="center"/>
    </xf>
    <xf numFmtId="0" fontId="82" fillId="0" borderId="0" xfId="101" applyFont="1" applyAlignment="1">
      <alignment horizontal="left"/>
    </xf>
    <xf numFmtId="211" fontId="81" fillId="0" borderId="0" xfId="101" applyNumberFormat="1" applyFont="1" applyAlignment="1">
      <alignment horizontal="center"/>
    </xf>
    <xf numFmtId="211" fontId="12" fillId="0" borderId="0" xfId="101" applyNumberFormat="1" applyFont="1" applyAlignment="1">
      <alignment horizontal="center"/>
    </xf>
    <xf numFmtId="193" fontId="83" fillId="0" borderId="0" xfId="101" applyNumberFormat="1" applyFont="1" applyAlignment="1">
      <alignment horizontal="center"/>
    </xf>
    <xf numFmtId="199" fontId="81" fillId="0" borderId="0" xfId="101" applyNumberFormat="1" applyFont="1" applyAlignment="1">
      <alignment horizontal="right"/>
    </xf>
    <xf numFmtId="0" fontId="97" fillId="0" borderId="0" xfId="101" applyFont="1"/>
    <xf numFmtId="172" fontId="81" fillId="0" borderId="0" xfId="101" applyNumberFormat="1" applyFont="1" applyAlignment="1">
      <alignment horizontal="right"/>
    </xf>
    <xf numFmtId="197" fontId="81" fillId="41" borderId="136" xfId="101" applyNumberFormat="1" applyFont="1" applyFill="1" applyBorder="1" applyAlignment="1">
      <alignment horizontal="right"/>
    </xf>
    <xf numFmtId="195" fontId="88" fillId="41" borderId="36" xfId="102" applyNumberFormat="1" applyFont="1" applyFill="1" applyBorder="1" applyAlignment="1">
      <alignment horizontal="center"/>
    </xf>
    <xf numFmtId="172" fontId="81" fillId="0" borderId="134" xfId="101" applyNumberFormat="1" applyFont="1" applyBorder="1" applyAlignment="1">
      <alignment horizontal="right"/>
    </xf>
    <xf numFmtId="172" fontId="81" fillId="0" borderId="74" xfId="101" applyNumberFormat="1" applyFont="1" applyBorder="1" applyAlignment="1">
      <alignment horizontal="right"/>
    </xf>
    <xf numFmtId="0" fontId="81" fillId="0" borderId="74" xfId="101" applyFont="1" applyBorder="1"/>
    <xf numFmtId="0" fontId="81" fillId="0" borderId="14" xfId="101" applyFont="1" applyBorder="1"/>
    <xf numFmtId="0" fontId="81" fillId="0" borderId="0" xfId="102" applyFont="1" applyAlignment="1" applyProtection="1">
      <alignment horizontal="left"/>
      <protection locked="0"/>
    </xf>
    <xf numFmtId="0" fontId="81" fillId="0" borderId="0" xfId="102" applyFont="1" applyAlignment="1" applyProtection="1">
      <alignment horizontal="center"/>
      <protection locked="0"/>
    </xf>
    <xf numFmtId="0" fontId="81" fillId="0" borderId="75" xfId="102" applyFont="1" applyBorder="1" applyAlignment="1" applyProtection="1">
      <alignment horizontal="center"/>
      <protection locked="0"/>
    </xf>
    <xf numFmtId="171" fontId="81" fillId="0" borderId="42" xfId="101" applyNumberFormat="1" applyFont="1" applyBorder="1" applyAlignment="1">
      <alignment vertical="top"/>
    </xf>
    <xf numFmtId="172" fontId="81" fillId="0" borderId="136" xfId="101" applyNumberFormat="1" applyFont="1" applyBorder="1" applyAlignment="1">
      <alignment horizontal="right"/>
    </xf>
    <xf numFmtId="172" fontId="82" fillId="0" borderId="74" xfId="101" applyNumberFormat="1" applyFont="1" applyBorder="1" applyAlignment="1">
      <alignment horizontal="right"/>
    </xf>
    <xf numFmtId="172" fontId="81" fillId="0" borderId="42" xfId="101" applyNumberFormat="1" applyFont="1" applyBorder="1" applyAlignment="1">
      <alignment horizontal="right"/>
    </xf>
    <xf numFmtId="167" fontId="81" fillId="0" borderId="135" xfId="54" applyFont="1" applyBorder="1"/>
    <xf numFmtId="171" fontId="81" fillId="0" borderId="136" xfId="101" applyNumberFormat="1" applyFont="1" applyBorder="1"/>
    <xf numFmtId="167" fontId="81" fillId="41" borderId="35" xfId="54" applyFont="1" applyFill="1" applyBorder="1"/>
    <xf numFmtId="167" fontId="81" fillId="41" borderId="78" xfId="54" applyFont="1" applyFill="1" applyBorder="1"/>
    <xf numFmtId="0" fontId="82" fillId="41" borderId="0" xfId="101" applyFont="1" applyFill="1"/>
    <xf numFmtId="167" fontId="82" fillId="41" borderId="0" xfId="54" applyFont="1" applyFill="1"/>
    <xf numFmtId="167" fontId="82" fillId="41" borderId="75" xfId="54" applyFont="1" applyFill="1" applyBorder="1"/>
    <xf numFmtId="171" fontId="82" fillId="41" borderId="42" xfId="101" applyNumberFormat="1" applyFont="1" applyFill="1" applyBorder="1"/>
    <xf numFmtId="3" fontId="82" fillId="41" borderId="42" xfId="101" quotePrefix="1" applyNumberFormat="1" applyFont="1" applyFill="1" applyBorder="1"/>
    <xf numFmtId="172" fontId="82" fillId="41" borderId="74" xfId="101" applyNumberFormat="1" applyFont="1" applyFill="1" applyBorder="1"/>
    <xf numFmtId="0" fontId="82" fillId="41" borderId="15" xfId="101" quotePrefix="1" applyFont="1" applyFill="1" applyBorder="1"/>
    <xf numFmtId="0" fontId="81" fillId="41" borderId="16" xfId="101" applyFont="1" applyFill="1" applyBorder="1"/>
    <xf numFmtId="167" fontId="81" fillId="41" borderId="36" xfId="54" applyFont="1" applyFill="1" applyBorder="1"/>
    <xf numFmtId="167" fontId="81" fillId="41" borderId="135" xfId="54" applyFont="1" applyFill="1" applyBorder="1"/>
    <xf numFmtId="171" fontId="82" fillId="0" borderId="74" xfId="101" applyNumberFormat="1" applyFont="1" applyBorder="1" applyAlignment="1">
      <alignment horizontal="right"/>
    </xf>
    <xf numFmtId="171" fontId="81" fillId="0" borderId="74" xfId="101" applyNumberFormat="1" applyFont="1" applyBorder="1"/>
    <xf numFmtId="0" fontId="81" fillId="0" borderId="16" xfId="101" applyFont="1" applyBorder="1"/>
    <xf numFmtId="171" fontId="81" fillId="0" borderId="136" xfId="101" applyNumberFormat="1" applyFont="1" applyBorder="1" applyAlignment="1">
      <alignment horizontal="right"/>
    </xf>
    <xf numFmtId="0" fontId="81" fillId="41" borderId="14" xfId="101" applyFont="1" applyFill="1" applyBorder="1"/>
    <xf numFmtId="167" fontId="81" fillId="41" borderId="75" xfId="54" applyFont="1" applyFill="1" applyBorder="1"/>
    <xf numFmtId="172" fontId="81" fillId="41" borderId="74" xfId="101" applyNumberFormat="1" applyFont="1" applyFill="1" applyBorder="1" applyAlignment="1">
      <alignment horizontal="right"/>
    </xf>
    <xf numFmtId="172" fontId="82" fillId="41" borderId="74" xfId="101" applyNumberFormat="1" applyFont="1" applyFill="1" applyBorder="1" applyAlignment="1">
      <alignment horizontal="right"/>
    </xf>
    <xf numFmtId="172" fontId="81" fillId="41" borderId="136" xfId="101" applyNumberFormat="1" applyFont="1" applyFill="1" applyBorder="1" applyAlignment="1">
      <alignment horizontal="right"/>
    </xf>
    <xf numFmtId="212" fontId="81" fillId="0" borderId="0" xfId="101" applyNumberFormat="1" applyFont="1" applyAlignment="1">
      <alignment horizontal="left"/>
    </xf>
    <xf numFmtId="0" fontId="81" fillId="0" borderId="0" xfId="101" applyFont="1" applyAlignment="1">
      <alignment horizontal="left"/>
    </xf>
    <xf numFmtId="2" fontId="81" fillId="0" borderId="0" xfId="101" applyNumberFormat="1" applyFont="1"/>
    <xf numFmtId="167" fontId="81" fillId="0" borderId="0" xfId="54" applyFont="1" applyAlignment="1">
      <alignment horizontal="right"/>
    </xf>
    <xf numFmtId="195" fontId="98" fillId="0" borderId="0" xfId="102" applyNumberFormat="1" applyFont="1" applyAlignment="1">
      <alignment horizontal="center"/>
    </xf>
    <xf numFmtId="195" fontId="78" fillId="41" borderId="0" xfId="102" applyNumberFormat="1" applyFont="1" applyFill="1" applyAlignment="1">
      <alignment horizontal="center"/>
    </xf>
    <xf numFmtId="195" fontId="98" fillId="0" borderId="36" xfId="102" applyNumberFormat="1" applyFont="1" applyBorder="1" applyAlignment="1">
      <alignment horizontal="center"/>
    </xf>
    <xf numFmtId="0" fontId="86" fillId="41" borderId="36" xfId="101" applyFont="1" applyFill="1" applyBorder="1" applyAlignment="1">
      <alignment horizontal="center"/>
    </xf>
    <xf numFmtId="195" fontId="82" fillId="0" borderId="0" xfId="101" applyNumberFormat="1" applyFont="1"/>
    <xf numFmtId="195" fontId="81" fillId="0" borderId="0" xfId="101" applyNumberFormat="1" applyFont="1"/>
    <xf numFmtId="199" fontId="81" fillId="0" borderId="0" xfId="101" applyNumberFormat="1" applyFont="1" applyAlignment="1">
      <alignment horizontal="center"/>
    </xf>
    <xf numFmtId="0" fontId="82" fillId="42" borderId="17" xfId="101" applyFont="1" applyFill="1" applyBorder="1"/>
    <xf numFmtId="0" fontId="81" fillId="42" borderId="35" xfId="101" applyFont="1" applyFill="1" applyBorder="1"/>
    <xf numFmtId="197" fontId="81" fillId="42" borderId="35" xfId="54" applyNumberFormat="1" applyFont="1" applyFill="1" applyBorder="1"/>
    <xf numFmtId="3" fontId="81" fillId="42" borderId="35" xfId="101" applyNumberFormat="1" applyFont="1" applyFill="1" applyBorder="1"/>
    <xf numFmtId="172" fontId="81" fillId="42" borderId="35" xfId="101" applyNumberFormat="1" applyFont="1" applyFill="1" applyBorder="1"/>
    <xf numFmtId="0" fontId="81" fillId="42" borderId="37" xfId="101" applyFont="1" applyFill="1" applyBorder="1"/>
    <xf numFmtId="0" fontId="85" fillId="42" borderId="14" xfId="101" applyFont="1" applyFill="1" applyBorder="1"/>
    <xf numFmtId="0" fontId="85" fillId="42" borderId="0" xfId="101" applyFont="1" applyFill="1" applyAlignment="1">
      <alignment vertical="center"/>
    </xf>
    <xf numFmtId="197" fontId="85" fillId="42" borderId="0" xfId="54" applyNumberFormat="1" applyFont="1" applyFill="1" applyAlignment="1">
      <alignment horizontal="right" vertical="center"/>
    </xf>
    <xf numFmtId="195" fontId="99" fillId="42" borderId="0" xfId="102" applyNumberFormat="1" applyFont="1" applyFill="1" applyAlignment="1">
      <alignment horizontal="center"/>
    </xf>
    <xf numFmtId="197" fontId="85" fillId="42" borderId="0" xfId="54" applyNumberFormat="1" applyFont="1" applyFill="1" applyAlignment="1">
      <alignment vertical="center"/>
    </xf>
    <xf numFmtId="193" fontId="85" fillId="42" borderId="0" xfId="101" applyNumberFormat="1" applyFont="1" applyFill="1"/>
    <xf numFmtId="3" fontId="85" fillId="42" borderId="0" xfId="101" quotePrefix="1" applyNumberFormat="1" applyFont="1" applyFill="1" applyAlignment="1">
      <alignment vertical="center"/>
    </xf>
    <xf numFmtId="172" fontId="85" fillId="42" borderId="0" xfId="101" applyNumberFormat="1" applyFont="1" applyFill="1" applyAlignment="1">
      <alignment vertical="center"/>
    </xf>
    <xf numFmtId="3" fontId="85" fillId="42" borderId="15" xfId="101" quotePrefix="1" applyNumberFormat="1" applyFont="1" applyFill="1" applyBorder="1" applyAlignment="1">
      <alignment vertical="center"/>
    </xf>
    <xf numFmtId="194" fontId="99" fillId="42" borderId="0" xfId="102" applyNumberFormat="1" applyFont="1" applyFill="1" applyAlignment="1">
      <alignment horizontal="center"/>
    </xf>
    <xf numFmtId="199" fontId="85" fillId="42" borderId="0" xfId="101" applyNumberFormat="1" applyFont="1" applyFill="1"/>
    <xf numFmtId="0" fontId="82" fillId="42" borderId="16" xfId="101" applyFont="1" applyFill="1" applyBorder="1"/>
    <xf numFmtId="0" fontId="81" fillId="42" borderId="36" xfId="101" applyFont="1" applyFill="1" applyBorder="1"/>
    <xf numFmtId="197" fontId="81" fillId="42" borderId="36" xfId="54" applyNumberFormat="1" applyFont="1" applyFill="1" applyBorder="1"/>
    <xf numFmtId="197" fontId="81" fillId="42" borderId="36" xfId="54" applyNumberFormat="1" applyFont="1" applyFill="1" applyBorder="1" applyAlignment="1">
      <alignment horizontal="right"/>
    </xf>
    <xf numFmtId="3" fontId="81" fillId="42" borderId="36" xfId="101" applyNumberFormat="1" applyFont="1" applyFill="1" applyBorder="1"/>
    <xf numFmtId="172" fontId="81" fillId="42" borderId="36" xfId="101" applyNumberFormat="1" applyFont="1" applyFill="1" applyBorder="1"/>
    <xf numFmtId="0" fontId="81" fillId="42" borderId="38" xfId="101" applyFont="1" applyFill="1" applyBorder="1"/>
    <xf numFmtId="197" fontId="82" fillId="0" borderId="0" xfId="54" applyNumberFormat="1" applyFont="1"/>
    <xf numFmtId="193" fontId="82" fillId="0" borderId="0" xfId="101" applyNumberFormat="1" applyFont="1"/>
    <xf numFmtId="3" fontId="82" fillId="0" borderId="0" xfId="101" applyNumberFormat="1" applyFont="1"/>
    <xf numFmtId="195" fontId="99" fillId="41" borderId="0" xfId="102" applyNumberFormat="1" applyFont="1" applyFill="1" applyAlignment="1">
      <alignment horizontal="center"/>
    </xf>
    <xf numFmtId="194" fontId="99" fillId="41" borderId="0" xfId="102" applyNumberFormat="1" applyFont="1" applyFill="1" applyAlignment="1">
      <alignment horizontal="center"/>
    </xf>
    <xf numFmtId="199" fontId="85" fillId="41" borderId="0" xfId="101" applyNumberFormat="1" applyFont="1" applyFill="1"/>
    <xf numFmtId="197" fontId="81" fillId="0" borderId="17" xfId="101" applyNumberFormat="1" applyFont="1" applyBorder="1"/>
    <xf numFmtId="197" fontId="81" fillId="0" borderId="35" xfId="101" applyNumberFormat="1" applyFont="1" applyBorder="1"/>
    <xf numFmtId="197" fontId="81" fillId="0" borderId="78" xfId="101" applyNumberFormat="1" applyFont="1" applyBorder="1"/>
    <xf numFmtId="0" fontId="81" fillId="0" borderId="134" xfId="101" applyFont="1" applyBorder="1"/>
    <xf numFmtId="197" fontId="81" fillId="0" borderId="37" xfId="101" applyNumberFormat="1" applyFont="1" applyBorder="1"/>
    <xf numFmtId="197" fontId="82" fillId="0" borderId="16" xfId="101" applyNumberFormat="1" applyFont="1" applyBorder="1"/>
    <xf numFmtId="197" fontId="82" fillId="0" borderId="36" xfId="101" applyNumberFormat="1" applyFont="1" applyBorder="1"/>
    <xf numFmtId="197" fontId="82" fillId="0" borderId="135" xfId="101" applyNumberFormat="1" applyFont="1" applyBorder="1"/>
    <xf numFmtId="0" fontId="82" fillId="0" borderId="136" xfId="101" applyFont="1" applyBorder="1"/>
    <xf numFmtId="0" fontId="82" fillId="0" borderId="36" xfId="101" applyFont="1" applyBorder="1"/>
    <xf numFmtId="197" fontId="82" fillId="0" borderId="38" xfId="101" applyNumberFormat="1" applyFont="1" applyBorder="1"/>
    <xf numFmtId="197" fontId="81" fillId="0" borderId="72" xfId="101" applyNumberFormat="1" applyFont="1" applyBorder="1"/>
    <xf numFmtId="197" fontId="81" fillId="0" borderId="117" xfId="101" applyNumberFormat="1" applyFont="1" applyBorder="1"/>
    <xf numFmtId="197" fontId="81" fillId="0" borderId="121" xfId="101" applyNumberFormat="1" applyFont="1" applyBorder="1"/>
    <xf numFmtId="197" fontId="81" fillId="0" borderId="136" xfId="101" applyNumberFormat="1" applyFont="1" applyBorder="1"/>
    <xf numFmtId="197" fontId="81" fillId="0" borderId="36" xfId="101" applyNumberFormat="1" applyFont="1" applyBorder="1"/>
    <xf numFmtId="197" fontId="81" fillId="0" borderId="38" xfId="101" applyNumberFormat="1" applyFont="1" applyBorder="1"/>
    <xf numFmtId="0" fontId="81" fillId="0" borderId="0" xfId="101" applyFont="1" applyAlignment="1">
      <alignment horizontal="center" vertical="center"/>
    </xf>
    <xf numFmtId="0" fontId="83" fillId="0" borderId="0" xfId="101" applyFont="1" applyAlignment="1">
      <alignment horizontal="justify"/>
    </xf>
    <xf numFmtId="197" fontId="81" fillId="43" borderId="0" xfId="101" applyNumberFormat="1" applyFont="1" applyFill="1"/>
    <xf numFmtId="197" fontId="82" fillId="43" borderId="0" xfId="101" applyNumberFormat="1" applyFont="1" applyFill="1"/>
    <xf numFmtId="197" fontId="81" fillId="43" borderId="0" xfId="101" applyNumberFormat="1" applyFont="1" applyFill="1" applyAlignment="1">
      <alignment horizontal="left"/>
    </xf>
    <xf numFmtId="197" fontId="81" fillId="44" borderId="0" xfId="101" applyNumberFormat="1" applyFont="1" applyFill="1"/>
    <xf numFmtId="197" fontId="94" fillId="44" borderId="0" xfId="101" applyNumberFormat="1" applyFont="1" applyFill="1" applyAlignment="1">
      <alignment vertical="center" wrapText="1"/>
    </xf>
    <xf numFmtId="0" fontId="81" fillId="45" borderId="0" xfId="101" applyFont="1" applyFill="1"/>
    <xf numFmtId="197" fontId="81" fillId="45" borderId="0" xfId="101" applyNumberFormat="1" applyFont="1" applyFill="1"/>
    <xf numFmtId="197" fontId="81" fillId="44" borderId="0" xfId="101" applyNumberFormat="1" applyFont="1" applyFill="1" applyAlignment="1">
      <alignment horizontal="center"/>
    </xf>
    <xf numFmtId="169" fontId="12" fillId="0" borderId="0" xfId="103" applyNumberFormat="1" applyFont="1"/>
    <xf numFmtId="169" fontId="12" fillId="0" borderId="0" xfId="101" applyNumberFormat="1" applyFont="1"/>
    <xf numFmtId="0" fontId="84" fillId="0" borderId="0" xfId="101" applyFont="1" applyAlignment="1">
      <alignment vertical="center"/>
    </xf>
    <xf numFmtId="0" fontId="84" fillId="0" borderId="0" xfId="101" applyFont="1" applyAlignment="1">
      <alignment vertical="center" wrapText="1"/>
    </xf>
    <xf numFmtId="0" fontId="97" fillId="0" borderId="0" xfId="101" applyFont="1" applyAlignment="1">
      <alignment vertical="center" textRotation="180" wrapText="1"/>
    </xf>
    <xf numFmtId="0" fontId="12" fillId="0" borderId="0" xfId="101" applyFont="1" applyAlignment="1">
      <alignment vertical="center" textRotation="180" wrapText="1"/>
    </xf>
    <xf numFmtId="0" fontId="85" fillId="41" borderId="36" xfId="101" applyFont="1" applyFill="1" applyBorder="1"/>
    <xf numFmtId="3" fontId="82" fillId="0" borderId="0" xfId="101" quotePrefix="1" applyNumberFormat="1" applyFont="1"/>
    <xf numFmtId="0" fontId="3" fillId="0" borderId="35" xfId="0" applyFont="1" applyBorder="1" applyAlignment="1">
      <alignment horizontal="right"/>
    </xf>
    <xf numFmtId="17" fontId="3" fillId="0" borderId="35" xfId="0" applyNumberFormat="1" applyFont="1" applyBorder="1"/>
    <xf numFmtId="17" fontId="3" fillId="0" borderId="40" xfId="0" applyNumberFormat="1" applyFont="1" applyBorder="1"/>
    <xf numFmtId="17" fontId="3" fillId="0" borderId="97" xfId="0" applyNumberFormat="1" applyFont="1" applyBorder="1"/>
    <xf numFmtId="0" fontId="3" fillId="0" borderId="127" xfId="0" applyFont="1" applyBorder="1"/>
    <xf numFmtId="0" fontId="3" fillId="0" borderId="91" xfId="0" applyFont="1" applyBorder="1"/>
    <xf numFmtId="0" fontId="3" fillId="0" borderId="0" xfId="0" applyFont="1" applyAlignment="1">
      <alignment vertical="center"/>
    </xf>
    <xf numFmtId="0" fontId="3" fillId="0" borderId="89" xfId="0" applyFont="1" applyBorder="1"/>
    <xf numFmtId="165" fontId="3" fillId="0" borderId="16" xfId="1" applyFont="1" applyBorder="1"/>
    <xf numFmtId="165" fontId="3" fillId="0" borderId="98" xfId="1" applyFont="1" applyBorder="1"/>
    <xf numFmtId="0" fontId="3" fillId="0" borderId="88" xfId="0" applyFont="1" applyBorder="1"/>
    <xf numFmtId="4" fontId="3" fillId="0" borderId="0" xfId="1" applyNumberFormat="1" applyFont="1" applyAlignment="1">
      <alignment horizontal="center"/>
    </xf>
    <xf numFmtId="172" fontId="71" fillId="0" borderId="0" xfId="0" applyNumberFormat="1" applyFont="1"/>
    <xf numFmtId="172" fontId="71" fillId="0" borderId="44" xfId="0" applyNumberFormat="1" applyFont="1" applyBorder="1"/>
    <xf numFmtId="3" fontId="82" fillId="0" borderId="14" xfId="101" quotePrefix="1" applyNumberFormat="1" applyFont="1" applyBorder="1"/>
    <xf numFmtId="172" fontId="71" fillId="0" borderId="14" xfId="0" applyNumberFormat="1" applyFont="1" applyBorder="1"/>
    <xf numFmtId="172" fontId="82" fillId="0" borderId="14" xfId="101" applyNumberFormat="1" applyFont="1" applyBorder="1"/>
    <xf numFmtId="172" fontId="71" fillId="0" borderId="15" xfId="0" applyNumberFormat="1" applyFont="1" applyBorder="1"/>
    <xf numFmtId="9" fontId="81" fillId="0" borderId="0" xfId="53" applyFont="1"/>
    <xf numFmtId="172" fontId="81" fillId="0" borderId="0" xfId="53" applyNumberFormat="1" applyFont="1"/>
    <xf numFmtId="172" fontId="71" fillId="0" borderId="38" xfId="0" applyNumberFormat="1" applyFont="1" applyBorder="1"/>
    <xf numFmtId="10" fontId="81" fillId="0" borderId="14" xfId="104" applyNumberFormat="1" applyFont="1" applyBorder="1" applyAlignment="1">
      <alignment horizontal="center"/>
    </xf>
    <xf numFmtId="10" fontId="81" fillId="41" borderId="14" xfId="104" applyNumberFormat="1" applyFont="1" applyFill="1" applyBorder="1" applyAlignment="1">
      <alignment horizontal="center"/>
    </xf>
    <xf numFmtId="10" fontId="82" fillId="0" borderId="0" xfId="104" applyNumberFormat="1" applyFont="1" applyAlignment="1">
      <alignment horizontal="center"/>
    </xf>
    <xf numFmtId="10" fontId="81" fillId="41" borderId="15" xfId="104" applyNumberFormat="1" applyFont="1" applyFill="1" applyBorder="1" applyAlignment="1">
      <alignment horizontal="center"/>
    </xf>
    <xf numFmtId="10" fontId="81" fillId="0" borderId="16" xfId="104" applyNumberFormat="1" applyFont="1" applyBorder="1" applyAlignment="1">
      <alignment horizontal="center"/>
    </xf>
    <xf numFmtId="10" fontId="81" fillId="0" borderId="38" xfId="104" applyNumberFormat="1" applyFont="1" applyBorder="1" applyAlignment="1">
      <alignment horizontal="center"/>
    </xf>
    <xf numFmtId="172" fontId="41" fillId="0" borderId="14" xfId="0" applyNumberFormat="1" applyFont="1" applyBorder="1"/>
    <xf numFmtId="172" fontId="41" fillId="0" borderId="0" xfId="0" applyNumberFormat="1" applyFont="1"/>
    <xf numFmtId="0" fontId="82" fillId="0" borderId="35" xfId="101" applyFont="1" applyBorder="1"/>
    <xf numFmtId="172" fontId="41" fillId="0" borderId="15" xfId="0" applyNumberFormat="1" applyFont="1" applyBorder="1"/>
    <xf numFmtId="172" fontId="41" fillId="0" borderId="38" xfId="0" applyNumberFormat="1" applyFont="1" applyBorder="1"/>
    <xf numFmtId="172" fontId="41" fillId="0" borderId="36" xfId="0" applyNumberFormat="1" applyFont="1" applyBorder="1"/>
    <xf numFmtId="172" fontId="41" fillId="0" borderId="16" xfId="0" applyNumberFormat="1" applyFont="1" applyBorder="1"/>
    <xf numFmtId="172" fontId="100" fillId="0" borderId="14" xfId="0" applyNumberFormat="1" applyFont="1" applyBorder="1"/>
    <xf numFmtId="172" fontId="100" fillId="0" borderId="0" xfId="0" applyNumberFormat="1" applyFont="1"/>
    <xf numFmtId="172" fontId="81" fillId="41" borderId="0" xfId="101" applyNumberFormat="1" applyFont="1" applyFill="1"/>
    <xf numFmtId="171" fontId="81" fillId="0" borderId="15" xfId="101" quotePrefix="1" applyNumberFormat="1" applyFont="1" applyBorder="1"/>
    <xf numFmtId="0" fontId="101" fillId="0" borderId="0" xfId="101" applyFont="1" applyAlignment="1">
      <alignment horizontal="center"/>
    </xf>
    <xf numFmtId="0" fontId="100" fillId="0" borderId="0" xfId="101" applyFont="1"/>
    <xf numFmtId="193" fontId="100" fillId="0" borderId="0" xfId="101" applyNumberFormat="1" applyFont="1"/>
    <xf numFmtId="0" fontId="100" fillId="0" borderId="0" xfId="101" applyFont="1" applyAlignment="1">
      <alignment horizontal="center"/>
    </xf>
    <xf numFmtId="0" fontId="100" fillId="0" borderId="14" xfId="101" applyFont="1" applyBorder="1"/>
    <xf numFmtId="193" fontId="100" fillId="0" borderId="14" xfId="101" applyNumberFormat="1" applyFont="1" applyBorder="1"/>
    <xf numFmtId="193" fontId="81" fillId="0" borderId="14" xfId="101" applyNumberFormat="1" applyFont="1" applyBorder="1"/>
    <xf numFmtId="0" fontId="100" fillId="0" borderId="14" xfId="101" applyFont="1" applyBorder="1" applyAlignment="1">
      <alignment horizontal="center"/>
    </xf>
    <xf numFmtId="0" fontId="101" fillId="0" borderId="14" xfId="101" applyFont="1" applyBorder="1" applyAlignment="1">
      <alignment horizontal="center"/>
    </xf>
    <xf numFmtId="0" fontId="83" fillId="0" borderId="15" xfId="101" applyFont="1" applyBorder="1" applyAlignment="1">
      <alignment horizontal="center"/>
    </xf>
    <xf numFmtId="0" fontId="83" fillId="0" borderId="15" xfId="101" applyFont="1" applyBorder="1"/>
    <xf numFmtId="197" fontId="82" fillId="0" borderId="0" xfId="101" applyNumberFormat="1" applyFont="1" applyAlignment="1">
      <alignment horizontal="center"/>
    </xf>
    <xf numFmtId="0" fontId="82" fillId="0" borderId="0" xfId="101" quotePrefix="1" applyFont="1"/>
    <xf numFmtId="0" fontId="81" fillId="28" borderId="16" xfId="101" applyFont="1" applyFill="1" applyBorder="1"/>
    <xf numFmtId="0" fontId="81" fillId="28" borderId="38" xfId="101" applyFont="1" applyFill="1" applyBorder="1"/>
    <xf numFmtId="0" fontId="81" fillId="28" borderId="36" xfId="101" applyFont="1" applyFill="1" applyBorder="1"/>
    <xf numFmtId="172" fontId="81" fillId="41" borderId="16" xfId="101" applyNumberFormat="1" applyFont="1" applyFill="1" applyBorder="1"/>
    <xf numFmtId="172" fontId="82" fillId="0" borderId="14" xfId="101" applyNumberFormat="1" applyFont="1" applyBorder="1" applyAlignment="1">
      <alignment horizontal="right"/>
    </xf>
    <xf numFmtId="172" fontId="82" fillId="41" borderId="14" xfId="101" applyNumberFormat="1" applyFont="1" applyFill="1" applyBorder="1" applyAlignment="1">
      <alignment horizontal="right"/>
    </xf>
    <xf numFmtId="0" fontId="3" fillId="0" borderId="89" xfId="0" applyFont="1" applyBorder="1" applyAlignment="1">
      <alignment vertical="center"/>
    </xf>
    <xf numFmtId="3" fontId="82" fillId="0" borderId="37" xfId="101" quotePrefix="1" applyNumberFormat="1" applyFont="1" applyBorder="1"/>
    <xf numFmtId="172" fontId="82" fillId="0" borderId="17" xfId="101" applyNumberFormat="1" applyFont="1" applyBorder="1" applyAlignment="1">
      <alignment horizontal="right"/>
    </xf>
    <xf numFmtId="0" fontId="87" fillId="0" borderId="0" xfId="101" applyFont="1" applyAlignment="1">
      <alignment horizontal="center"/>
    </xf>
    <xf numFmtId="169" fontId="12" fillId="0" borderId="141" xfId="101" applyNumberFormat="1" applyFont="1" applyBorder="1"/>
    <xf numFmtId="187" fontId="71" fillId="0" borderId="125" xfId="0" applyNumberFormat="1" applyFont="1" applyBorder="1"/>
    <xf numFmtId="0" fontId="41" fillId="0" borderId="0" xfId="0" applyFont="1"/>
    <xf numFmtId="0" fontId="71" fillId="0" borderId="87" xfId="0" applyFont="1" applyBorder="1"/>
    <xf numFmtId="2" fontId="41" fillId="0" borderId="55" xfId="0" applyNumberFormat="1" applyFont="1" applyBorder="1" applyAlignment="1">
      <alignment horizontal="center"/>
    </xf>
    <xf numFmtId="4" fontId="71" fillId="0" borderId="146" xfId="0" applyNumberFormat="1" applyFont="1" applyBorder="1" applyAlignment="1">
      <alignment horizontal="center"/>
    </xf>
    <xf numFmtId="189" fontId="71" fillId="0" borderId="146" xfId="0" applyNumberFormat="1" applyFont="1" applyBorder="1" applyAlignment="1">
      <alignment horizontal="center"/>
    </xf>
    <xf numFmtId="2" fontId="41" fillId="0" borderId="55" xfId="0" applyNumberFormat="1" applyFont="1" applyBorder="1"/>
    <xf numFmtId="0" fontId="41" fillId="0" borderId="55" xfId="0" applyFont="1" applyBorder="1"/>
    <xf numFmtId="0" fontId="71" fillId="0" borderId="88" xfId="0" applyFont="1" applyBorder="1"/>
    <xf numFmtId="0" fontId="41" fillId="0" borderId="107" xfId="0" applyFont="1" applyBorder="1"/>
    <xf numFmtId="2" fontId="41" fillId="0" borderId="130" xfId="0" applyNumberFormat="1" applyFont="1" applyBorder="1" applyAlignment="1">
      <alignment horizontal="center"/>
    </xf>
    <xf numFmtId="2" fontId="41" fillId="0" borderId="142" xfId="0" applyNumberFormat="1" applyFont="1" applyBorder="1" applyAlignment="1">
      <alignment horizontal="center"/>
    </xf>
    <xf numFmtId="2" fontId="41" fillId="0" borderId="142" xfId="0" applyNumberFormat="1" applyFont="1" applyBorder="1"/>
    <xf numFmtId="4" fontId="41" fillId="0" borderId="118" xfId="0" applyNumberFormat="1" applyFont="1" applyBorder="1"/>
    <xf numFmtId="4" fontId="41" fillId="0" borderId="124" xfId="0" applyNumberFormat="1" applyFont="1" applyBorder="1"/>
    <xf numFmtId="0" fontId="41" fillId="0" borderId="109" xfId="0" applyFont="1" applyBorder="1"/>
    <xf numFmtId="2" fontId="41" fillId="0" borderId="114" xfId="0" applyNumberFormat="1" applyFont="1" applyBorder="1" applyAlignment="1">
      <alignment horizontal="center"/>
    </xf>
    <xf numFmtId="2" fontId="41" fillId="0" borderId="143" xfId="0" applyNumberFormat="1" applyFont="1" applyBorder="1" applyAlignment="1">
      <alignment horizontal="center"/>
    </xf>
    <xf numFmtId="2" fontId="41" fillId="0" borderId="143" xfId="0" applyNumberFormat="1" applyFont="1" applyBorder="1"/>
    <xf numFmtId="4" fontId="41" fillId="0" borderId="119" xfId="0" applyNumberFormat="1" applyFont="1" applyBorder="1"/>
    <xf numFmtId="4" fontId="41" fillId="0" borderId="123" xfId="0" applyNumberFormat="1" applyFont="1" applyBorder="1"/>
    <xf numFmtId="190" fontId="41" fillId="0" borderId="143" xfId="0" applyNumberFormat="1" applyFont="1" applyBorder="1" applyAlignment="1">
      <alignment horizontal="center"/>
    </xf>
    <xf numFmtId="4" fontId="41" fillId="0" borderId="120" xfId="0" applyNumberFormat="1" applyFont="1" applyBorder="1"/>
    <xf numFmtId="0" fontId="41" fillId="0" borderId="116" xfId="0" applyFont="1" applyBorder="1"/>
    <xf numFmtId="2" fontId="41" fillId="0" borderId="144" xfId="0" applyNumberFormat="1" applyFont="1" applyBorder="1" applyAlignment="1">
      <alignment horizontal="center"/>
    </xf>
    <xf numFmtId="9" fontId="41" fillId="0" borderId="143" xfId="53" applyFont="1" applyBorder="1"/>
    <xf numFmtId="4" fontId="41" fillId="0" borderId="121" xfId="0" applyNumberFormat="1" applyFont="1" applyBorder="1"/>
    <xf numFmtId="0" fontId="41" fillId="0" borderId="111" xfId="0" applyFont="1" applyBorder="1"/>
    <xf numFmtId="2" fontId="41" fillId="0" borderId="115" xfId="0" applyNumberFormat="1" applyFont="1" applyBorder="1" applyAlignment="1">
      <alignment horizontal="center"/>
    </xf>
    <xf numFmtId="2" fontId="41" fillId="0" borderId="145" xfId="0" applyNumberFormat="1" applyFont="1" applyBorder="1" applyAlignment="1">
      <alignment horizontal="center"/>
    </xf>
    <xf numFmtId="2" fontId="41" fillId="0" borderId="145" xfId="0" applyNumberFormat="1" applyFont="1" applyBorder="1"/>
    <xf numFmtId="4" fontId="41" fillId="0" borderId="38" xfId="0" applyNumberFormat="1" applyFont="1" applyBorder="1"/>
    <xf numFmtId="4" fontId="41" fillId="0" borderId="126" xfId="0" applyNumberFormat="1" applyFont="1" applyBorder="1"/>
    <xf numFmtId="0" fontId="41" fillId="0" borderId="89" xfId="0" applyFont="1" applyBorder="1"/>
    <xf numFmtId="2" fontId="41" fillId="0" borderId="0" xfId="0" applyNumberFormat="1" applyFont="1" applyAlignment="1">
      <alignment horizontal="center"/>
    </xf>
    <xf numFmtId="2" fontId="41" fillId="0" borderId="0" xfId="0" applyNumberFormat="1" applyFont="1"/>
    <xf numFmtId="187" fontId="71" fillId="0" borderId="35" xfId="0" applyNumberFormat="1" applyFont="1" applyBorder="1"/>
    <xf numFmtId="4" fontId="41" fillId="0" borderId="122" xfId="0" applyNumberFormat="1" applyFont="1" applyBorder="1"/>
    <xf numFmtId="2" fontId="41" fillId="0" borderId="137" xfId="0" applyNumberFormat="1" applyFont="1" applyBorder="1" applyAlignment="1">
      <alignment horizontal="center"/>
    </xf>
    <xf numFmtId="2" fontId="41" fillId="0" borderId="144" xfId="0" applyNumberFormat="1" applyFont="1" applyBorder="1"/>
    <xf numFmtId="4" fontId="41" fillId="0" borderId="15" xfId="0" applyNumberFormat="1" applyFont="1" applyBorder="1"/>
    <xf numFmtId="0" fontId="41" fillId="0" borderId="148" xfId="0" applyFont="1" applyBorder="1"/>
    <xf numFmtId="2" fontId="41" fillId="0" borderId="149" xfId="0" applyNumberFormat="1" applyFont="1" applyBorder="1" applyAlignment="1">
      <alignment horizontal="center"/>
    </xf>
    <xf numFmtId="2" fontId="41" fillId="0" borderId="150" xfId="0" applyNumberFormat="1" applyFont="1" applyBorder="1" applyAlignment="1">
      <alignment horizontal="center"/>
    </xf>
    <xf numFmtId="2" fontId="41" fillId="0" borderId="150" xfId="0" applyNumberFormat="1" applyFont="1" applyBorder="1"/>
    <xf numFmtId="4" fontId="41" fillId="0" borderId="151" xfId="0" applyNumberFormat="1" applyFont="1" applyBorder="1"/>
    <xf numFmtId="4" fontId="41" fillId="0" borderId="152" xfId="0" applyNumberFormat="1" applyFont="1" applyBorder="1"/>
    <xf numFmtId="0" fontId="102" fillId="46" borderId="89" xfId="0" applyFont="1" applyFill="1" applyBorder="1"/>
    <xf numFmtId="0" fontId="71" fillId="46" borderId="36" xfId="0" applyFont="1" applyFill="1" applyBorder="1" applyAlignment="1">
      <alignment horizontal="center"/>
    </xf>
    <xf numFmtId="0" fontId="71" fillId="46" borderId="36" xfId="0" applyFont="1" applyFill="1" applyBorder="1"/>
    <xf numFmtId="4" fontId="71" fillId="46" borderId="146" xfId="0" applyNumberFormat="1" applyFont="1" applyFill="1" applyBorder="1"/>
    <xf numFmtId="0" fontId="71" fillId="46" borderId="105" xfId="0" applyFont="1" applyFill="1" applyBorder="1"/>
    <xf numFmtId="0" fontId="71" fillId="46" borderId="105" xfId="0" applyFont="1" applyFill="1" applyBorder="1" applyAlignment="1">
      <alignment horizontal="left"/>
    </xf>
    <xf numFmtId="0" fontId="71" fillId="46" borderId="147" xfId="0" applyFont="1" applyFill="1" applyBorder="1"/>
    <xf numFmtId="0" fontId="106" fillId="0" borderId="0" xfId="0" applyFont="1"/>
    <xf numFmtId="0" fontId="107" fillId="0" borderId="0" xfId="101" applyFont="1"/>
    <xf numFmtId="197" fontId="108" fillId="0" borderId="0" xfId="101" applyNumberFormat="1" applyFont="1"/>
    <xf numFmtId="0" fontId="90" fillId="0" borderId="0" xfId="101" applyFont="1"/>
    <xf numFmtId="172" fontId="90" fillId="0" borderId="0" xfId="101" applyNumberFormat="1" applyFont="1"/>
    <xf numFmtId="0" fontId="71" fillId="46" borderId="105" xfId="0" applyFont="1" applyFill="1" applyBorder="1" applyAlignment="1">
      <alignment horizontal="center"/>
    </xf>
    <xf numFmtId="0" fontId="51" fillId="0" borderId="0" xfId="57" applyFont="1" applyAlignment="1">
      <alignment horizontal="left" vertical="top"/>
    </xf>
    <xf numFmtId="38" fontId="15" fillId="0" borderId="0" xfId="99" applyFont="1" applyAlignment="1">
      <alignment horizontal="center"/>
    </xf>
    <xf numFmtId="38" fontId="76" fillId="0" borderId="0" xfId="99" applyFont="1" applyAlignment="1">
      <alignment horizontal="center"/>
    </xf>
    <xf numFmtId="192" fontId="15" fillId="0" borderId="0" xfId="99" quotePrefix="1" applyNumberFormat="1" applyFont="1" applyAlignment="1">
      <alignment horizontal="center"/>
    </xf>
    <xf numFmtId="0" fontId="80" fillId="0" borderId="0" xfId="101" applyFont="1" applyAlignment="1">
      <alignment horizontal="center"/>
    </xf>
    <xf numFmtId="197" fontId="82" fillId="41" borderId="15" xfId="101" applyNumberFormat="1" applyFont="1" applyFill="1" applyBorder="1" applyAlignment="1">
      <alignment horizontal="center"/>
    </xf>
    <xf numFmtId="0" fontId="85" fillId="41" borderId="0" xfId="101" applyFont="1" applyFill="1" applyAlignment="1">
      <alignment horizontal="center"/>
    </xf>
    <xf numFmtId="0" fontId="92" fillId="0" borderId="0" xfId="101" applyFont="1" applyAlignment="1">
      <alignment horizontal="center"/>
    </xf>
    <xf numFmtId="0" fontId="82" fillId="0" borderId="0" xfId="101" applyFont="1" applyAlignment="1">
      <alignment horizontal="center"/>
    </xf>
    <xf numFmtId="197" fontId="82" fillId="41" borderId="0" xfId="101" applyNumberFormat="1" applyFont="1" applyFill="1" applyAlignment="1">
      <alignment horizontal="center"/>
    </xf>
    <xf numFmtId="197" fontId="93" fillId="43" borderId="0" xfId="101" applyNumberFormat="1" applyFont="1" applyFill="1" applyAlignment="1">
      <alignment horizontal="center"/>
    </xf>
    <xf numFmtId="0" fontId="0" fillId="2" borderId="0" xfId="0" applyFill="1" applyAlignment="1">
      <alignment horizontal="left"/>
    </xf>
    <xf numFmtId="0" fontId="35" fillId="47" borderId="1" xfId="44" applyFont="1" applyFill="1" applyBorder="1" applyAlignment="1">
      <alignment vertical="center"/>
    </xf>
    <xf numFmtId="0" fontId="35" fillId="47" borderId="97" xfId="44" applyFont="1" applyFill="1" applyBorder="1" applyAlignment="1">
      <alignment vertical="top" wrapText="1"/>
    </xf>
    <xf numFmtId="0" fontId="35" fillId="47" borderId="97" xfId="44" applyFont="1" applyFill="1" applyBorder="1" applyAlignment="1">
      <alignment vertical="top"/>
    </xf>
    <xf numFmtId="0" fontId="35" fillId="47" borderId="159" xfId="44" applyFont="1" applyFill="1" applyBorder="1" applyAlignment="1">
      <alignment vertical="top"/>
    </xf>
    <xf numFmtId="0" fontId="106" fillId="0" borderId="94" xfId="0" applyFont="1" applyBorder="1"/>
    <xf numFmtId="15" fontId="106" fillId="0" borderId="157" xfId="0" applyNumberFormat="1" applyFont="1" applyBorder="1"/>
    <xf numFmtId="0" fontId="106" fillId="0" borderId="157" xfId="0" applyFont="1" applyBorder="1"/>
    <xf numFmtId="0" fontId="106" fillId="48" borderId="94" xfId="0" applyFont="1" applyFill="1" applyBorder="1"/>
    <xf numFmtId="15" fontId="106" fillId="48" borderId="157" xfId="0" applyNumberFormat="1" applyFont="1" applyFill="1" applyBorder="1"/>
    <xf numFmtId="0" fontId="106" fillId="0" borderId="166" xfId="0" applyFont="1" applyBorder="1"/>
    <xf numFmtId="0" fontId="106" fillId="0" borderId="156" xfId="0" applyFont="1" applyBorder="1"/>
    <xf numFmtId="0" fontId="106" fillId="48" borderId="157" xfId="0" applyFont="1" applyFill="1" applyBorder="1"/>
    <xf numFmtId="0" fontId="110" fillId="0" borderId="0" xfId="0" applyFont="1"/>
    <xf numFmtId="0" fontId="106" fillId="0" borderId="96" xfId="0" applyFont="1" applyBorder="1"/>
    <xf numFmtId="0" fontId="35" fillId="47" borderId="96" xfId="44" applyFont="1" applyFill="1" applyBorder="1" applyAlignment="1">
      <alignment horizontal="center" vertical="center" wrapText="1"/>
    </xf>
    <xf numFmtId="0" fontId="109" fillId="0" borderId="102" xfId="0" applyFont="1" applyBorder="1" applyAlignment="1">
      <alignment vertical="top"/>
    </xf>
    <xf numFmtId="0" fontId="71" fillId="46" borderId="104" xfId="0" applyFont="1" applyFill="1" applyBorder="1" applyAlignment="1">
      <alignment horizontal="center"/>
    </xf>
    <xf numFmtId="0" fontId="41" fillId="0" borderId="0" xfId="0" applyFont="1" applyFill="1"/>
    <xf numFmtId="0" fontId="41" fillId="0" borderId="15" xfId="0" applyFont="1" applyFill="1" applyBorder="1"/>
    <xf numFmtId="0" fontId="103" fillId="0" borderId="0" xfId="0" applyFont="1" applyFill="1"/>
    <xf numFmtId="0" fontId="41" fillId="0" borderId="14" xfId="0" applyFont="1" applyFill="1" applyBorder="1"/>
    <xf numFmtId="0" fontId="104" fillId="0" borderId="0" xfId="56" applyFont="1" applyFill="1"/>
    <xf numFmtId="0" fontId="71" fillId="0" borderId="102" xfId="0" applyFont="1" applyFill="1" applyBorder="1" applyAlignment="1">
      <alignment horizontal="right"/>
    </xf>
    <xf numFmtId="0" fontId="71" fillId="0" borderId="96" xfId="0" applyFont="1" applyFill="1" applyBorder="1" applyAlignment="1">
      <alignment horizontal="right"/>
    </xf>
    <xf numFmtId="4" fontId="71" fillId="0" borderId="98" xfId="1" applyNumberFormat="1" applyFont="1" applyFill="1" applyBorder="1"/>
    <xf numFmtId="0" fontId="104" fillId="0" borderId="0" xfId="0" applyFont="1" applyFill="1"/>
    <xf numFmtId="0" fontId="13" fillId="0" borderId="0" xfId="0" applyFont="1" applyFill="1" applyAlignment="1">
      <alignment horizontal="center"/>
    </xf>
    <xf numFmtId="0" fontId="12" fillId="0" borderId="0" xfId="0" applyFont="1" applyFill="1"/>
    <xf numFmtId="0" fontId="14" fillId="0" borderId="0" xfId="0" applyFont="1" applyFill="1"/>
    <xf numFmtId="0" fontId="15" fillId="0" borderId="0" xfId="0" applyFont="1" applyFill="1" applyAlignment="1">
      <alignment horizontal="center" vertical="center" wrapText="1"/>
    </xf>
    <xf numFmtId="0" fontId="12" fillId="0" borderId="0" xfId="0" applyFont="1" applyFill="1" applyAlignment="1">
      <alignment horizontal="center" wrapText="1"/>
    </xf>
    <xf numFmtId="0" fontId="12" fillId="0" borderId="51" xfId="0" applyFont="1" applyFill="1" applyBorder="1"/>
    <xf numFmtId="0" fontId="97" fillId="0" borderId="52" xfId="0" applyFont="1" applyFill="1" applyBorder="1" applyAlignment="1">
      <alignment horizontal="center" vertical="center"/>
    </xf>
    <xf numFmtId="0" fontId="12" fillId="0" borderId="5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97" fillId="0" borderId="47" xfId="0" applyFont="1" applyFill="1" applyBorder="1" applyAlignment="1">
      <alignment horizontal="center" vertical="center" wrapText="1"/>
    </xf>
    <xf numFmtId="0" fontId="97" fillId="0" borderId="48" xfId="0" applyFont="1" applyFill="1" applyBorder="1" applyAlignment="1">
      <alignment horizontal="center" vertical="center" wrapText="1"/>
    </xf>
    <xf numFmtId="0" fontId="97" fillId="0" borderId="49" xfId="0" applyFont="1" applyFill="1" applyBorder="1" applyAlignment="1">
      <alignment horizontal="center" vertical="center" wrapText="1"/>
    </xf>
    <xf numFmtId="0" fontId="97" fillId="0" borderId="0" xfId="0" applyFont="1" applyFill="1" applyAlignment="1">
      <alignment horizontal="center" vertical="center" wrapText="1"/>
    </xf>
    <xf numFmtId="0" fontId="97" fillId="0" borderId="1" xfId="0" applyFont="1" applyFill="1" applyBorder="1" applyAlignment="1">
      <alignment horizontal="center" vertical="center" wrapText="1"/>
    </xf>
    <xf numFmtId="0" fontId="97" fillId="0" borderId="3" xfId="0" applyFont="1" applyFill="1" applyBorder="1" applyAlignment="1">
      <alignment horizontal="left"/>
    </xf>
    <xf numFmtId="0" fontId="97" fillId="0" borderId="4" xfId="0" applyFont="1" applyFill="1" applyBorder="1" applyAlignment="1">
      <alignment horizontal="left"/>
    </xf>
    <xf numFmtId="0" fontId="97" fillId="0" borderId="2" xfId="0" applyFont="1" applyFill="1" applyBorder="1" applyAlignment="1">
      <alignment horizontal="left"/>
    </xf>
    <xf numFmtId="165" fontId="12" fillId="0" borderId="0" xfId="0" applyNumberFormat="1" applyFont="1" applyFill="1"/>
    <xf numFmtId="3" fontId="12" fillId="0" borderId="0" xfId="0" applyNumberFormat="1" applyFont="1" applyFill="1"/>
    <xf numFmtId="170" fontId="12" fillId="0" borderId="21" xfId="0" applyNumberFormat="1" applyFont="1" applyFill="1" applyBorder="1" applyAlignment="1">
      <alignment horizontal="center"/>
    </xf>
    <xf numFmtId="0" fontId="12" fillId="0" borderId="6" xfId="0" applyFont="1" applyFill="1" applyBorder="1"/>
    <xf numFmtId="0" fontId="12" fillId="0" borderId="6" xfId="0" applyFont="1" applyFill="1" applyBorder="1" applyAlignment="1">
      <alignment horizontal="center"/>
    </xf>
    <xf numFmtId="169" fontId="12" fillId="0" borderId="22" xfId="0" applyNumberFormat="1" applyFont="1" applyFill="1" applyBorder="1"/>
    <xf numFmtId="165" fontId="12" fillId="0" borderId="22" xfId="1" applyFont="1" applyFill="1" applyBorder="1"/>
    <xf numFmtId="169" fontId="12" fillId="0" borderId="26" xfId="0" applyNumberFormat="1" applyFont="1" applyFill="1" applyBorder="1"/>
    <xf numFmtId="169" fontId="12" fillId="0" borderId="131" xfId="0" applyNumberFormat="1" applyFont="1" applyFill="1" applyBorder="1"/>
    <xf numFmtId="9" fontId="12" fillId="0" borderId="0" xfId="0" applyNumberFormat="1" applyFont="1" applyFill="1" applyAlignment="1">
      <alignment horizontal="center" vertical="center"/>
    </xf>
    <xf numFmtId="3" fontId="12" fillId="0" borderId="26" xfId="0" applyNumberFormat="1" applyFont="1" applyFill="1" applyBorder="1"/>
    <xf numFmtId="0" fontId="112" fillId="0" borderId="14" xfId="0" applyFont="1" applyFill="1" applyBorder="1"/>
    <xf numFmtId="0" fontId="112" fillId="0" borderId="0" xfId="0" applyFont="1" applyFill="1"/>
    <xf numFmtId="0" fontId="112" fillId="0" borderId="15" xfId="0" applyFont="1" applyFill="1" applyBorder="1"/>
    <xf numFmtId="170" fontId="12" fillId="0" borderId="24" xfId="0" applyNumberFormat="1" applyFont="1" applyFill="1" applyBorder="1" applyAlignment="1">
      <alignment horizontal="center"/>
    </xf>
    <xf numFmtId="0" fontId="12" fillId="0" borderId="5" xfId="0" applyFont="1" applyFill="1" applyBorder="1"/>
    <xf numFmtId="0" fontId="12" fillId="0" borderId="5" xfId="0" applyFont="1" applyFill="1" applyBorder="1" applyAlignment="1">
      <alignment horizontal="center"/>
    </xf>
    <xf numFmtId="169" fontId="12" fillId="0" borderId="25" xfId="0" applyNumberFormat="1" applyFont="1" applyFill="1" applyBorder="1"/>
    <xf numFmtId="169" fontId="12" fillId="0" borderId="25" xfId="1" applyNumberFormat="1" applyFont="1" applyFill="1" applyBorder="1"/>
    <xf numFmtId="165" fontId="112" fillId="0" borderId="14" xfId="1" applyFont="1" applyFill="1" applyBorder="1"/>
    <xf numFmtId="169" fontId="112" fillId="0" borderId="15" xfId="0" applyNumberFormat="1" applyFont="1" applyFill="1" applyBorder="1"/>
    <xf numFmtId="170" fontId="12" fillId="0" borderId="31" xfId="0" applyNumberFormat="1" applyFont="1" applyFill="1" applyBorder="1" applyAlignment="1">
      <alignment horizontal="center"/>
    </xf>
    <xf numFmtId="0" fontId="12" fillId="0" borderId="32" xfId="0" applyFont="1" applyFill="1" applyBorder="1"/>
    <xf numFmtId="0" fontId="12" fillId="0" borderId="32" xfId="0" applyFont="1" applyFill="1" applyBorder="1" applyAlignment="1">
      <alignment horizontal="center"/>
    </xf>
    <xf numFmtId="169" fontId="12" fillId="0" borderId="33" xfId="0" applyNumberFormat="1" applyFont="1" applyFill="1" applyBorder="1"/>
    <xf numFmtId="169" fontId="12" fillId="0" borderId="33" xfId="1" applyNumberFormat="1" applyFont="1" applyFill="1" applyBorder="1"/>
    <xf numFmtId="169" fontId="12" fillId="0" borderId="34" xfId="0" applyNumberFormat="1" applyFont="1" applyFill="1" applyBorder="1"/>
    <xf numFmtId="9" fontId="12" fillId="0" borderId="0" xfId="0" applyNumberFormat="1" applyFont="1" applyFill="1"/>
    <xf numFmtId="170" fontId="12" fillId="0" borderId="0" xfId="0" applyNumberFormat="1" applyFont="1" applyFill="1" applyAlignment="1">
      <alignment horizontal="center"/>
    </xf>
    <xf numFmtId="0" fontId="12" fillId="0" borderId="0" xfId="0" applyFont="1" applyFill="1" applyAlignment="1">
      <alignment horizontal="center"/>
    </xf>
    <xf numFmtId="169" fontId="12" fillId="0" borderId="0" xfId="0" applyNumberFormat="1" applyFont="1" applyFill="1"/>
    <xf numFmtId="1" fontId="12" fillId="0" borderId="0" xfId="53" applyNumberFormat="1" applyFont="1" applyFill="1"/>
    <xf numFmtId="169" fontId="12" fillId="0" borderId="22" xfId="1" applyNumberFormat="1" applyFont="1" applyFill="1" applyBorder="1"/>
    <xf numFmtId="169" fontId="12" fillId="0" borderId="23" xfId="0" applyNumberFormat="1" applyFont="1" applyFill="1" applyBorder="1"/>
    <xf numFmtId="3" fontId="12" fillId="0" borderId="30" xfId="0" applyNumberFormat="1" applyFont="1" applyFill="1" applyBorder="1"/>
    <xf numFmtId="169" fontId="12" fillId="0" borderId="26" xfId="0" applyNumberFormat="1" applyFont="1" applyFill="1" applyBorder="1" applyAlignment="1">
      <alignment horizontal="right"/>
    </xf>
    <xf numFmtId="0" fontId="74" fillId="0" borderId="5" xfId="0" applyFont="1" applyFill="1" applyBorder="1"/>
    <xf numFmtId="0" fontId="74" fillId="0" borderId="5" xfId="0" applyFont="1" applyFill="1" applyBorder="1" applyAlignment="1">
      <alignment horizontal="center"/>
    </xf>
    <xf numFmtId="169" fontId="74" fillId="0" borderId="25" xfId="0" applyNumberFormat="1" applyFont="1" applyFill="1" applyBorder="1"/>
    <xf numFmtId="168" fontId="12" fillId="0" borderId="25" xfId="1" applyNumberFormat="1" applyFont="1" applyFill="1" applyBorder="1"/>
    <xf numFmtId="3" fontId="12" fillId="0" borderId="44" xfId="0" applyNumberFormat="1" applyFont="1" applyFill="1" applyBorder="1"/>
    <xf numFmtId="0" fontId="74" fillId="0" borderId="32" xfId="0" applyFont="1" applyFill="1" applyBorder="1"/>
    <xf numFmtId="0" fontId="74" fillId="0" borderId="32" xfId="0" applyFont="1" applyFill="1" applyBorder="1" applyAlignment="1">
      <alignment horizontal="center"/>
    </xf>
    <xf numFmtId="169" fontId="74" fillId="0" borderId="33" xfId="0" applyNumberFormat="1" applyFont="1" applyFill="1" applyBorder="1"/>
    <xf numFmtId="170" fontId="12" fillId="0" borderId="18" xfId="0" applyNumberFormat="1" applyFont="1" applyFill="1" applyBorder="1" applyAlignment="1">
      <alignment horizontal="center"/>
    </xf>
    <xf numFmtId="0" fontId="12" fillId="0" borderId="19" xfId="0" applyFont="1" applyFill="1" applyBorder="1"/>
    <xf numFmtId="0" fontId="12" fillId="0" borderId="19" xfId="0" applyFont="1" applyFill="1" applyBorder="1" applyAlignment="1">
      <alignment horizontal="center"/>
    </xf>
    <xf numFmtId="169" fontId="12" fillId="0" borderId="20" xfId="0" applyNumberFormat="1" applyFont="1" applyFill="1" applyBorder="1"/>
    <xf numFmtId="169" fontId="12" fillId="0" borderId="20" xfId="1" applyNumberFormat="1" applyFont="1" applyFill="1" applyBorder="1"/>
    <xf numFmtId="3" fontId="12" fillId="0" borderId="34" xfId="0" applyNumberFormat="1" applyFont="1" applyFill="1" applyBorder="1"/>
    <xf numFmtId="169" fontId="12" fillId="0" borderId="1" xfId="0" applyNumberFormat="1" applyFont="1" applyFill="1" applyBorder="1" applyAlignment="1">
      <alignment horizontal="left" indent="2"/>
    </xf>
    <xf numFmtId="9" fontId="12" fillId="0" borderId="18" xfId="0" applyNumberFormat="1" applyFont="1" applyFill="1" applyBorder="1" applyAlignment="1">
      <alignment horizontal="center"/>
    </xf>
    <xf numFmtId="9" fontId="12" fillId="0" borderId="19" xfId="0" applyNumberFormat="1" applyFont="1" applyFill="1" applyBorder="1" applyAlignment="1">
      <alignment horizontal="center"/>
    </xf>
    <xf numFmtId="9" fontId="12" fillId="0" borderId="20" xfId="0" applyNumberFormat="1" applyFont="1" applyFill="1" applyBorder="1" applyAlignment="1">
      <alignment horizontal="center"/>
    </xf>
    <xf numFmtId="9" fontId="12" fillId="0" borderId="0" xfId="0" applyNumberFormat="1" applyFont="1" applyFill="1" applyAlignment="1">
      <alignment horizontal="center"/>
    </xf>
    <xf numFmtId="9" fontId="12" fillId="0" borderId="31" xfId="0" applyNumberFormat="1" applyFont="1" applyFill="1" applyBorder="1" applyAlignment="1">
      <alignment horizontal="center"/>
    </xf>
    <xf numFmtId="9" fontId="12" fillId="0" borderId="32" xfId="0" applyNumberFormat="1" applyFont="1" applyFill="1" applyBorder="1" applyAlignment="1">
      <alignment horizontal="center"/>
    </xf>
    <xf numFmtId="9" fontId="12" fillId="0" borderId="33" xfId="0" applyNumberFormat="1" applyFont="1" applyFill="1" applyBorder="1" applyAlignment="1">
      <alignment horizontal="center"/>
    </xf>
    <xf numFmtId="168" fontId="12" fillId="0" borderId="22" xfId="1" applyNumberFormat="1" applyFont="1" applyFill="1" applyBorder="1"/>
    <xf numFmtId="9" fontId="12" fillId="0" borderId="24" xfId="0" applyNumberFormat="1" applyFont="1" applyFill="1" applyBorder="1" applyAlignment="1">
      <alignment horizontal="center"/>
    </xf>
    <xf numFmtId="9" fontId="12" fillId="0" borderId="5" xfId="0" applyNumberFormat="1" applyFont="1" applyFill="1" applyBorder="1" applyAlignment="1">
      <alignment horizontal="center"/>
    </xf>
    <xf numFmtId="9" fontId="12" fillId="0" borderId="25" xfId="0" applyNumberFormat="1" applyFont="1" applyFill="1" applyBorder="1" applyAlignment="1">
      <alignment horizontal="center"/>
    </xf>
    <xf numFmtId="170" fontId="12" fillId="0" borderId="27" xfId="0" applyNumberFormat="1" applyFont="1" applyFill="1" applyBorder="1" applyAlignment="1">
      <alignment horizontal="center"/>
    </xf>
    <xf numFmtId="0" fontId="12" fillId="0" borderId="28" xfId="0" applyFont="1" applyFill="1" applyBorder="1"/>
    <xf numFmtId="169" fontId="12" fillId="0" borderId="29" xfId="0" applyNumberFormat="1" applyFont="1" applyFill="1" applyBorder="1"/>
    <xf numFmtId="0" fontId="97" fillId="0" borderId="0" xfId="0" applyFont="1" applyFill="1"/>
    <xf numFmtId="0" fontId="12" fillId="0" borderId="19" xfId="0" applyFont="1" applyFill="1" applyBorder="1" applyAlignment="1">
      <alignment wrapText="1"/>
    </xf>
    <xf numFmtId="0" fontId="12" fillId="0" borderId="0" xfId="0" applyFont="1" applyFill="1" applyAlignment="1">
      <alignment horizontal="center" vertical="center" wrapText="1"/>
    </xf>
    <xf numFmtId="0" fontId="97" fillId="0" borderId="4" xfId="0" applyFont="1" applyFill="1" applyBorder="1" applyAlignment="1"/>
    <xf numFmtId="169" fontId="12" fillId="0" borderId="23" xfId="1" applyNumberFormat="1" applyFont="1" applyFill="1" applyBorder="1"/>
    <xf numFmtId="3" fontId="12" fillId="0" borderId="1" xfId="0" applyNumberFormat="1" applyFont="1" applyFill="1" applyBorder="1"/>
    <xf numFmtId="169" fontId="12" fillId="0" borderId="26" xfId="1" applyNumberFormat="1" applyFont="1" applyFill="1" applyBorder="1"/>
    <xf numFmtId="165" fontId="12" fillId="0" borderId="26" xfId="1" applyFont="1" applyFill="1" applyBorder="1"/>
    <xf numFmtId="169" fontId="12" fillId="0" borderId="34" xfId="1" applyNumberFormat="1" applyFont="1" applyFill="1" applyBorder="1"/>
    <xf numFmtId="170" fontId="12" fillId="0" borderId="50" xfId="0" applyNumberFormat="1" applyFont="1" applyFill="1" applyBorder="1" applyAlignment="1">
      <alignment horizontal="center"/>
    </xf>
    <xf numFmtId="0" fontId="12" fillId="0" borderId="45" xfId="0" applyFont="1" applyFill="1" applyBorder="1"/>
    <xf numFmtId="0" fontId="12" fillId="0" borderId="45" xfId="0" applyFont="1" applyFill="1" applyBorder="1" applyAlignment="1">
      <alignment horizontal="center"/>
    </xf>
    <xf numFmtId="169" fontId="113" fillId="0" borderId="1" xfId="0" applyNumberFormat="1" applyFont="1" applyFill="1" applyBorder="1" applyAlignment="1">
      <alignment horizontal="right"/>
    </xf>
    <xf numFmtId="169" fontId="12" fillId="0" borderId="1" xfId="0" applyNumberFormat="1" applyFont="1" applyFill="1" applyBorder="1"/>
    <xf numFmtId="9" fontId="12" fillId="0" borderId="47" xfId="0" applyNumberFormat="1" applyFont="1" applyFill="1" applyBorder="1" applyAlignment="1">
      <alignment horizontal="center"/>
    </xf>
    <xf numFmtId="9" fontId="12" fillId="0" borderId="48" xfId="0" applyNumberFormat="1" applyFont="1" applyFill="1" applyBorder="1" applyAlignment="1">
      <alignment horizontal="center"/>
    </xf>
    <xf numFmtId="9" fontId="12" fillId="0" borderId="49" xfId="0" applyNumberFormat="1" applyFont="1" applyFill="1" applyBorder="1" applyAlignment="1">
      <alignment horizontal="center"/>
    </xf>
    <xf numFmtId="169" fontId="12" fillId="0" borderId="35" xfId="0" applyNumberFormat="1" applyFont="1" applyFill="1" applyBorder="1"/>
    <xf numFmtId="9" fontId="12" fillId="0" borderId="21" xfId="0" applyNumberFormat="1" applyFont="1" applyFill="1" applyBorder="1" applyAlignment="1">
      <alignment horizontal="center"/>
    </xf>
    <xf numFmtId="0" fontId="12" fillId="0" borderId="28" xfId="0" applyFont="1" applyFill="1" applyBorder="1" applyAlignment="1">
      <alignment horizontal="center"/>
    </xf>
    <xf numFmtId="169" fontId="12" fillId="0" borderId="30" xfId="1" applyNumberFormat="1" applyFont="1" applyFill="1" applyBorder="1"/>
    <xf numFmtId="165" fontId="112" fillId="0" borderId="16" xfId="1" applyFont="1" applyFill="1" applyBorder="1"/>
    <xf numFmtId="0" fontId="112" fillId="0" borderId="36" xfId="0" applyFont="1" applyFill="1" applyBorder="1"/>
    <xf numFmtId="169" fontId="112" fillId="0" borderId="38" xfId="0" applyNumberFormat="1" applyFont="1" applyFill="1" applyBorder="1"/>
    <xf numFmtId="0" fontId="71" fillId="0" borderId="0" xfId="0" applyFont="1" applyFill="1"/>
    <xf numFmtId="10" fontId="41" fillId="0" borderId="0" xfId="0" applyNumberFormat="1" applyFont="1" applyFill="1"/>
    <xf numFmtId="0" fontId="41" fillId="0" borderId="55" xfId="0" applyFont="1" applyFill="1" applyBorder="1"/>
    <xf numFmtId="0" fontId="41" fillId="0" borderId="89" xfId="0" applyFont="1" applyFill="1" applyBorder="1"/>
    <xf numFmtId="0" fontId="41" fillId="0" borderId="0" xfId="0" applyFont="1" applyFill="1" applyBorder="1"/>
    <xf numFmtId="0" fontId="41" fillId="0" borderId="91" xfId="0" applyFont="1" applyFill="1" applyBorder="1"/>
    <xf numFmtId="0" fontId="41" fillId="0" borderId="92" xfId="0" applyFont="1" applyFill="1" applyBorder="1"/>
    <xf numFmtId="0" fontId="41" fillId="0" borderId="93" xfId="0" applyFont="1" applyFill="1" applyBorder="1"/>
    <xf numFmtId="0" fontId="41" fillId="0" borderId="90" xfId="0" applyFont="1" applyFill="1" applyBorder="1"/>
    <xf numFmtId="0" fontId="71" fillId="0" borderId="89" xfId="0" applyFont="1" applyFill="1" applyBorder="1"/>
    <xf numFmtId="0" fontId="41" fillId="0" borderId="0" xfId="0" applyFont="1" applyFill="1" applyAlignment="1">
      <alignment wrapText="1"/>
    </xf>
    <xf numFmtId="0" fontId="71" fillId="0" borderId="1" xfId="0" applyFont="1" applyFill="1" applyBorder="1" applyAlignment="1">
      <alignment horizontal="center" wrapText="1"/>
    </xf>
    <xf numFmtId="0" fontId="12" fillId="0" borderId="0" xfId="0" applyFont="1" applyFill="1" applyAlignment="1">
      <alignment wrapText="1"/>
    </xf>
    <xf numFmtId="188" fontId="12" fillId="0" borderId="26" xfId="0" applyNumberFormat="1" applyFont="1" applyFill="1" applyBorder="1" applyAlignment="1">
      <alignment wrapText="1"/>
    </xf>
    <xf numFmtId="169" fontId="12" fillId="0" borderId="0" xfId="0" applyNumberFormat="1" applyFont="1" applyFill="1" applyAlignment="1">
      <alignment wrapText="1"/>
    </xf>
    <xf numFmtId="188" fontId="12" fillId="0" borderId="23" xfId="0" applyNumberFormat="1" applyFont="1" applyFill="1" applyBorder="1" applyAlignment="1">
      <alignment wrapText="1"/>
    </xf>
    <xf numFmtId="188" fontId="12" fillId="0" borderId="34" xfId="0" applyNumberFormat="1" applyFont="1" applyFill="1" applyBorder="1" applyAlignment="1">
      <alignment wrapText="1"/>
    </xf>
    <xf numFmtId="188" fontId="12" fillId="0" borderId="26" xfId="0" applyNumberFormat="1" applyFont="1" applyFill="1" applyBorder="1" applyAlignment="1">
      <alignment horizontal="right" wrapText="1"/>
    </xf>
    <xf numFmtId="188" fontId="12" fillId="0" borderId="34" xfId="0" applyNumberFormat="1" applyFont="1" applyFill="1" applyBorder="1" applyAlignment="1">
      <alignment horizontal="right" wrapText="1"/>
    </xf>
    <xf numFmtId="169" fontId="12" fillId="0" borderId="0" xfId="0" applyNumberFormat="1" applyFont="1" applyFill="1" applyAlignment="1">
      <alignment horizontal="right" wrapText="1"/>
    </xf>
    <xf numFmtId="188" fontId="12" fillId="0" borderId="23" xfId="0" applyNumberFormat="1" applyFont="1" applyFill="1" applyBorder="1" applyAlignment="1">
      <alignment horizontal="right" wrapText="1"/>
    </xf>
    <xf numFmtId="3" fontId="12" fillId="0" borderId="36" xfId="0" applyNumberFormat="1" applyFont="1" applyFill="1" applyBorder="1"/>
    <xf numFmtId="0" fontId="116" fillId="0" borderId="0" xfId="0" applyFont="1" applyAlignment="1">
      <alignment horizontal="left" vertical="center"/>
    </xf>
    <xf numFmtId="0" fontId="117" fillId="0" borderId="0" xfId="0" applyFont="1" applyAlignment="1">
      <alignment horizontal="center" vertical="center"/>
    </xf>
    <xf numFmtId="0" fontId="116" fillId="0" borderId="92" xfId="0" applyFont="1" applyBorder="1" applyAlignment="1">
      <alignment horizontal="left" vertical="center"/>
    </xf>
    <xf numFmtId="0" fontId="117" fillId="0" borderId="92" xfId="0" applyFont="1" applyBorder="1" applyAlignment="1">
      <alignment horizontal="center" vertical="center"/>
    </xf>
    <xf numFmtId="0" fontId="118" fillId="0" borderId="0" xfId="0" applyFont="1" applyAlignment="1">
      <alignment horizontal="left" vertical="center"/>
    </xf>
    <xf numFmtId="0" fontId="119" fillId="0" borderId="0" xfId="0" applyFont="1" applyAlignment="1">
      <alignment horizontal="left" vertical="center"/>
    </xf>
    <xf numFmtId="0" fontId="118" fillId="0" borderId="0" xfId="0" applyFont="1" applyAlignment="1">
      <alignment horizontal="center" vertical="center" wrapText="1"/>
    </xf>
    <xf numFmtId="0" fontId="120" fillId="0" borderId="0" xfId="0" applyFont="1" applyAlignment="1">
      <alignment horizontal="center" vertical="center" wrapText="1"/>
    </xf>
    <xf numFmtId="0" fontId="121" fillId="0" borderId="0" xfId="0" applyFont="1" applyAlignment="1">
      <alignment horizontal="center" vertical="center" wrapText="1"/>
    </xf>
    <xf numFmtId="0" fontId="121" fillId="0" borderId="0" xfId="0" applyFont="1" applyAlignment="1">
      <alignment horizontal="left" vertical="center" wrapText="1"/>
    </xf>
    <xf numFmtId="0" fontId="3" fillId="0" borderId="0" xfId="0" applyFont="1" applyAlignment="1">
      <alignment horizontal="center" vertical="center" wrapText="1"/>
    </xf>
    <xf numFmtId="0" fontId="121" fillId="51" borderId="89" xfId="0" applyFont="1" applyFill="1" applyBorder="1" applyAlignment="1">
      <alignment horizontal="left" vertical="center" wrapText="1"/>
    </xf>
    <xf numFmtId="0" fontId="120" fillId="51" borderId="0" xfId="0" applyFont="1" applyFill="1" applyAlignment="1">
      <alignment horizontal="center" vertical="center" wrapText="1"/>
    </xf>
    <xf numFmtId="0" fontId="120" fillId="51" borderId="90" xfId="0" applyFont="1" applyFill="1" applyBorder="1" applyAlignment="1">
      <alignment horizontal="center" vertical="center" wrapText="1"/>
    </xf>
    <xf numFmtId="0" fontId="120" fillId="52" borderId="0" xfId="0" applyFont="1" applyFill="1" applyAlignment="1">
      <alignment horizontal="center" vertical="center" wrapText="1"/>
    </xf>
    <xf numFmtId="0" fontId="121" fillId="0" borderId="84" xfId="0" applyFont="1" applyBorder="1" applyAlignment="1">
      <alignment horizontal="center" vertical="center" wrapText="1"/>
    </xf>
    <xf numFmtId="0" fontId="121" fillId="51" borderId="84" xfId="0" applyFont="1" applyFill="1" applyBorder="1" applyAlignment="1">
      <alignment horizontal="left" vertical="center" wrapText="1"/>
    </xf>
    <xf numFmtId="0" fontId="120" fillId="51" borderId="85" xfId="0" applyFont="1" applyFill="1" applyBorder="1" applyAlignment="1">
      <alignment horizontal="center" vertical="center" wrapText="1"/>
    </xf>
    <xf numFmtId="0" fontId="120" fillId="51" borderId="86" xfId="0" applyFont="1" applyFill="1" applyBorder="1" applyAlignment="1">
      <alignment horizontal="center" vertical="center" wrapText="1"/>
    </xf>
    <xf numFmtId="0" fontId="120" fillId="52" borderId="105" xfId="0" applyFont="1" applyFill="1" applyBorder="1" applyAlignment="1">
      <alignment horizontal="center" vertical="center" wrapText="1"/>
    </xf>
    <xf numFmtId="0" fontId="121" fillId="51" borderId="87" xfId="0" applyFont="1" applyFill="1" applyBorder="1" applyAlignment="1">
      <alignment horizontal="left" vertical="center" wrapText="1"/>
    </xf>
    <xf numFmtId="0" fontId="120" fillId="51" borderId="55" xfId="0" applyFont="1" applyFill="1" applyBorder="1" applyAlignment="1">
      <alignment horizontal="center" vertical="center" wrapText="1"/>
    </xf>
    <xf numFmtId="0" fontId="121" fillId="51" borderId="91" xfId="0" applyFont="1" applyFill="1" applyBorder="1" applyAlignment="1">
      <alignment horizontal="left" vertical="center" wrapText="1"/>
    </xf>
    <xf numFmtId="0" fontId="120" fillId="51" borderId="92" xfId="0" applyFont="1" applyFill="1" applyBorder="1" applyAlignment="1">
      <alignment horizontal="center" vertical="center" wrapText="1"/>
    </xf>
    <xf numFmtId="0" fontId="120" fillId="51" borderId="105" xfId="0" applyFont="1" applyFill="1" applyBorder="1" applyAlignment="1">
      <alignment horizontal="center" vertical="center" wrapText="1"/>
    </xf>
    <xf numFmtId="0" fontId="120" fillId="51" borderId="106" xfId="0" applyFont="1" applyFill="1" applyBorder="1" applyAlignment="1">
      <alignment horizontal="center" vertical="center" wrapText="1"/>
    </xf>
    <xf numFmtId="0" fontId="120" fillId="51" borderId="147" xfId="0" applyFont="1" applyFill="1" applyBorder="1" applyAlignment="1">
      <alignment horizontal="center" vertical="center" wrapText="1"/>
    </xf>
    <xf numFmtId="0" fontId="119" fillId="0" borderId="0" xfId="0" applyFont="1" applyAlignment="1">
      <alignment horizontal="center" vertical="center" wrapText="1"/>
    </xf>
    <xf numFmtId="0" fontId="123" fillId="0" borderId="0" xfId="0" applyFont="1" applyAlignment="1">
      <alignment horizontal="center" vertical="center" wrapText="1"/>
    </xf>
    <xf numFmtId="0" fontId="124" fillId="0" borderId="0" xfId="0" applyFont="1" applyAlignment="1">
      <alignment horizontal="center" vertical="center" wrapText="1"/>
    </xf>
    <xf numFmtId="0" fontId="119" fillId="0" borderId="0" xfId="0" applyFont="1" applyAlignment="1">
      <alignment horizontal="left" vertical="center" wrapText="1"/>
    </xf>
    <xf numFmtId="169" fontId="12" fillId="0" borderId="30" xfId="0" applyNumberFormat="1" applyFont="1" applyFill="1" applyBorder="1"/>
    <xf numFmtId="9" fontId="12" fillId="0" borderId="0" xfId="0" applyNumberFormat="1" applyFont="1" applyFill="1" applyBorder="1" applyAlignment="1">
      <alignment horizontal="center"/>
    </xf>
    <xf numFmtId="3" fontId="12" fillId="0" borderId="0" xfId="0" applyNumberFormat="1" applyFont="1" applyFill="1" applyBorder="1"/>
    <xf numFmtId="9" fontId="12" fillId="0" borderId="27" xfId="0" applyNumberFormat="1" applyFont="1" applyFill="1" applyBorder="1" applyAlignment="1">
      <alignment horizontal="center"/>
    </xf>
    <xf numFmtId="9" fontId="12" fillId="0" borderId="28" xfId="0" applyNumberFormat="1" applyFont="1" applyFill="1" applyBorder="1" applyAlignment="1">
      <alignment horizontal="center"/>
    </xf>
    <xf numFmtId="9" fontId="12" fillId="0" borderId="29" xfId="0" applyNumberFormat="1" applyFont="1" applyFill="1" applyBorder="1" applyAlignment="1">
      <alignment horizontal="center"/>
    </xf>
    <xf numFmtId="9" fontId="12" fillId="0" borderId="114" xfId="0" applyNumberFormat="1" applyFont="1" applyFill="1" applyBorder="1" applyAlignment="1">
      <alignment horizontal="center"/>
    </xf>
    <xf numFmtId="9" fontId="12" fillId="0" borderId="110" xfId="0" applyNumberFormat="1" applyFont="1" applyFill="1" applyBorder="1" applyAlignment="1">
      <alignment horizontal="center"/>
    </xf>
    <xf numFmtId="9" fontId="12" fillId="0" borderId="119" xfId="0" applyNumberFormat="1" applyFont="1" applyFill="1" applyBorder="1" applyAlignment="1">
      <alignment horizontal="center"/>
    </xf>
    <xf numFmtId="9" fontId="12" fillId="0" borderId="115" xfId="0" applyNumberFormat="1" applyFont="1" applyFill="1" applyBorder="1" applyAlignment="1">
      <alignment horizontal="center"/>
    </xf>
    <xf numFmtId="9" fontId="12" fillId="0" borderId="112" xfId="0" applyNumberFormat="1" applyFont="1" applyFill="1" applyBorder="1" applyAlignment="1">
      <alignment horizontal="center"/>
    </xf>
    <xf numFmtId="9" fontId="12" fillId="0" borderId="140" xfId="0" applyNumberFormat="1" applyFont="1" applyFill="1" applyBorder="1" applyAlignment="1">
      <alignment horizontal="center"/>
    </xf>
    <xf numFmtId="188" fontId="12" fillId="0" borderId="119" xfId="0" applyNumberFormat="1" applyFont="1" applyFill="1" applyBorder="1" applyAlignment="1">
      <alignment horizontal="right" wrapText="1"/>
    </xf>
    <xf numFmtId="169" fontId="12" fillId="0" borderId="140" xfId="0" applyNumberFormat="1" applyFont="1" applyFill="1" applyBorder="1" applyAlignment="1">
      <alignment wrapText="1"/>
    </xf>
    <xf numFmtId="169" fontId="12" fillId="0" borderId="0" xfId="0" applyNumberFormat="1" applyFont="1" applyFill="1" applyBorder="1"/>
    <xf numFmtId="3" fontId="12" fillId="0" borderId="23" xfId="0" applyNumberFormat="1" applyFont="1" applyFill="1" applyBorder="1"/>
    <xf numFmtId="188" fontId="12" fillId="0" borderId="118" xfId="0" applyNumberFormat="1" applyFont="1" applyFill="1" applyBorder="1" applyAlignment="1">
      <alignment horizontal="right" wrapText="1"/>
    </xf>
    <xf numFmtId="3" fontId="12" fillId="0" borderId="131" xfId="0" applyNumberFormat="1" applyFont="1" applyFill="1" applyBorder="1"/>
    <xf numFmtId="188" fontId="12" fillId="0" borderId="1" xfId="0" applyNumberFormat="1" applyFont="1" applyFill="1" applyBorder="1" applyAlignment="1">
      <alignment horizontal="right" wrapText="1"/>
    </xf>
    <xf numFmtId="169" fontId="12" fillId="0" borderId="26" xfId="0" applyNumberFormat="1" applyFont="1" applyFill="1" applyBorder="1" applyAlignment="1">
      <alignment horizontal="left" indent="2"/>
    </xf>
    <xf numFmtId="0" fontId="97" fillId="0" borderId="3" xfId="0" applyFont="1" applyFill="1" applyBorder="1"/>
    <xf numFmtId="0" fontId="97" fillId="0" borderId="4" xfId="0" applyFont="1" applyFill="1" applyBorder="1"/>
    <xf numFmtId="169" fontId="12" fillId="0" borderId="39" xfId="0" applyNumberFormat="1" applyFont="1" applyFill="1" applyBorder="1"/>
    <xf numFmtId="169" fontId="12" fillId="0" borderId="40" xfId="0" applyNumberFormat="1" applyFont="1" applyFill="1" applyBorder="1"/>
    <xf numFmtId="9" fontId="12" fillId="0" borderId="0" xfId="53" applyFont="1" applyFill="1"/>
    <xf numFmtId="169" fontId="12" fillId="0" borderId="0" xfId="53" applyNumberFormat="1" applyFont="1" applyFill="1"/>
    <xf numFmtId="9" fontId="97" fillId="0" borderId="4" xfId="53" applyFont="1" applyFill="1" applyBorder="1" applyAlignment="1">
      <alignment horizontal="left"/>
    </xf>
    <xf numFmtId="4" fontId="41" fillId="0" borderId="0" xfId="0" applyNumberFormat="1" applyFont="1" applyFill="1"/>
    <xf numFmtId="188" fontId="12" fillId="0" borderId="131" xfId="0" applyNumberFormat="1" applyFont="1" applyFill="1" applyBorder="1" applyAlignment="1">
      <alignment horizontal="right" wrapText="1"/>
    </xf>
    <xf numFmtId="170" fontId="12" fillId="0" borderId="0" xfId="0" applyNumberFormat="1" applyFont="1" applyFill="1" applyBorder="1" applyAlignment="1">
      <alignment horizontal="center"/>
    </xf>
    <xf numFmtId="0" fontId="12" fillId="0" borderId="0" xfId="0" applyFont="1" applyFill="1" applyBorder="1"/>
    <xf numFmtId="0" fontId="12" fillId="0" borderId="42" xfId="0" applyFont="1" applyFill="1" applyBorder="1" applyAlignment="1">
      <alignment horizontal="center"/>
    </xf>
    <xf numFmtId="177" fontId="12" fillId="0" borderId="0" xfId="53" applyNumberFormat="1" applyFont="1" applyFill="1"/>
    <xf numFmtId="0" fontId="40" fillId="0" borderId="0" xfId="0" applyFont="1" applyFill="1"/>
    <xf numFmtId="0" fontId="104" fillId="0" borderId="89" xfId="0" applyFont="1" applyFill="1" applyBorder="1"/>
    <xf numFmtId="17" fontId="71" fillId="0" borderId="40" xfId="0" applyNumberFormat="1" applyFont="1" applyFill="1" applyBorder="1"/>
    <xf numFmtId="17" fontId="71" fillId="0" borderId="97" xfId="0" applyNumberFormat="1" applyFont="1" applyFill="1" applyBorder="1"/>
    <xf numFmtId="17" fontId="71" fillId="0" borderId="0" xfId="0" applyNumberFormat="1" applyFont="1" applyFill="1"/>
    <xf numFmtId="4" fontId="71" fillId="0" borderId="0" xfId="1" applyNumberFormat="1" applyFont="1" applyFill="1" applyAlignment="1">
      <alignment horizontal="center"/>
    </xf>
    <xf numFmtId="0" fontId="71" fillId="0" borderId="87" xfId="0" applyFont="1" applyFill="1" applyBorder="1" applyAlignment="1">
      <alignment vertical="center"/>
    </xf>
    <xf numFmtId="0" fontId="71" fillId="0" borderId="55" xfId="0" applyFont="1" applyFill="1" applyBorder="1" applyAlignment="1">
      <alignment horizontal="right" wrapText="1"/>
    </xf>
    <xf numFmtId="0" fontId="71" fillId="0" borderId="88" xfId="0" applyFont="1" applyFill="1" applyBorder="1" applyAlignment="1">
      <alignment wrapText="1"/>
    </xf>
    <xf numFmtId="0" fontId="41" fillId="0" borderId="89" xfId="0" applyFont="1" applyFill="1" applyBorder="1" applyAlignment="1">
      <alignment vertical="top"/>
    </xf>
    <xf numFmtId="172" fontId="71" fillId="0" borderId="0" xfId="1" applyNumberFormat="1" applyFont="1" applyFill="1" applyBorder="1"/>
    <xf numFmtId="172" fontId="71" fillId="0" borderId="0" xfId="0" applyNumberFormat="1" applyFont="1" applyFill="1" applyBorder="1"/>
    <xf numFmtId="0" fontId="41" fillId="0" borderId="89" xfId="0" applyFont="1" applyFill="1" applyBorder="1" applyAlignment="1"/>
    <xf numFmtId="169" fontId="71" fillId="0" borderId="0" xfId="1" applyNumberFormat="1" applyFont="1" applyFill="1" applyBorder="1"/>
    <xf numFmtId="0" fontId="71" fillId="0" borderId="89" xfId="0" applyFont="1" applyFill="1" applyBorder="1" applyAlignment="1"/>
    <xf numFmtId="0" fontId="41" fillId="0" borderId="89" xfId="0" applyFont="1" applyFill="1" applyBorder="1" applyAlignment="1">
      <alignment horizontal="left" indent="1"/>
    </xf>
    <xf numFmtId="172" fontId="71" fillId="0" borderId="92" xfId="1" applyNumberFormat="1" applyFont="1" applyFill="1" applyBorder="1"/>
    <xf numFmtId="172" fontId="71" fillId="0" borderId="92" xfId="0" applyNumberFormat="1" applyFont="1" applyFill="1" applyBorder="1"/>
    <xf numFmtId="0" fontId="71" fillId="0" borderId="127" xfId="0" applyFont="1" applyFill="1" applyBorder="1" applyAlignment="1">
      <alignment horizontal="right"/>
    </xf>
    <xf numFmtId="0" fontId="41" fillId="0" borderId="0" xfId="0" applyFont="1" applyFill="1" applyAlignment="1">
      <alignment horizontal="center"/>
    </xf>
    <xf numFmtId="4" fontId="71" fillId="0" borderId="16" xfId="1" applyNumberFormat="1" applyFont="1" applyFill="1" applyBorder="1" applyAlignment="1"/>
    <xf numFmtId="4" fontId="71" fillId="0" borderId="98" xfId="1" applyNumberFormat="1" applyFont="1" applyFill="1" applyBorder="1" applyAlignment="1"/>
    <xf numFmtId="4" fontId="71" fillId="0" borderId="89" xfId="1" applyNumberFormat="1" applyFont="1" applyFill="1" applyBorder="1" applyAlignment="1"/>
    <xf numFmtId="0" fontId="40" fillId="0" borderId="14" xfId="0" applyFont="1" applyFill="1" applyBorder="1"/>
    <xf numFmtId="169" fontId="41" fillId="0" borderId="0" xfId="1" applyNumberFormat="1" applyFont="1" applyFill="1"/>
    <xf numFmtId="10" fontId="12" fillId="0" borderId="0" xfId="0" applyNumberFormat="1" applyFont="1" applyFill="1"/>
    <xf numFmtId="0" fontId="107" fillId="0" borderId="0" xfId="56" applyFont="1" applyFill="1"/>
    <xf numFmtId="0" fontId="41" fillId="0" borderId="36" xfId="0" applyFont="1" applyFill="1" applyBorder="1"/>
    <xf numFmtId="3" fontId="41" fillId="0" borderId="0" xfId="0" applyNumberFormat="1" applyFont="1" applyFill="1"/>
    <xf numFmtId="0" fontId="104" fillId="0" borderId="0" xfId="56" applyFont="1" applyFill="1" applyBorder="1"/>
    <xf numFmtId="169" fontId="12" fillId="0" borderId="0" xfId="0" applyNumberFormat="1" applyFont="1" applyFill="1" applyBorder="1" applyAlignment="1">
      <alignment wrapText="1"/>
    </xf>
    <xf numFmtId="0" fontId="12" fillId="0" borderId="5" xfId="0" applyFont="1" applyFill="1" applyBorder="1" applyAlignment="1">
      <alignment horizontal="left"/>
    </xf>
    <xf numFmtId="188" fontId="12" fillId="0" borderId="0" xfId="53" applyNumberFormat="1" applyFont="1" applyFill="1"/>
    <xf numFmtId="188" fontId="97" fillId="0" borderId="3" xfId="0" applyNumberFormat="1" applyFont="1" applyFill="1" applyBorder="1" applyAlignment="1"/>
    <xf numFmtId="188" fontId="12" fillId="0" borderId="0" xfId="0" applyNumberFormat="1" applyFont="1" applyFill="1"/>
    <xf numFmtId="0" fontId="12" fillId="0" borderId="17" xfId="0" applyFont="1" applyFill="1" applyBorder="1"/>
    <xf numFmtId="0" fontId="97" fillId="0" borderId="35" xfId="0" applyFont="1" applyFill="1" applyBorder="1" applyAlignment="1">
      <alignment horizontal="center" vertical="center"/>
    </xf>
    <xf numFmtId="0" fontId="97" fillId="0" borderId="3" xfId="0" applyFont="1" applyFill="1" applyBorder="1" applyAlignment="1">
      <alignment horizontal="center" vertical="center" wrapText="1"/>
    </xf>
    <xf numFmtId="0" fontId="12" fillId="0" borderId="37" xfId="0" applyFont="1" applyFill="1" applyBorder="1" applyAlignment="1">
      <alignment horizontal="center" vertical="center" wrapText="1"/>
    </xf>
    <xf numFmtId="0" fontId="97" fillId="0" borderId="48" xfId="0" applyFont="1" applyFill="1" applyBorder="1" applyAlignment="1">
      <alignment horizontal="center"/>
    </xf>
    <xf numFmtId="169" fontId="12" fillId="0" borderId="140" xfId="0" applyNumberFormat="1" applyFont="1" applyFill="1" applyBorder="1"/>
    <xf numFmtId="0" fontId="97" fillId="0" borderId="66" xfId="0" applyFont="1" applyFill="1" applyBorder="1" applyAlignment="1">
      <alignment horizontal="center"/>
    </xf>
    <xf numFmtId="170" fontId="12" fillId="0" borderId="41" xfId="0" applyNumberFormat="1" applyFont="1" applyFill="1" applyBorder="1" applyAlignment="1">
      <alignment horizontal="center"/>
    </xf>
    <xf numFmtId="169" fontId="12" fillId="0" borderId="15" xfId="0" applyNumberFormat="1" applyFont="1" applyFill="1" applyBorder="1"/>
    <xf numFmtId="0" fontId="71" fillId="0" borderId="48" xfId="0" applyFont="1" applyBorder="1" applyAlignment="1">
      <alignment horizontal="center"/>
    </xf>
    <xf numFmtId="170" fontId="12" fillId="0" borderId="14" xfId="0" applyNumberFormat="1" applyFont="1" applyFill="1" applyBorder="1" applyAlignment="1">
      <alignment horizontal="center"/>
    </xf>
    <xf numFmtId="0" fontId="41" fillId="0" borderId="5" xfId="0" applyFont="1" applyBorder="1"/>
    <xf numFmtId="2" fontId="41" fillId="0" borderId="18" xfId="0" applyNumberFormat="1" applyFont="1" applyBorder="1" applyAlignment="1">
      <alignment horizontal="center"/>
    </xf>
    <xf numFmtId="2" fontId="41" fillId="0" borderId="19" xfId="0" applyNumberFormat="1" applyFont="1" applyBorder="1" applyAlignment="1">
      <alignment horizontal="center"/>
    </xf>
    <xf numFmtId="2" fontId="41" fillId="0" borderId="24" xfId="0" applyNumberFormat="1" applyFont="1" applyBorder="1" applyAlignment="1">
      <alignment horizontal="center"/>
    </xf>
    <xf numFmtId="2" fontId="41" fillId="0" borderId="5" xfId="0" applyNumberFormat="1" applyFont="1" applyBorder="1" applyAlignment="1">
      <alignment horizontal="center"/>
    </xf>
    <xf numFmtId="170" fontId="12" fillId="0" borderId="16" xfId="0" applyNumberFormat="1" applyFont="1" applyFill="1" applyBorder="1" applyAlignment="1">
      <alignment horizontal="center"/>
    </xf>
    <xf numFmtId="2" fontId="41" fillId="0" borderId="31" xfId="0" applyNumberFormat="1" applyFont="1" applyBorder="1" applyAlignment="1">
      <alignment horizontal="center"/>
    </xf>
    <xf numFmtId="2" fontId="41" fillId="0" borderId="32" xfId="0" applyNumberFormat="1" applyFont="1" applyBorder="1" applyAlignment="1">
      <alignment horizontal="center"/>
    </xf>
    <xf numFmtId="169" fontId="12" fillId="0" borderId="38" xfId="0" applyNumberFormat="1" applyFont="1" applyFill="1" applyBorder="1"/>
    <xf numFmtId="0" fontId="71" fillId="0" borderId="35" xfId="0" applyFont="1" applyBorder="1" applyAlignment="1">
      <alignment horizontal="center"/>
    </xf>
    <xf numFmtId="2" fontId="41" fillId="0" borderId="6" xfId="0" applyNumberFormat="1" applyFont="1" applyBorder="1" applyAlignment="1">
      <alignment horizontal="center"/>
    </xf>
    <xf numFmtId="2" fontId="41" fillId="0" borderId="76" xfId="0" applyNumberFormat="1" applyFont="1" applyBorder="1" applyAlignment="1">
      <alignment horizontal="center"/>
    </xf>
    <xf numFmtId="2" fontId="41" fillId="0" borderId="70" xfId="0" applyNumberFormat="1" applyFont="1" applyBorder="1" applyAlignment="1">
      <alignment horizontal="center"/>
    </xf>
    <xf numFmtId="190" fontId="41" fillId="0" borderId="70" xfId="0" applyNumberFormat="1" applyFont="1" applyBorder="1" applyAlignment="1">
      <alignment horizontal="center"/>
    </xf>
    <xf numFmtId="2" fontId="41" fillId="0" borderId="139" xfId="0" applyNumberFormat="1" applyFont="1" applyBorder="1" applyAlignment="1">
      <alignment horizontal="center"/>
    </xf>
    <xf numFmtId="2" fontId="41" fillId="0" borderId="5" xfId="0" applyNumberFormat="1" applyFont="1" applyBorder="1"/>
    <xf numFmtId="0" fontId="41" fillId="0" borderId="42" xfId="0" applyFont="1" applyFill="1" applyBorder="1" applyAlignment="1">
      <alignment horizontal="center"/>
    </xf>
    <xf numFmtId="165" fontId="41" fillId="0" borderId="19" xfId="1" applyFont="1" applyBorder="1"/>
    <xf numFmtId="165" fontId="41" fillId="0" borderId="5" xfId="1" applyFont="1" applyBorder="1"/>
    <xf numFmtId="165" fontId="41" fillId="0" borderId="32" xfId="1" applyFont="1" applyBorder="1"/>
    <xf numFmtId="0" fontId="12" fillId="0" borderId="68" xfId="0" applyFont="1" applyFill="1" applyBorder="1" applyAlignment="1">
      <alignment horizontal="right"/>
    </xf>
    <xf numFmtId="4" fontId="41" fillId="0" borderId="25" xfId="0" applyNumberFormat="1" applyFont="1" applyBorder="1"/>
    <xf numFmtId="4" fontId="41" fillId="0" borderId="33" xfId="0" applyNumberFormat="1" applyFont="1" applyBorder="1"/>
    <xf numFmtId="0" fontId="12" fillId="0" borderId="70" xfId="0" applyFont="1" applyFill="1" applyBorder="1" applyAlignment="1">
      <alignment horizontal="right"/>
    </xf>
    <xf numFmtId="9" fontId="41" fillId="0" borderId="5" xfId="53" applyFont="1" applyBorder="1"/>
    <xf numFmtId="170" fontId="97" fillId="0" borderId="21" xfId="0" applyNumberFormat="1" applyFont="1" applyFill="1" applyBorder="1" applyAlignment="1">
      <alignment horizontal="center"/>
    </xf>
    <xf numFmtId="4" fontId="41" fillId="0" borderId="22" xfId="0" applyNumberFormat="1" applyFont="1" applyBorder="1"/>
    <xf numFmtId="0" fontId="12" fillId="0" borderId="119" xfId="0" applyFont="1" applyFill="1" applyBorder="1" applyAlignment="1"/>
    <xf numFmtId="170" fontId="97" fillId="0" borderId="24" xfId="0" applyNumberFormat="1" applyFont="1" applyFill="1" applyBorder="1" applyAlignment="1">
      <alignment horizontal="center"/>
    </xf>
    <xf numFmtId="4" fontId="41" fillId="0" borderId="29" xfId="0" applyNumberFormat="1" applyFont="1" applyBorder="1"/>
    <xf numFmtId="169" fontId="12" fillId="0" borderId="121" xfId="0" applyNumberFormat="1" applyFont="1" applyFill="1" applyBorder="1"/>
    <xf numFmtId="169" fontId="12" fillId="0" borderId="120" xfId="0" applyNumberFormat="1" applyFont="1" applyFill="1" applyBorder="1"/>
    <xf numFmtId="169" fontId="12" fillId="0" borderId="119" xfId="0" applyNumberFormat="1" applyFont="1" applyFill="1" applyBorder="1"/>
    <xf numFmtId="188" fontId="97" fillId="0" borderId="4" xfId="0" applyNumberFormat="1" applyFont="1" applyFill="1" applyBorder="1" applyAlignment="1"/>
    <xf numFmtId="4" fontId="41" fillId="0" borderId="140" xfId="0" applyNumberFormat="1" applyFont="1" applyBorder="1"/>
    <xf numFmtId="169" fontId="97" fillId="0" borderId="119" xfId="0" applyNumberFormat="1" applyFont="1" applyFill="1" applyBorder="1"/>
    <xf numFmtId="0" fontId="12" fillId="0" borderId="36" xfId="0" applyFont="1" applyFill="1" applyBorder="1"/>
    <xf numFmtId="0" fontId="12" fillId="0" borderId="36" xfId="0" applyFont="1" applyFill="1" applyBorder="1" applyAlignment="1">
      <alignment horizontal="center"/>
    </xf>
    <xf numFmtId="188" fontId="12" fillId="0" borderId="36" xfId="53" applyNumberFormat="1" applyFont="1" applyFill="1" applyBorder="1"/>
    <xf numFmtId="2" fontId="41" fillId="0" borderId="21" xfId="0" applyNumberFormat="1" applyFont="1" applyBorder="1" applyAlignment="1">
      <alignment horizontal="center"/>
    </xf>
    <xf numFmtId="2" fontId="41" fillId="0" borderId="68" xfId="0" applyNumberFormat="1" applyFont="1" applyBorder="1" applyAlignment="1">
      <alignment horizontal="center"/>
    </xf>
    <xf numFmtId="165" fontId="41" fillId="0" borderId="6" xfId="1" applyFont="1" applyBorder="1"/>
    <xf numFmtId="0" fontId="12" fillId="0" borderId="120" xfId="0" applyFont="1" applyFill="1" applyBorder="1" applyAlignment="1"/>
    <xf numFmtId="0" fontId="97" fillId="0" borderId="66" xfId="0" applyFont="1" applyFill="1" applyBorder="1"/>
    <xf numFmtId="0" fontId="97" fillId="0" borderId="47" xfId="0" applyFont="1" applyFill="1" applyBorder="1"/>
    <xf numFmtId="0" fontId="97" fillId="0" borderId="48" xfId="0" applyFont="1" applyFill="1" applyBorder="1"/>
    <xf numFmtId="2" fontId="41" fillId="0" borderId="27" xfId="0" applyNumberFormat="1" applyFont="1" applyBorder="1" applyAlignment="1">
      <alignment horizontal="center"/>
    </xf>
    <xf numFmtId="2" fontId="41" fillId="0" borderId="28" xfId="0" applyNumberFormat="1" applyFont="1" applyBorder="1" applyAlignment="1">
      <alignment horizontal="center"/>
    </xf>
    <xf numFmtId="2" fontId="41" fillId="0" borderId="72" xfId="0" applyNumberFormat="1" applyFont="1" applyBorder="1" applyAlignment="1">
      <alignment horizontal="center"/>
    </xf>
    <xf numFmtId="188" fontId="97" fillId="0" borderId="49" xfId="0" applyNumberFormat="1" applyFont="1" applyFill="1" applyBorder="1" applyAlignment="1"/>
    <xf numFmtId="169" fontId="97" fillId="0" borderId="120" xfId="0" applyNumberFormat="1" applyFont="1" applyFill="1" applyBorder="1"/>
    <xf numFmtId="4" fontId="71" fillId="0" borderId="49" xfId="0" applyNumberFormat="1" applyFont="1" applyBorder="1"/>
    <xf numFmtId="0" fontId="12" fillId="0" borderId="33" xfId="0" applyFont="1" applyFill="1" applyBorder="1" applyAlignment="1">
      <alignment horizontal="right"/>
    </xf>
    <xf numFmtId="9" fontId="41" fillId="0" borderId="32" xfId="53" applyFont="1" applyBorder="1"/>
    <xf numFmtId="170" fontId="97" fillId="0" borderId="47" xfId="0" applyNumberFormat="1" applyFont="1" applyFill="1" applyBorder="1" applyAlignment="1">
      <alignment horizontal="left"/>
    </xf>
    <xf numFmtId="0" fontId="71" fillId="0" borderId="3" xfId="0" applyFont="1" applyBorder="1" applyAlignment="1">
      <alignment horizontal="center"/>
    </xf>
    <xf numFmtId="0" fontId="12" fillId="0" borderId="72" xfId="0" applyFont="1" applyFill="1" applyBorder="1" applyAlignment="1">
      <alignment horizontal="right"/>
    </xf>
    <xf numFmtId="9" fontId="41" fillId="0" borderId="28" xfId="53" applyFont="1" applyBorder="1"/>
    <xf numFmtId="0" fontId="12" fillId="0" borderId="3" xfId="0" applyFont="1" applyFill="1" applyBorder="1" applyAlignment="1">
      <alignment horizontal="right"/>
    </xf>
    <xf numFmtId="2" fontId="41" fillId="0" borderId="3" xfId="0" applyNumberFormat="1" applyFont="1" applyBorder="1" applyAlignment="1">
      <alignment horizontal="center"/>
    </xf>
    <xf numFmtId="9" fontId="41" fillId="0" borderId="3" xfId="53" applyFont="1" applyBorder="1"/>
    <xf numFmtId="0" fontId="12" fillId="0" borderId="3" xfId="0" applyFont="1" applyFill="1" applyBorder="1" applyAlignment="1">
      <alignment horizontal="center"/>
    </xf>
    <xf numFmtId="4" fontId="41" fillId="0" borderId="3" xfId="0" applyNumberFormat="1" applyFont="1" applyBorder="1"/>
    <xf numFmtId="0" fontId="97" fillId="0" borderId="2" xfId="0" applyFont="1" applyFill="1" applyBorder="1"/>
    <xf numFmtId="170" fontId="12" fillId="0" borderId="2" xfId="0" applyNumberFormat="1" applyFont="1" applyFill="1" applyBorder="1" applyAlignment="1">
      <alignment horizontal="center"/>
    </xf>
    <xf numFmtId="169" fontId="12" fillId="0" borderId="4" xfId="0" applyNumberFormat="1" applyFont="1" applyFill="1" applyBorder="1"/>
    <xf numFmtId="9" fontId="41" fillId="0" borderId="6" xfId="53" applyFont="1" applyBorder="1"/>
    <xf numFmtId="170" fontId="97" fillId="0" borderId="31" xfId="0" applyNumberFormat="1" applyFont="1" applyFill="1" applyBorder="1" applyAlignment="1">
      <alignment horizontal="center"/>
    </xf>
    <xf numFmtId="0" fontId="12" fillId="0" borderId="139" xfId="0" applyFont="1" applyFill="1" applyBorder="1" applyAlignment="1">
      <alignment horizontal="right"/>
    </xf>
    <xf numFmtId="169" fontId="97" fillId="0" borderId="140" xfId="0" applyNumberFormat="1" applyFont="1" applyFill="1" applyBorder="1"/>
    <xf numFmtId="170" fontId="97" fillId="0" borderId="3" xfId="0" applyNumberFormat="1" applyFont="1" applyFill="1" applyBorder="1" applyAlignment="1">
      <alignment horizontal="center"/>
    </xf>
    <xf numFmtId="169" fontId="97" fillId="0" borderId="3" xfId="0" applyNumberFormat="1" applyFont="1" applyFill="1" applyBorder="1"/>
    <xf numFmtId="0" fontId="12" fillId="0" borderId="66" xfId="0" applyFont="1" applyFill="1" applyBorder="1" applyAlignment="1">
      <alignment horizontal="right"/>
    </xf>
    <xf numFmtId="2" fontId="41" fillId="0" borderId="47" xfId="0" applyNumberFormat="1" applyFont="1" applyBorder="1" applyAlignment="1">
      <alignment horizontal="center"/>
    </xf>
    <xf numFmtId="2" fontId="41" fillId="0" borderId="48" xfId="0" applyNumberFormat="1" applyFont="1" applyBorder="1" applyAlignment="1">
      <alignment horizontal="center"/>
    </xf>
    <xf numFmtId="2" fontId="41" fillId="0" borderId="66" xfId="0" applyNumberFormat="1" applyFont="1" applyBorder="1" applyAlignment="1">
      <alignment horizontal="center"/>
    </xf>
    <xf numFmtId="9" fontId="41" fillId="0" borderId="48" xfId="53" applyFont="1" applyBorder="1"/>
    <xf numFmtId="0" fontId="12" fillId="0" borderId="48" xfId="0" applyFont="1" applyFill="1" applyBorder="1" applyAlignment="1">
      <alignment horizontal="center"/>
    </xf>
    <xf numFmtId="0" fontId="12" fillId="0" borderId="6" xfId="0" applyFont="1" applyFill="1" applyBorder="1" applyAlignment="1">
      <alignment horizontal="left"/>
    </xf>
    <xf numFmtId="0" fontId="12" fillId="0" borderId="32" xfId="0" applyFont="1" applyFill="1" applyBorder="1" applyAlignment="1">
      <alignment horizontal="left"/>
    </xf>
    <xf numFmtId="0" fontId="81" fillId="0" borderId="15" xfId="101" applyFont="1" applyBorder="1" applyAlignment="1">
      <alignment horizontal="right"/>
    </xf>
    <xf numFmtId="0" fontId="12" fillId="0" borderId="15" xfId="101" applyFont="1" applyBorder="1"/>
    <xf numFmtId="0" fontId="39" fillId="0" borderId="14" xfId="0" applyFont="1" applyFill="1" applyBorder="1"/>
    <xf numFmtId="0" fontId="39" fillId="0" borderId="0" xfId="0" applyFont="1" applyFill="1" applyAlignment="1">
      <alignment horizontal="center"/>
    </xf>
    <xf numFmtId="2" fontId="40" fillId="0" borderId="1" xfId="0" applyNumberFormat="1" applyFont="1" applyFill="1" applyBorder="1" applyAlignment="1" applyProtection="1">
      <alignment horizontal="center"/>
      <protection locked="0"/>
    </xf>
    <xf numFmtId="9" fontId="40" fillId="0" borderId="1" xfId="0" applyNumberFormat="1" applyFont="1" applyFill="1" applyBorder="1" applyAlignment="1">
      <alignment horizontal="center"/>
    </xf>
    <xf numFmtId="0" fontId="40" fillId="0" borderId="6" xfId="0" applyFont="1" applyFill="1" applyBorder="1" applyAlignment="1">
      <alignment horizontal="center"/>
    </xf>
    <xf numFmtId="0" fontId="40" fillId="0" borderId="5" xfId="0" applyFont="1" applyFill="1" applyBorder="1" applyAlignment="1">
      <alignment horizontal="center"/>
    </xf>
    <xf numFmtId="0" fontId="40" fillId="0" borderId="24" xfId="0" applyFont="1" applyFill="1" applyBorder="1"/>
    <xf numFmtId="0" fontId="40" fillId="0" borderId="5" xfId="0" applyFont="1" applyFill="1" applyBorder="1"/>
    <xf numFmtId="0" fontId="40" fillId="0" borderId="28" xfId="0" applyFont="1" applyFill="1" applyBorder="1"/>
    <xf numFmtId="0" fontId="40" fillId="0" borderId="28" xfId="0" applyFont="1" applyFill="1" applyBorder="1" applyAlignment="1">
      <alignment horizontal="center"/>
    </xf>
    <xf numFmtId="9" fontId="40" fillId="0" borderId="74" xfId="0" applyNumberFormat="1" applyFont="1" applyFill="1" applyBorder="1" applyAlignment="1">
      <alignment horizontal="center"/>
    </xf>
    <xf numFmtId="0" fontId="40" fillId="0" borderId="0" xfId="0" applyFont="1" applyFill="1" applyAlignment="1">
      <alignment horizontal="left"/>
    </xf>
    <xf numFmtId="0" fontId="40" fillId="0" borderId="15" xfId="0" applyFont="1" applyFill="1" applyBorder="1" applyAlignment="1">
      <alignment horizontal="left"/>
    </xf>
    <xf numFmtId="0" fontId="40" fillId="0" borderId="35" xfId="0" applyFont="1" applyFill="1" applyBorder="1"/>
    <xf numFmtId="0" fontId="130" fillId="0" borderId="14" xfId="0" applyFont="1" applyFill="1" applyBorder="1"/>
    <xf numFmtId="3" fontId="41" fillId="0" borderId="0" xfId="0" applyNumberFormat="1" applyFont="1" applyFill="1" applyAlignment="1">
      <alignment horizontal="right"/>
    </xf>
    <xf numFmtId="0" fontId="40" fillId="0" borderId="0" xfId="0" applyFont="1" applyFill="1" applyAlignment="1">
      <alignment horizontal="center"/>
    </xf>
    <xf numFmtId="3" fontId="40" fillId="0" borderId="0" xfId="0" applyNumberFormat="1" applyFont="1" applyFill="1" applyAlignment="1">
      <alignment horizontal="right"/>
    </xf>
    <xf numFmtId="0" fontId="31" fillId="0" borderId="14" xfId="0" applyFont="1" applyFill="1" applyBorder="1"/>
    <xf numFmtId="0" fontId="16" fillId="0" borderId="14" xfId="0" applyFont="1" applyFill="1" applyBorder="1"/>
    <xf numFmtId="0" fontId="41" fillId="0" borderId="54" xfId="0" applyFont="1" applyFill="1" applyBorder="1"/>
    <xf numFmtId="0" fontId="41" fillId="0" borderId="55" xfId="0" applyFont="1" applyFill="1" applyBorder="1" applyAlignment="1">
      <alignment horizontal="center"/>
    </xf>
    <xf numFmtId="3" fontId="41" fillId="0" borderId="55" xfId="0" applyNumberFormat="1" applyFont="1" applyFill="1" applyBorder="1" applyAlignment="1">
      <alignment horizontal="right"/>
    </xf>
    <xf numFmtId="0" fontId="41" fillId="0" borderId="56" xfId="0" applyFont="1" applyFill="1" applyBorder="1"/>
    <xf numFmtId="0" fontId="31" fillId="0" borderId="1" xfId="0" applyFont="1" applyFill="1" applyBorder="1"/>
    <xf numFmtId="0" fontId="41" fillId="0" borderId="14" xfId="0" applyFont="1" applyFill="1" applyBorder="1" applyAlignment="1">
      <alignment wrapText="1"/>
    </xf>
    <xf numFmtId="0" fontId="41" fillId="0" borderId="0" xfId="0" applyFont="1" applyFill="1" applyAlignment="1">
      <alignment horizontal="center" wrapText="1"/>
    </xf>
    <xf numFmtId="3" fontId="41" fillId="0" borderId="0" xfId="0" applyNumberFormat="1" applyFont="1" applyFill="1" applyAlignment="1">
      <alignment horizontal="right" wrapText="1"/>
    </xf>
    <xf numFmtId="0" fontId="41" fillId="0" borderId="15" xfId="0" applyFont="1" applyFill="1" applyBorder="1" applyAlignment="1">
      <alignment wrapText="1"/>
    </xf>
    <xf numFmtId="0" fontId="40" fillId="0" borderId="15" xfId="0" applyFont="1" applyFill="1" applyBorder="1"/>
    <xf numFmtId="0" fontId="39" fillId="0" borderId="1" xfId="0" applyFont="1" applyFill="1" applyBorder="1"/>
    <xf numFmtId="17" fontId="40" fillId="0" borderId="0" xfId="0" applyNumberFormat="1" applyFont="1" applyFill="1" applyAlignment="1">
      <alignment horizontal="center"/>
    </xf>
    <xf numFmtId="0" fontId="40" fillId="0" borderId="15" xfId="0" applyFont="1" applyFill="1" applyBorder="1" applyAlignment="1">
      <alignment horizontal="center"/>
    </xf>
    <xf numFmtId="0" fontId="40" fillId="0" borderId="35" xfId="0" applyFont="1" applyFill="1" applyBorder="1" applyAlignment="1" applyProtection="1">
      <alignment horizontal="center"/>
      <protection locked="0"/>
    </xf>
    <xf numFmtId="173" fontId="40" fillId="0" borderId="35" xfId="0" applyNumberFormat="1" applyFont="1" applyFill="1" applyBorder="1" applyAlignment="1" applyProtection="1">
      <alignment horizontal="center"/>
      <protection locked="0"/>
    </xf>
    <xf numFmtId="173" fontId="40" fillId="0" borderId="35" xfId="0" applyNumberFormat="1" applyFont="1" applyFill="1" applyBorder="1" applyAlignment="1">
      <alignment horizontal="center"/>
    </xf>
    <xf numFmtId="0" fontId="40" fillId="0" borderId="1" xfId="0" applyFont="1" applyFill="1" applyBorder="1" applyAlignment="1">
      <alignment horizontal="center"/>
    </xf>
    <xf numFmtId="17" fontId="40" fillId="0" borderId="1" xfId="0" applyNumberFormat="1" applyFont="1" applyFill="1" applyBorder="1" applyAlignment="1">
      <alignment horizontal="center"/>
    </xf>
    <xf numFmtId="173" fontId="40" fillId="0" borderId="1" xfId="0" applyNumberFormat="1" applyFont="1" applyFill="1" applyBorder="1" applyAlignment="1">
      <alignment horizontal="center"/>
    </xf>
    <xf numFmtId="9" fontId="40" fillId="0" borderId="0" xfId="0" applyNumberFormat="1" applyFont="1" applyFill="1" applyAlignment="1">
      <alignment horizontal="center"/>
    </xf>
    <xf numFmtId="176" fontId="40" fillId="0" borderId="1" xfId="0" applyNumberFormat="1" applyFont="1" applyFill="1" applyBorder="1" applyAlignment="1">
      <alignment horizontal="center"/>
    </xf>
    <xf numFmtId="17" fontId="40" fillId="0" borderId="0" xfId="0" applyNumberFormat="1" applyFont="1" applyFill="1"/>
    <xf numFmtId="0" fontId="39" fillId="0" borderId="57" xfId="0" applyFont="1" applyFill="1" applyBorder="1" applyAlignment="1">
      <alignment horizontal="center"/>
    </xf>
    <xf numFmtId="3" fontId="39" fillId="0" borderId="57" xfId="0" applyNumberFormat="1" applyFont="1" applyFill="1" applyBorder="1" applyAlignment="1">
      <alignment horizontal="center"/>
    </xf>
    <xf numFmtId="0" fontId="40" fillId="0" borderId="48" xfId="0" applyFont="1" applyFill="1" applyBorder="1" applyAlignment="1">
      <alignment horizontal="center"/>
    </xf>
    <xf numFmtId="3" fontId="39" fillId="0" borderId="49" xfId="0" applyNumberFormat="1" applyFont="1" applyFill="1" applyBorder="1" applyAlignment="1">
      <alignment horizontal="right"/>
    </xf>
    <xf numFmtId="0" fontId="40" fillId="0" borderId="41" xfId="0" applyFont="1" applyFill="1" applyBorder="1"/>
    <xf numFmtId="0" fontId="40" fillId="0" borderId="42" xfId="0" applyFont="1" applyFill="1" applyBorder="1"/>
    <xf numFmtId="0" fontId="40" fillId="0" borderId="42" xfId="0" applyFont="1" applyFill="1" applyBorder="1" applyAlignment="1">
      <alignment horizontal="center"/>
    </xf>
    <xf numFmtId="3" fontId="40" fillId="0" borderId="43" xfId="0" applyNumberFormat="1" applyFont="1" applyFill="1" applyBorder="1" applyAlignment="1">
      <alignment horizontal="right"/>
    </xf>
    <xf numFmtId="0" fontId="40" fillId="0" borderId="21" xfId="0" applyFont="1" applyFill="1" applyBorder="1"/>
    <xf numFmtId="0" fontId="40" fillId="0" borderId="6" xfId="0" applyFont="1" applyFill="1" applyBorder="1"/>
    <xf numFmtId="0" fontId="40" fillId="0" borderId="27" xfId="0" applyFont="1" applyFill="1" applyBorder="1"/>
    <xf numFmtId="0" fontId="131" fillId="0" borderId="47" xfId="0" applyFont="1" applyFill="1" applyBorder="1"/>
    <xf numFmtId="0" fontId="40" fillId="0" borderId="48" xfId="0" applyFont="1" applyFill="1" applyBorder="1"/>
    <xf numFmtId="3" fontId="40" fillId="0" borderId="48" xfId="0" applyNumberFormat="1" applyFont="1" applyFill="1" applyBorder="1" applyAlignment="1">
      <alignment horizontal="center"/>
    </xf>
    <xf numFmtId="3" fontId="40" fillId="0" borderId="66" xfId="0" applyNumberFormat="1" applyFont="1" applyFill="1" applyBorder="1" applyAlignment="1">
      <alignment horizontal="center"/>
    </xf>
    <xf numFmtId="3" fontId="39" fillId="0" borderId="49" xfId="29" applyNumberFormat="1" applyFont="1" applyFill="1" applyBorder="1" applyAlignment="1">
      <alignment horizontal="right"/>
    </xf>
    <xf numFmtId="0" fontId="131" fillId="0" borderId="14" xfId="0" applyFont="1" applyFill="1" applyBorder="1"/>
    <xf numFmtId="0" fontId="40" fillId="0" borderId="78" xfId="0" applyFont="1" applyFill="1" applyBorder="1"/>
    <xf numFmtId="3" fontId="39" fillId="0" borderId="43" xfId="29" applyNumberFormat="1" applyFont="1" applyFill="1" applyBorder="1" applyAlignment="1">
      <alignment horizontal="right"/>
    </xf>
    <xf numFmtId="3" fontId="40" fillId="0" borderId="15" xfId="29" applyNumberFormat="1" applyFont="1" applyFill="1" applyBorder="1" applyAlignment="1">
      <alignment horizontal="right"/>
    </xf>
    <xf numFmtId="0" fontId="40" fillId="0" borderId="80" xfId="0" applyFont="1" applyFill="1" applyBorder="1" applyAlignment="1">
      <alignment horizontal="center"/>
    </xf>
    <xf numFmtId="0" fontId="39" fillId="0" borderId="80" xfId="0" applyFont="1" applyFill="1" applyBorder="1" applyAlignment="1">
      <alignment horizontal="center"/>
    </xf>
    <xf numFmtId="0" fontId="39" fillId="0" borderId="81" xfId="0" applyFont="1" applyFill="1" applyBorder="1" applyAlignment="1">
      <alignment horizontal="center"/>
    </xf>
    <xf numFmtId="3" fontId="39" fillId="0" borderId="82" xfId="0" applyNumberFormat="1" applyFont="1" applyFill="1" applyBorder="1" applyAlignment="1">
      <alignment horizontal="right"/>
    </xf>
    <xf numFmtId="0" fontId="43" fillId="0" borderId="14" xfId="0" applyFont="1" applyFill="1" applyBorder="1"/>
    <xf numFmtId="0" fontId="40" fillId="0" borderId="17" xfId="0" applyFont="1" applyFill="1" applyBorder="1"/>
    <xf numFmtId="178" fontId="40" fillId="0" borderId="15" xfId="29" applyNumberFormat="1" applyFont="1" applyFill="1" applyBorder="1"/>
    <xf numFmtId="165" fontId="40" fillId="0" borderId="15" xfId="29" applyNumberFormat="1" applyFont="1" applyFill="1" applyBorder="1"/>
    <xf numFmtId="3" fontId="40" fillId="0" borderId="15" xfId="0" applyNumberFormat="1" applyFont="1" applyFill="1" applyBorder="1"/>
    <xf numFmtId="0" fontId="40" fillId="0" borderId="16" xfId="0" applyFont="1" applyFill="1" applyBorder="1" applyAlignment="1">
      <alignment horizontal="left"/>
    </xf>
    <xf numFmtId="0" fontId="40" fillId="0" borderId="36" xfId="0" applyFont="1" applyFill="1" applyBorder="1" applyAlignment="1">
      <alignment horizontal="left"/>
    </xf>
    <xf numFmtId="165" fontId="40" fillId="0" borderId="38" xfId="29" applyNumberFormat="1" applyFont="1" applyFill="1" applyBorder="1"/>
    <xf numFmtId="0" fontId="40" fillId="34" borderId="1" xfId="0" applyFont="1" applyFill="1" applyBorder="1" applyAlignment="1" applyProtection="1">
      <alignment horizontal="center"/>
      <protection locked="0"/>
    </xf>
    <xf numFmtId="2" fontId="40" fillId="34" borderId="1" xfId="0" applyNumberFormat="1" applyFont="1" applyFill="1" applyBorder="1" applyAlignment="1" applyProtection="1">
      <alignment horizontal="center"/>
      <protection locked="0"/>
    </xf>
    <xf numFmtId="9" fontId="40" fillId="34" borderId="1" xfId="0" applyNumberFormat="1" applyFont="1" applyFill="1" applyBorder="1" applyAlignment="1">
      <alignment horizontal="center"/>
    </xf>
    <xf numFmtId="0" fontId="40" fillId="34" borderId="63" xfId="0" applyFont="1" applyFill="1" applyBorder="1" applyAlignment="1">
      <alignment horizontal="center"/>
    </xf>
    <xf numFmtId="3" fontId="40" fillId="34" borderId="65" xfId="0" applyNumberFormat="1" applyFont="1" applyFill="1" applyBorder="1" applyAlignment="1">
      <alignment horizontal="right"/>
    </xf>
    <xf numFmtId="0" fontId="40" fillId="34" borderId="21" xfId="0" applyFont="1" applyFill="1" applyBorder="1" applyAlignment="1">
      <alignment horizontal="left"/>
    </xf>
    <xf numFmtId="0" fontId="40" fillId="34" borderId="6" xfId="0" applyFont="1" applyFill="1" applyBorder="1" applyAlignment="1">
      <alignment horizontal="center"/>
    </xf>
    <xf numFmtId="0" fontId="39" fillId="34" borderId="6" xfId="0" applyFont="1" applyFill="1" applyBorder="1" applyAlignment="1">
      <alignment horizontal="center"/>
    </xf>
    <xf numFmtId="3" fontId="39" fillId="34" borderId="22" xfId="0" applyNumberFormat="1" applyFont="1" applyFill="1" applyBorder="1" applyAlignment="1">
      <alignment horizontal="center"/>
    </xf>
    <xf numFmtId="0" fontId="39" fillId="34" borderId="21" xfId="0" applyFont="1" applyFill="1" applyBorder="1" applyAlignment="1">
      <alignment horizontal="center"/>
    </xf>
    <xf numFmtId="3" fontId="40" fillId="34" borderId="22" xfId="29" applyNumberFormat="1" applyFont="1" applyFill="1" applyBorder="1" applyAlignment="1">
      <alignment horizontal="right"/>
    </xf>
    <xf numFmtId="0" fontId="40" fillId="34" borderId="5" xfId="0" applyFont="1" applyFill="1" applyBorder="1" applyAlignment="1">
      <alignment horizontal="center"/>
    </xf>
    <xf numFmtId="9" fontId="40" fillId="34" borderId="5" xfId="0" applyNumberFormat="1" applyFont="1" applyFill="1" applyBorder="1" applyAlignment="1">
      <alignment horizontal="center"/>
    </xf>
    <xf numFmtId="3" fontId="40" fillId="34" borderId="25" xfId="29" applyNumberFormat="1" applyFont="1" applyFill="1" applyBorder="1" applyAlignment="1">
      <alignment horizontal="right"/>
    </xf>
    <xf numFmtId="0" fontId="40" fillId="34" borderId="24" xfId="0" applyFont="1" applyFill="1" applyBorder="1"/>
    <xf numFmtId="0" fontId="40" fillId="34" borderId="5" xfId="0" applyFont="1" applyFill="1" applyBorder="1"/>
    <xf numFmtId="0" fontId="42" fillId="34" borderId="27" xfId="0" applyFont="1" applyFill="1" applyBorder="1"/>
    <xf numFmtId="0" fontId="40" fillId="34" borderId="28" xfId="0" applyFont="1" applyFill="1" applyBorder="1"/>
    <xf numFmtId="0" fontId="40" fillId="34" borderId="28" xfId="0" applyFont="1" applyFill="1" applyBorder="1" applyAlignment="1">
      <alignment horizontal="center"/>
    </xf>
    <xf numFmtId="3" fontId="40" fillId="34" borderId="72" xfId="0" applyNumberFormat="1" applyFont="1" applyFill="1" applyBorder="1" applyAlignment="1">
      <alignment horizontal="center"/>
    </xf>
    <xf numFmtId="3" fontId="40" fillId="34" borderId="73" xfId="0" applyNumberFormat="1" applyFont="1" applyFill="1" applyBorder="1" applyAlignment="1">
      <alignment horizontal="center"/>
    </xf>
    <xf numFmtId="3" fontId="40" fillId="34" borderId="29" xfId="29" applyNumberFormat="1" applyFont="1" applyFill="1" applyBorder="1" applyAlignment="1">
      <alignment horizontal="right"/>
    </xf>
    <xf numFmtId="0" fontId="40" fillId="34" borderId="14" xfId="0" applyFont="1" applyFill="1" applyBorder="1" applyAlignment="1">
      <alignment horizontal="left"/>
    </xf>
    <xf numFmtId="0" fontId="40" fillId="34" borderId="0" xfId="0" applyFont="1" applyFill="1" applyAlignment="1">
      <alignment horizontal="left"/>
    </xf>
    <xf numFmtId="0" fontId="40" fillId="34" borderId="15" xfId="0" applyFont="1" applyFill="1" applyBorder="1" applyAlignment="1">
      <alignment horizontal="left"/>
    </xf>
    <xf numFmtId="0" fontId="40" fillId="34" borderId="35" xfId="0" applyFont="1" applyFill="1" applyBorder="1"/>
    <xf numFmtId="0" fontId="40" fillId="34" borderId="0" xfId="0" applyFont="1" applyFill="1"/>
    <xf numFmtId="9" fontId="40" fillId="34" borderId="0" xfId="0" applyNumberFormat="1" applyFont="1" applyFill="1"/>
    <xf numFmtId="9" fontId="40" fillId="34" borderId="36" xfId="0" applyNumberFormat="1" applyFont="1" applyFill="1" applyBorder="1"/>
    <xf numFmtId="0" fontId="40" fillId="0" borderId="74" xfId="0" applyFont="1" applyFill="1" applyBorder="1" applyAlignment="1">
      <alignment horizontal="center"/>
    </xf>
    <xf numFmtId="0" fontId="40" fillId="0" borderId="68" xfId="0" applyFont="1" applyFill="1" applyBorder="1" applyAlignment="1">
      <alignment horizontal="center"/>
    </xf>
    <xf numFmtId="0" fontId="40" fillId="0" borderId="70" xfId="0" applyFont="1" applyFill="1" applyBorder="1" applyAlignment="1">
      <alignment horizontal="center"/>
    </xf>
    <xf numFmtId="0" fontId="40" fillId="0" borderId="72" xfId="0" applyFont="1" applyFill="1" applyBorder="1" applyAlignment="1">
      <alignment horizontal="center"/>
    </xf>
    <xf numFmtId="3" fontId="40" fillId="0" borderId="120" xfId="0" applyNumberFormat="1" applyFont="1" applyFill="1" applyBorder="1" applyAlignment="1">
      <alignment horizontal="right"/>
    </xf>
    <xf numFmtId="3" fontId="40" fillId="0" borderId="121" xfId="0" applyNumberFormat="1" applyFont="1" applyFill="1" applyBorder="1" applyAlignment="1">
      <alignment horizontal="right"/>
    </xf>
    <xf numFmtId="3" fontId="40" fillId="0" borderId="120" xfId="29" applyNumberFormat="1" applyFont="1" applyFill="1" applyBorder="1" applyAlignment="1">
      <alignment horizontal="right"/>
    </xf>
    <xf numFmtId="3" fontId="40" fillId="34" borderId="22" xfId="0" applyNumberFormat="1" applyFont="1" applyFill="1" applyBorder="1" applyAlignment="1">
      <alignment horizontal="right"/>
    </xf>
    <xf numFmtId="0" fontId="40" fillId="0" borderId="15" xfId="0" applyFont="1" applyFill="1" applyBorder="1" applyAlignment="1">
      <alignment horizontal="left" wrapText="1"/>
    </xf>
    <xf numFmtId="169" fontId="41" fillId="0" borderId="19" xfId="1" applyNumberFormat="1" applyFont="1" applyBorder="1"/>
    <xf numFmtId="0" fontId="41" fillId="0" borderId="19" xfId="0" applyFont="1" applyBorder="1" applyAlignment="1">
      <alignment horizontal="right"/>
    </xf>
    <xf numFmtId="43" fontId="12" fillId="0" borderId="0" xfId="0" applyNumberFormat="1" applyFont="1" applyFill="1"/>
    <xf numFmtId="0" fontId="41" fillId="0" borderId="5" xfId="0" applyFont="1" applyBorder="1" applyAlignment="1">
      <alignment horizontal="right"/>
    </xf>
    <xf numFmtId="0" fontId="41" fillId="0" borderId="45" xfId="0" applyFont="1" applyBorder="1" applyAlignment="1">
      <alignment horizontal="right"/>
    </xf>
    <xf numFmtId="0" fontId="41" fillId="0" borderId="3" xfId="0" applyFont="1" applyBorder="1"/>
    <xf numFmtId="169" fontId="41" fillId="0" borderId="3" xfId="1" applyNumberFormat="1" applyFont="1" applyBorder="1"/>
    <xf numFmtId="2" fontId="41" fillId="0" borderId="3" xfId="0" applyNumberFormat="1" applyFont="1" applyBorder="1"/>
    <xf numFmtId="0" fontId="41" fillId="0" borderId="3" xfId="0" applyFont="1" applyFill="1" applyBorder="1" applyAlignment="1">
      <alignment horizontal="center"/>
    </xf>
    <xf numFmtId="0" fontId="41" fillId="0" borderId="42" xfId="0" applyFont="1" applyBorder="1" applyAlignment="1">
      <alignment horizontal="right"/>
    </xf>
    <xf numFmtId="176" fontId="41" fillId="0" borderId="28" xfId="0" applyNumberFormat="1" applyFont="1" applyBorder="1"/>
    <xf numFmtId="169" fontId="41" fillId="0" borderId="32" xfId="1" applyNumberFormat="1" applyFont="1" applyBorder="1"/>
    <xf numFmtId="169" fontId="41" fillId="0" borderId="5" xfId="1" applyNumberFormat="1" applyFont="1" applyBorder="1"/>
    <xf numFmtId="0" fontId="41" fillId="0" borderId="47" xfId="0" applyFont="1" applyBorder="1" applyAlignment="1">
      <alignment horizontal="right"/>
    </xf>
    <xf numFmtId="176" fontId="41" fillId="0" borderId="48" xfId="0" applyNumberFormat="1" applyFont="1" applyBorder="1"/>
    <xf numFmtId="170" fontId="97" fillId="0" borderId="1" xfId="0" applyNumberFormat="1" applyFont="1" applyFill="1" applyBorder="1" applyAlignment="1">
      <alignment horizontal="left"/>
    </xf>
    <xf numFmtId="0" fontId="41" fillId="0" borderId="46" xfId="0" applyFont="1" applyBorder="1" applyAlignment="1">
      <alignment horizontal="right"/>
    </xf>
    <xf numFmtId="3" fontId="39" fillId="0" borderId="36" xfId="0" applyNumberFormat="1" applyFont="1" applyFill="1" applyBorder="1" applyAlignment="1">
      <alignment horizontal="center" vertical="center"/>
    </xf>
    <xf numFmtId="14" fontId="7" fillId="0" borderId="40" xfId="44" applyNumberFormat="1" applyFont="1" applyBorder="1" applyAlignment="1">
      <alignment horizontal="left"/>
    </xf>
    <xf numFmtId="43" fontId="97" fillId="0" borderId="0" xfId="0" applyNumberFormat="1" applyFont="1" applyFill="1"/>
    <xf numFmtId="170" fontId="97" fillId="0" borderId="0" xfId="0" applyNumberFormat="1" applyFont="1" applyFill="1" applyBorder="1" applyAlignment="1">
      <alignment horizontal="center"/>
    </xf>
    <xf numFmtId="0" fontId="12" fillId="0" borderId="0" xfId="0" applyFont="1" applyFill="1" applyBorder="1" applyAlignment="1">
      <alignment horizontal="right"/>
    </xf>
    <xf numFmtId="2" fontId="41" fillId="0" borderId="0" xfId="0" applyNumberFormat="1" applyFont="1" applyBorder="1" applyAlignment="1">
      <alignment horizontal="center"/>
    </xf>
    <xf numFmtId="165" fontId="41" fillId="0" borderId="0" xfId="1" applyFont="1" applyBorder="1"/>
    <xf numFmtId="0" fontId="12" fillId="0" borderId="0" xfId="0" applyFont="1" applyFill="1" applyBorder="1" applyAlignment="1">
      <alignment horizontal="center"/>
    </xf>
    <xf numFmtId="4" fontId="41" fillId="0" borderId="0" xfId="0" applyNumberFormat="1" applyFont="1" applyBorder="1"/>
    <xf numFmtId="0" fontId="3" fillId="0" borderId="188" xfId="0" applyFont="1" applyBorder="1" applyAlignment="1">
      <alignment horizontal="center" vertical="center"/>
    </xf>
    <xf numFmtId="0" fontId="3" fillId="0" borderId="157" xfId="0" applyFont="1" applyBorder="1" applyAlignment="1">
      <alignment horizontal="center" vertical="center"/>
    </xf>
    <xf numFmtId="0" fontId="3" fillId="0" borderId="158" xfId="0" applyFont="1" applyBorder="1" applyAlignment="1">
      <alignment horizontal="center" vertical="center"/>
    </xf>
    <xf numFmtId="0" fontId="132" fillId="0" borderId="191" xfId="0" applyFont="1" applyBorder="1" applyAlignment="1">
      <alignment horizontal="center" vertical="center"/>
    </xf>
    <xf numFmtId="0" fontId="132" fillId="0" borderId="1" xfId="0" applyFont="1" applyBorder="1" applyAlignment="1">
      <alignment horizontal="center" vertical="center"/>
    </xf>
    <xf numFmtId="0" fontId="133" fillId="0" borderId="192" xfId="0" applyFont="1" applyBorder="1" applyAlignment="1">
      <alignment horizontal="right"/>
    </xf>
    <xf numFmtId="0" fontId="121" fillId="0" borderId="191" xfId="0" applyFont="1" applyBorder="1" applyAlignment="1">
      <alignment horizontal="center"/>
    </xf>
    <xf numFmtId="0" fontId="3" fillId="0" borderId="95" xfId="0" applyFont="1" applyBorder="1" applyAlignment="1">
      <alignment horizontal="center"/>
    </xf>
    <xf numFmtId="0" fontId="133" fillId="0" borderId="195" xfId="0" applyFont="1" applyBorder="1" applyAlignment="1">
      <alignment horizontal="right"/>
    </xf>
    <xf numFmtId="0" fontId="121" fillId="0" borderId="97" xfId="0" applyFont="1" applyBorder="1" applyAlignment="1">
      <alignment horizontal="center" wrapText="1"/>
    </xf>
    <xf numFmtId="0" fontId="121" fillId="0" borderId="159" xfId="0" applyFont="1" applyBorder="1" applyAlignment="1">
      <alignment horizontal="center" wrapText="1"/>
    </xf>
    <xf numFmtId="0" fontId="3" fillId="0" borderId="40" xfId="0" applyFont="1" applyBorder="1" applyAlignment="1">
      <alignment horizontal="left" vertical="center"/>
    </xf>
    <xf numFmtId="0" fontId="41" fillId="2" borderId="0" xfId="0" applyFont="1" applyFill="1" applyAlignment="1">
      <alignment horizontal="left"/>
    </xf>
    <xf numFmtId="0" fontId="97" fillId="0" borderId="0" xfId="0" applyFont="1" applyFill="1" applyBorder="1" applyAlignment="1">
      <alignment horizontal="left" wrapText="1"/>
    </xf>
    <xf numFmtId="0" fontId="3" fillId="0" borderId="0" xfId="0" applyFont="1" applyAlignment="1">
      <alignment horizontal="center"/>
    </xf>
    <xf numFmtId="188" fontId="0" fillId="0" borderId="0" xfId="0" applyNumberFormat="1"/>
    <xf numFmtId="0" fontId="0" fillId="0" borderId="155" xfId="0" applyBorder="1"/>
    <xf numFmtId="188" fontId="0" fillId="0" borderId="155" xfId="0" applyNumberFormat="1" applyBorder="1"/>
    <xf numFmtId="0" fontId="0" fillId="0" borderId="197" xfId="0" applyBorder="1"/>
    <xf numFmtId="188" fontId="0" fillId="0" borderId="197" xfId="0" applyNumberFormat="1" applyBorder="1"/>
    <xf numFmtId="0" fontId="0" fillId="0" borderId="198" xfId="0" applyBorder="1"/>
    <xf numFmtId="188" fontId="0" fillId="0" borderId="198" xfId="0" applyNumberFormat="1" applyBorder="1"/>
    <xf numFmtId="0" fontId="41" fillId="0" borderId="198" xfId="0" applyFont="1" applyFill="1" applyBorder="1"/>
    <xf numFmtId="0" fontId="134" fillId="0" borderId="155" xfId="0" applyFont="1" applyBorder="1" applyAlignment="1">
      <alignment wrapText="1"/>
    </xf>
    <xf numFmtId="0" fontId="0" fillId="0" borderId="155" xfId="0" applyBorder="1" applyAlignment="1">
      <alignment wrapText="1"/>
    </xf>
    <xf numFmtId="0" fontId="0" fillId="0" borderId="197" xfId="0" applyBorder="1" applyAlignment="1">
      <alignment wrapText="1"/>
    </xf>
    <xf numFmtId="0" fontId="0" fillId="0" borderId="155" xfId="0" applyBorder="1" applyAlignment="1">
      <alignment vertical="center"/>
    </xf>
    <xf numFmtId="188" fontId="0" fillId="0" borderId="155" xfId="0" applyNumberFormat="1" applyBorder="1" applyAlignment="1">
      <alignment vertical="center"/>
    </xf>
    <xf numFmtId="0" fontId="134" fillId="0" borderId="155" xfId="0" applyFont="1" applyBorder="1" applyAlignment="1">
      <alignment vertical="center" wrapText="1"/>
    </xf>
    <xf numFmtId="0" fontId="0" fillId="0" borderId="0" xfId="0" applyAlignment="1">
      <alignment vertical="center"/>
    </xf>
    <xf numFmtId="0" fontId="41" fillId="0" borderId="198" xfId="0" applyFont="1" applyFill="1" applyBorder="1" applyAlignment="1">
      <alignment vertical="center"/>
    </xf>
    <xf numFmtId="0" fontId="0" fillId="0" borderId="155" xfId="0" quotePrefix="1" applyBorder="1" applyAlignment="1">
      <alignment vertical="center"/>
    </xf>
    <xf numFmtId="0" fontId="0" fillId="0" borderId="155" xfId="0" applyBorder="1" applyAlignment="1">
      <alignment vertical="center" wrapText="1"/>
    </xf>
    <xf numFmtId="0" fontId="3" fillId="56" borderId="2" xfId="0" applyFont="1" applyFill="1" applyBorder="1"/>
    <xf numFmtId="0" fontId="0" fillId="56" borderId="3" xfId="0" applyFill="1" applyBorder="1"/>
    <xf numFmtId="188" fontId="0" fillId="56" borderId="3" xfId="0" applyNumberFormat="1" applyFill="1" applyBorder="1"/>
    <xf numFmtId="0" fontId="0" fillId="56" borderId="4" xfId="0" applyFill="1" applyBorder="1"/>
    <xf numFmtId="0" fontId="0" fillId="0" borderId="0" xfId="0" applyAlignment="1">
      <alignment horizontal="left"/>
    </xf>
    <xf numFmtId="0" fontId="0" fillId="0" borderId="1" xfId="0" applyBorder="1" applyAlignment="1">
      <alignment horizontal="left"/>
    </xf>
    <xf numFmtId="9" fontId="0" fillId="0" borderId="1" xfId="0" applyNumberFormat="1" applyBorder="1" applyAlignment="1">
      <alignment horizontal="center"/>
    </xf>
    <xf numFmtId="0" fontId="0" fillId="0" borderId="1" xfId="0" quotePrefix="1" applyBorder="1" applyAlignment="1">
      <alignment horizontal="left"/>
    </xf>
    <xf numFmtId="0" fontId="3" fillId="0" borderId="1" xfId="0" applyFont="1" applyBorder="1" applyAlignment="1">
      <alignment horizontal="left" vertical="center"/>
    </xf>
    <xf numFmtId="0" fontId="3" fillId="0" borderId="1" xfId="0" applyFont="1" applyBorder="1" applyAlignment="1">
      <alignment vertical="center" wrapText="1"/>
    </xf>
    <xf numFmtId="0" fontId="3" fillId="0" borderId="1" xfId="0" applyFont="1" applyBorder="1" applyAlignment="1">
      <alignment vertical="center"/>
    </xf>
    <xf numFmtId="0" fontId="0" fillId="0" borderId="198" xfId="0" applyBorder="1" applyAlignment="1">
      <alignment horizontal="center"/>
    </xf>
    <xf numFmtId="0" fontId="0" fillId="0" borderId="155" xfId="0" applyBorder="1" applyAlignment="1">
      <alignment horizontal="center"/>
    </xf>
    <xf numFmtId="0" fontId="0" fillId="0" borderId="155" xfId="0" applyBorder="1" applyAlignment="1">
      <alignment horizontal="center" vertical="center"/>
    </xf>
    <xf numFmtId="0" fontId="0" fillId="0" borderId="198" xfId="0" applyBorder="1" applyAlignment="1">
      <alignment horizontal="center" vertical="center"/>
    </xf>
    <xf numFmtId="0" fontId="0" fillId="0" borderId="198" xfId="0" applyBorder="1" applyAlignment="1">
      <alignment vertical="center"/>
    </xf>
    <xf numFmtId="0" fontId="36" fillId="2" borderId="36" xfId="0" applyFont="1" applyFill="1" applyBorder="1" applyAlignment="1">
      <alignment horizontal="center"/>
    </xf>
    <xf numFmtId="176" fontId="7" fillId="0" borderId="39" xfId="44" applyNumberFormat="1" applyFont="1" applyBorder="1" applyAlignment="1">
      <alignment horizontal="center"/>
    </xf>
    <xf numFmtId="176" fontId="7" fillId="0" borderId="44" xfId="44" applyNumberFormat="1" applyFont="1" applyBorder="1" applyAlignment="1">
      <alignment horizontal="center"/>
    </xf>
    <xf numFmtId="176" fontId="7" fillId="0" borderId="40" xfId="44" applyNumberFormat="1" applyFont="1" applyBorder="1" applyAlignment="1">
      <alignment horizontal="center"/>
    </xf>
    <xf numFmtId="176" fontId="7" fillId="0" borderId="39" xfId="55" applyNumberFormat="1" applyFont="1" applyBorder="1" applyAlignment="1">
      <alignment horizontal="center" vertical="top"/>
    </xf>
    <xf numFmtId="176" fontId="7" fillId="0" borderId="44" xfId="55" applyNumberFormat="1" applyFont="1" applyBorder="1" applyAlignment="1">
      <alignment horizontal="center" vertical="top"/>
    </xf>
    <xf numFmtId="176" fontId="7" fillId="0" borderId="40" xfId="55" applyNumberFormat="1" applyFont="1" applyBorder="1" applyAlignment="1">
      <alignment horizontal="center" vertical="top"/>
    </xf>
    <xf numFmtId="0" fontId="0" fillId="0" borderId="92" xfId="0" applyBorder="1"/>
    <xf numFmtId="0" fontId="0" fillId="0" borderId="0" xfId="0" applyBorder="1"/>
    <xf numFmtId="0" fontId="0" fillId="0" borderId="94" xfId="0" applyBorder="1" applyAlignment="1">
      <alignment vertical="center"/>
    </xf>
    <xf numFmtId="0" fontId="0" fillId="0" borderId="96" xfId="0" applyBorder="1" applyAlignment="1">
      <alignment vertical="center"/>
    </xf>
    <xf numFmtId="187" fontId="0" fillId="0" borderId="0" xfId="0" applyNumberFormat="1"/>
    <xf numFmtId="0" fontId="3" fillId="38" borderId="94" xfId="0" applyFont="1" applyFill="1" applyBorder="1" applyAlignment="1">
      <alignment vertical="center"/>
    </xf>
    <xf numFmtId="0" fontId="3" fillId="38" borderId="1" xfId="0" applyFont="1" applyFill="1" applyBorder="1" applyAlignment="1"/>
    <xf numFmtId="0" fontId="3" fillId="38" borderId="95" xfId="0" applyFont="1" applyFill="1" applyBorder="1" applyAlignment="1"/>
    <xf numFmtId="188" fontId="0" fillId="0" borderId="1" xfId="0" applyNumberFormat="1" applyBorder="1" applyAlignment="1">
      <alignment horizontal="center"/>
    </xf>
    <xf numFmtId="188" fontId="0" fillId="0" borderId="95" xfId="0" applyNumberFormat="1" applyBorder="1" applyAlignment="1">
      <alignment horizontal="center"/>
    </xf>
    <xf numFmtId="0" fontId="0" fillId="0" borderId="95" xfId="0" applyBorder="1" applyAlignment="1">
      <alignment horizontal="center"/>
    </xf>
    <xf numFmtId="188" fontId="0" fillId="0" borderId="97" xfId="0" applyNumberFormat="1" applyBorder="1" applyAlignment="1">
      <alignment horizontal="center"/>
    </xf>
    <xf numFmtId="188" fontId="0" fillId="0" borderId="159" xfId="0" applyNumberFormat="1" applyBorder="1" applyAlignment="1">
      <alignment horizontal="center"/>
    </xf>
    <xf numFmtId="0" fontId="41" fillId="0" borderId="0" xfId="0" applyFont="1" applyBorder="1" applyAlignment="1">
      <alignment horizontal="right"/>
    </xf>
    <xf numFmtId="169" fontId="41" fillId="0" borderId="0" xfId="1" applyNumberFormat="1" applyFont="1" applyBorder="1"/>
    <xf numFmtId="3" fontId="41" fillId="0" borderId="0" xfId="0" applyNumberFormat="1" applyFont="1" applyBorder="1"/>
    <xf numFmtId="3" fontId="41" fillId="0" borderId="35" xfId="0" applyNumberFormat="1" applyFont="1" applyBorder="1"/>
    <xf numFmtId="3" fontId="41" fillId="0" borderId="139" xfId="0" applyNumberFormat="1" applyFont="1" applyBorder="1"/>
    <xf numFmtId="3" fontId="41" fillId="0" borderId="110" xfId="0" applyNumberFormat="1" applyFont="1" applyBorder="1"/>
    <xf numFmtId="4" fontId="41" fillId="0" borderId="110" xfId="0" applyNumberFormat="1" applyFont="1" applyBorder="1"/>
    <xf numFmtId="4" fontId="41" fillId="0" borderId="117" xfId="0" applyNumberFormat="1" applyFont="1" applyBorder="1"/>
    <xf numFmtId="0" fontId="97" fillId="0" borderId="52" xfId="0" applyFont="1" applyFill="1" applyBorder="1" applyAlignment="1">
      <alignment horizontal="center" vertical="center" wrapText="1"/>
    </xf>
    <xf numFmtId="188" fontId="97" fillId="0" borderId="48" xfId="0" applyNumberFormat="1" applyFont="1" applyFill="1" applyBorder="1" applyAlignment="1"/>
    <xf numFmtId="3" fontId="41" fillId="0" borderId="42" xfId="0" applyNumberFormat="1" applyFont="1" applyBorder="1"/>
    <xf numFmtId="4" fontId="41" fillId="0" borderId="48" xfId="0" applyNumberFormat="1" applyFont="1" applyBorder="1"/>
    <xf numFmtId="4" fontId="41" fillId="0" borderId="42" xfId="0" applyNumberFormat="1" applyFont="1" applyBorder="1"/>
    <xf numFmtId="3" fontId="41" fillId="0" borderId="45" xfId="0" applyNumberFormat="1" applyFont="1" applyBorder="1"/>
    <xf numFmtId="17" fontId="71" fillId="0" borderId="154" xfId="0" applyNumberFormat="1" applyFont="1" applyFill="1" applyBorder="1" applyAlignment="1"/>
    <xf numFmtId="17" fontId="71" fillId="0" borderId="101" xfId="0" applyNumberFormat="1" applyFont="1" applyFill="1" applyBorder="1" applyAlignment="1"/>
    <xf numFmtId="169" fontId="12" fillId="38" borderId="23" xfId="0" applyNumberFormat="1" applyFont="1" applyFill="1" applyBorder="1"/>
    <xf numFmtId="169" fontId="12" fillId="38" borderId="26" xfId="0" applyNumberFormat="1" applyFont="1" applyFill="1" applyBorder="1"/>
    <xf numFmtId="169" fontId="12" fillId="38" borderId="30" xfId="0" applyNumberFormat="1" applyFont="1" applyFill="1" applyBorder="1"/>
    <xf numFmtId="169" fontId="112" fillId="0" borderId="0" xfId="0" applyNumberFormat="1" applyFont="1" applyFill="1" applyBorder="1"/>
    <xf numFmtId="0" fontId="41" fillId="57" borderId="0" xfId="106" applyFont="1" applyFill="1" applyAlignment="1">
      <alignment vertical="center" wrapText="1"/>
    </xf>
    <xf numFmtId="0" fontId="41" fillId="57" borderId="1" xfId="106" applyFont="1" applyFill="1" applyBorder="1" applyAlignment="1">
      <alignment horizontal="center" vertical="center" wrapText="1"/>
    </xf>
    <xf numFmtId="0" fontId="41" fillId="57" borderId="1" xfId="106" applyFont="1" applyFill="1" applyBorder="1" applyAlignment="1">
      <alignment vertical="center" wrapText="1"/>
    </xf>
    <xf numFmtId="0" fontId="41" fillId="57" borderId="1" xfId="0" applyFont="1" applyFill="1" applyBorder="1"/>
    <xf numFmtId="0" fontId="71" fillId="57" borderId="1" xfId="0" applyFont="1" applyFill="1" applyBorder="1" applyAlignment="1">
      <alignment horizontal="center"/>
    </xf>
    <xf numFmtId="0" fontId="71" fillId="57" borderId="1" xfId="0" applyFont="1" applyFill="1" applyBorder="1" applyAlignment="1">
      <alignment horizontal="right"/>
    </xf>
    <xf numFmtId="17" fontId="71" fillId="57" borderId="1" xfId="0" applyNumberFormat="1" applyFont="1" applyFill="1" applyBorder="1"/>
    <xf numFmtId="4" fontId="71" fillId="57" borderId="1" xfId="1" applyNumberFormat="1" applyFont="1" applyFill="1" applyBorder="1" applyAlignment="1"/>
    <xf numFmtId="0" fontId="1" fillId="57" borderId="1" xfId="106" applyFont="1" applyFill="1" applyBorder="1" applyAlignment="1">
      <alignment vertical="center" wrapText="1"/>
    </xf>
    <xf numFmtId="0" fontId="41" fillId="56" borderId="1" xfId="106" applyFont="1" applyFill="1" applyBorder="1" applyAlignment="1">
      <alignment horizontal="center" vertical="center" wrapText="1"/>
    </xf>
    <xf numFmtId="0" fontId="71" fillId="56" borderId="1" xfId="106" applyFont="1" applyFill="1" applyBorder="1" applyAlignment="1">
      <alignment vertical="center" wrapText="1"/>
    </xf>
    <xf numFmtId="0" fontId="71" fillId="56" borderId="1" xfId="106" applyFont="1" applyFill="1" applyBorder="1" applyAlignment="1">
      <alignment horizontal="center" vertical="center" wrapText="1"/>
    </xf>
    <xf numFmtId="4" fontId="41" fillId="0" borderId="199" xfId="0" applyNumberFormat="1" applyFont="1" applyBorder="1"/>
    <xf numFmtId="4" fontId="41" fillId="0" borderId="200" xfId="0" applyNumberFormat="1" applyFont="1" applyBorder="1"/>
    <xf numFmtId="0" fontId="41" fillId="0" borderId="0" xfId="106" applyFont="1" applyFill="1" applyAlignment="1">
      <alignment vertical="center" wrapText="1"/>
    </xf>
    <xf numFmtId="187" fontId="41" fillId="0" borderId="1" xfId="0" applyNumberFormat="1" applyFont="1" applyFill="1" applyBorder="1" applyAlignment="1">
      <alignment vertical="center"/>
    </xf>
    <xf numFmtId="44" fontId="41" fillId="0" borderId="0" xfId="106" applyNumberFormat="1" applyFont="1" applyFill="1" applyAlignment="1">
      <alignment vertical="center" wrapText="1"/>
    </xf>
    <xf numFmtId="0" fontId="41" fillId="0" borderId="1" xfId="0" applyFont="1" applyFill="1" applyBorder="1" applyAlignment="1">
      <alignment vertical="center"/>
    </xf>
    <xf numFmtId="0" fontId="41" fillId="0" borderId="1" xfId="106" applyFont="1" applyFill="1" applyBorder="1" applyAlignment="1">
      <alignment horizontal="center" vertical="center" wrapText="1"/>
    </xf>
    <xf numFmtId="0" fontId="41" fillId="0" borderId="1" xfId="106" applyFont="1" applyFill="1" applyBorder="1" applyAlignment="1">
      <alignment vertical="center" wrapText="1"/>
    </xf>
    <xf numFmtId="0" fontId="1" fillId="0" borderId="1" xfId="106" applyFont="1" applyFill="1" applyBorder="1" applyAlignment="1">
      <alignment vertical="center" wrapText="1"/>
    </xf>
    <xf numFmtId="179" fontId="1" fillId="0" borderId="1" xfId="106" applyNumberFormat="1" applyFont="1" applyFill="1" applyBorder="1" applyAlignment="1">
      <alignment horizontal="center" vertical="center" wrapText="1"/>
    </xf>
    <xf numFmtId="179" fontId="1" fillId="0" borderId="1" xfId="106" applyNumberFormat="1" applyFont="1" applyFill="1" applyBorder="1" applyAlignment="1">
      <alignment vertical="center" wrapText="1"/>
    </xf>
    <xf numFmtId="0" fontId="1" fillId="0" borderId="1" xfId="106" applyFont="1" applyFill="1" applyBorder="1" applyAlignment="1">
      <alignment horizontal="center" vertical="center" wrapText="1"/>
    </xf>
    <xf numFmtId="0" fontId="87" fillId="41" borderId="0" xfId="101" applyFont="1" applyFill="1" applyBorder="1"/>
    <xf numFmtId="0" fontId="87" fillId="41" borderId="36" xfId="101" applyFont="1" applyFill="1" applyBorder="1"/>
    <xf numFmtId="0" fontId="90" fillId="0" borderId="0" xfId="101" applyFont="1" applyBorder="1"/>
    <xf numFmtId="0" fontId="82" fillId="0" borderId="0" xfId="101" applyFont="1" applyBorder="1"/>
    <xf numFmtId="0" fontId="82" fillId="0" borderId="0" xfId="101" applyFont="1" applyBorder="1" applyAlignment="1">
      <alignment horizontal="right"/>
    </xf>
    <xf numFmtId="0" fontId="82" fillId="41" borderId="0" xfId="101" applyFont="1" applyFill="1" applyBorder="1"/>
    <xf numFmtId="0" fontId="85" fillId="41" borderId="0" xfId="101" applyFont="1" applyFill="1" applyBorder="1" applyAlignment="1">
      <alignment vertical="center"/>
    </xf>
    <xf numFmtId="0" fontId="82" fillId="41" borderId="36" xfId="101" applyFont="1" applyFill="1" applyBorder="1"/>
    <xf numFmtId="0" fontId="81" fillId="0" borderId="0" xfId="101" applyFont="1" applyBorder="1" applyAlignment="1">
      <alignment horizontal="right"/>
    </xf>
    <xf numFmtId="0" fontId="81" fillId="0" borderId="0" xfId="101" applyFont="1" applyBorder="1"/>
    <xf numFmtId="172" fontId="41" fillId="0" borderId="0" xfId="0" applyNumberFormat="1" applyFont="1" applyBorder="1"/>
    <xf numFmtId="172" fontId="82" fillId="0" borderId="0" xfId="101" applyNumberFormat="1" applyFont="1" applyBorder="1"/>
    <xf numFmtId="10" fontId="81" fillId="0" borderId="0" xfId="104" applyNumberFormat="1" applyFont="1" applyBorder="1" applyAlignment="1">
      <alignment horizontal="center"/>
    </xf>
    <xf numFmtId="171" fontId="81" fillId="0" borderId="0" xfId="101" quotePrefix="1" applyNumberFormat="1" applyFont="1" applyBorder="1"/>
    <xf numFmtId="172" fontId="100" fillId="0" borderId="0" xfId="0" applyNumberFormat="1" applyFont="1" applyBorder="1"/>
    <xf numFmtId="3" fontId="82" fillId="41" borderId="134" xfId="101" applyNumberFormat="1" applyFont="1" applyFill="1" applyBorder="1"/>
    <xf numFmtId="3" fontId="81" fillId="41" borderId="74" xfId="101" applyNumberFormat="1" applyFont="1" applyFill="1" applyBorder="1"/>
    <xf numFmtId="3" fontId="81" fillId="41" borderId="136" xfId="101" applyNumberFormat="1" applyFont="1" applyFill="1" applyBorder="1"/>
    <xf numFmtId="3" fontId="81" fillId="0" borderId="134" xfId="101" applyNumberFormat="1" applyFont="1" applyBorder="1"/>
    <xf numFmtId="3" fontId="81" fillId="0" borderId="74" xfId="101" applyNumberFormat="1" applyFont="1" applyBorder="1"/>
    <xf numFmtId="3" fontId="81" fillId="0" borderId="136" xfId="101" applyNumberFormat="1" applyFont="1" applyBorder="1"/>
    <xf numFmtId="3" fontId="82" fillId="0" borderId="74" xfId="101" quotePrefix="1" applyNumberFormat="1" applyFont="1" applyBorder="1"/>
    <xf numFmtId="3" fontId="85" fillId="41" borderId="74" xfId="101" quotePrefix="1" applyNumberFormat="1" applyFont="1" applyFill="1" applyBorder="1" applyAlignment="1">
      <alignment vertical="center"/>
    </xf>
    <xf numFmtId="197" fontId="81" fillId="41" borderId="16" xfId="101" applyNumberFormat="1" applyFont="1" applyFill="1" applyBorder="1"/>
    <xf numFmtId="172" fontId="81" fillId="0" borderId="17" xfId="101" applyNumberFormat="1" applyFont="1" applyBorder="1"/>
    <xf numFmtId="172" fontId="81" fillId="0" borderId="14" xfId="101" applyNumberFormat="1" applyFont="1" applyBorder="1"/>
    <xf numFmtId="172" fontId="81" fillId="0" borderId="16" xfId="101" applyNumberFormat="1" applyFont="1" applyBorder="1"/>
    <xf numFmtId="172" fontId="81" fillId="41" borderId="14" xfId="101" applyNumberFormat="1" applyFont="1" applyFill="1" applyBorder="1"/>
    <xf numFmtId="172" fontId="85" fillId="41" borderId="14" xfId="101" applyNumberFormat="1" applyFont="1" applyFill="1" applyBorder="1" applyAlignment="1">
      <alignment vertical="center"/>
    </xf>
    <xf numFmtId="38" fontId="0" fillId="0" borderId="1" xfId="0" applyNumberFormat="1" applyBorder="1" applyAlignment="1">
      <alignment vertical="top"/>
    </xf>
    <xf numFmtId="0" fontId="138" fillId="0" borderId="1" xfId="0" applyFont="1" applyBorder="1" applyAlignment="1">
      <alignment horizontal="justify" wrapText="1"/>
    </xf>
    <xf numFmtId="0" fontId="0" fillId="0" borderId="1" xfId="0" applyBorder="1" applyAlignment="1">
      <alignment horizontal="justify" wrapText="1"/>
    </xf>
    <xf numFmtId="0" fontId="135" fillId="0" borderId="1" xfId="0" applyFont="1" applyBorder="1" applyAlignment="1">
      <alignment horizontal="justify" wrapText="1"/>
    </xf>
    <xf numFmtId="0" fontId="139" fillId="0" borderId="1" xfId="0" applyFont="1" applyBorder="1" applyAlignment="1">
      <alignment horizontal="justify" wrapText="1"/>
    </xf>
    <xf numFmtId="40" fontId="0" fillId="0" borderId="1" xfId="0" applyNumberFormat="1" applyBorder="1"/>
    <xf numFmtId="38" fontId="1" fillId="0" borderId="1" xfId="0" applyNumberFormat="1" applyFont="1" applyFill="1" applyBorder="1" applyAlignment="1">
      <alignment vertical="top"/>
    </xf>
    <xf numFmtId="0" fontId="140" fillId="0" borderId="1" xfId="0" applyFont="1" applyFill="1" applyBorder="1" applyAlignment="1">
      <alignment horizontal="justify" wrapText="1"/>
    </xf>
    <xf numFmtId="38" fontId="1" fillId="0" borderId="1" xfId="0" applyNumberFormat="1" applyFont="1" applyBorder="1" applyAlignment="1">
      <alignment vertical="top"/>
    </xf>
    <xf numFmtId="0" fontId="1" fillId="0" borderId="1" xfId="0" applyFont="1" applyBorder="1" applyAlignment="1">
      <alignment horizontal="justify" wrapText="1"/>
    </xf>
    <xf numFmtId="188" fontId="71" fillId="56" borderId="1" xfId="106" applyNumberFormat="1" applyFont="1" applyFill="1" applyBorder="1" applyAlignment="1">
      <alignment horizontal="center" vertical="center" wrapText="1"/>
    </xf>
    <xf numFmtId="188" fontId="41" fillId="57" borderId="1" xfId="106" applyNumberFormat="1" applyFont="1" applyFill="1" applyBorder="1" applyAlignment="1">
      <alignment horizontal="center" vertical="center" wrapText="1"/>
    </xf>
    <xf numFmtId="38" fontId="1" fillId="34" borderId="1" xfId="0" applyNumberFormat="1" applyFont="1" applyFill="1" applyBorder="1" applyAlignment="1">
      <alignment vertical="top"/>
    </xf>
    <xf numFmtId="0" fontId="140" fillId="34" borderId="1" xfId="0" applyFont="1" applyFill="1" applyBorder="1" applyAlignment="1">
      <alignment horizontal="justify" wrapText="1"/>
    </xf>
    <xf numFmtId="0" fontId="1" fillId="34" borderId="1" xfId="0" applyFont="1" applyFill="1" applyBorder="1" applyAlignment="1">
      <alignment horizontal="justify" wrapText="1"/>
    </xf>
    <xf numFmtId="0" fontId="41" fillId="34" borderId="1" xfId="106" applyFont="1" applyFill="1" applyBorder="1" applyAlignment="1">
      <alignment horizontal="center" vertical="center" wrapText="1"/>
    </xf>
    <xf numFmtId="0" fontId="71" fillId="34" borderId="1" xfId="106" applyFont="1" applyFill="1" applyBorder="1" applyAlignment="1">
      <alignment vertical="center" wrapText="1"/>
    </xf>
    <xf numFmtId="188" fontId="71" fillId="34" borderId="1" xfId="106" applyNumberFormat="1" applyFont="1" applyFill="1" applyBorder="1" applyAlignment="1">
      <alignment horizontal="center" vertical="center" wrapText="1"/>
    </xf>
    <xf numFmtId="0" fontId="41" fillId="34" borderId="1" xfId="106" applyFont="1" applyFill="1" applyBorder="1" applyAlignment="1">
      <alignment vertical="center" wrapText="1"/>
    </xf>
    <xf numFmtId="188" fontId="41" fillId="34" borderId="1" xfId="106" applyNumberFormat="1" applyFont="1" applyFill="1" applyBorder="1" applyAlignment="1">
      <alignment horizontal="center" vertical="center" wrapText="1"/>
    </xf>
    <xf numFmtId="0" fontId="141" fillId="34" borderId="1" xfId="0" applyFont="1" applyFill="1" applyBorder="1" applyAlignment="1">
      <alignment horizontal="justify" wrapText="1"/>
    </xf>
    <xf numFmtId="0" fontId="1" fillId="34" borderId="1" xfId="106" applyFont="1" applyFill="1" applyBorder="1" applyAlignment="1">
      <alignment vertical="center" wrapText="1"/>
    </xf>
    <xf numFmtId="0" fontId="3" fillId="34" borderId="1" xfId="106" applyFont="1" applyFill="1" applyBorder="1" applyAlignment="1">
      <alignment vertical="center" wrapText="1"/>
    </xf>
    <xf numFmtId="0" fontId="41" fillId="34" borderId="1" xfId="106" applyFont="1" applyFill="1" applyBorder="1" applyAlignment="1">
      <alignment horizontal="left" vertical="center" wrapText="1"/>
    </xf>
    <xf numFmtId="0" fontId="71" fillId="34" borderId="1" xfId="106" applyFont="1" applyFill="1" applyBorder="1" applyAlignment="1">
      <alignment horizontal="left" vertical="center" wrapText="1"/>
    </xf>
    <xf numFmtId="188" fontId="1" fillId="34" borderId="1" xfId="107" applyNumberFormat="1" applyFont="1" applyFill="1" applyBorder="1" applyAlignment="1">
      <alignment horizontal="center" vertical="center" wrapText="1"/>
    </xf>
    <xf numFmtId="0" fontId="141" fillId="0" borderId="1" xfId="0" applyFont="1" applyFill="1" applyBorder="1" applyAlignment="1">
      <alignment horizontal="justify" wrapText="1"/>
    </xf>
    <xf numFmtId="0" fontId="1" fillId="0" borderId="1" xfId="0" applyFont="1" applyFill="1" applyBorder="1" applyAlignment="1">
      <alignment horizontal="justify" wrapText="1"/>
    </xf>
    <xf numFmtId="188" fontId="71" fillId="57" borderId="1" xfId="1" applyNumberFormat="1" applyFont="1" applyFill="1" applyBorder="1" applyAlignment="1">
      <alignment horizontal="center"/>
    </xf>
    <xf numFmtId="188" fontId="100" fillId="34" borderId="1" xfId="0" applyNumberFormat="1" applyFont="1" applyFill="1" applyBorder="1" applyAlignment="1">
      <alignment horizontal="center" vertical="center"/>
    </xf>
    <xf numFmtId="188" fontId="1" fillId="34" borderId="1" xfId="0" applyNumberFormat="1" applyFont="1" applyFill="1" applyBorder="1" applyAlignment="1">
      <alignment horizontal="center"/>
    </xf>
    <xf numFmtId="188" fontId="1" fillId="34" borderId="1" xfId="106" applyNumberFormat="1" applyFont="1" applyFill="1" applyBorder="1" applyAlignment="1">
      <alignment horizontal="center" vertical="center" wrapText="1"/>
    </xf>
    <xf numFmtId="188" fontId="100" fillId="57" borderId="1" xfId="0" applyNumberFormat="1" applyFont="1" applyFill="1" applyBorder="1" applyAlignment="1">
      <alignment horizontal="center" vertical="center"/>
    </xf>
    <xf numFmtId="188" fontId="1" fillId="0" borderId="1" xfId="0" applyNumberFormat="1" applyFont="1" applyFill="1" applyBorder="1" applyAlignment="1">
      <alignment horizontal="center"/>
    </xf>
    <xf numFmtId="188" fontId="1" fillId="0" borderId="1" xfId="0" applyNumberFormat="1" applyFont="1" applyBorder="1" applyAlignment="1">
      <alignment horizontal="center"/>
    </xf>
    <xf numFmtId="0" fontId="1" fillId="34" borderId="1" xfId="0" applyFont="1" applyFill="1" applyBorder="1" applyAlignment="1">
      <alignment horizontal="center"/>
    </xf>
    <xf numFmtId="0" fontId="71" fillId="34" borderId="1" xfId="106" applyFont="1" applyFill="1" applyBorder="1" applyAlignment="1">
      <alignment horizontal="center" vertical="center" wrapText="1"/>
    </xf>
    <xf numFmtId="0" fontId="1" fillId="34" borderId="1" xfId="106" applyFont="1" applyFill="1" applyBorder="1" applyAlignment="1">
      <alignment horizontal="center" vertical="center" wrapText="1"/>
    </xf>
    <xf numFmtId="0" fontId="1" fillId="0" borderId="1" xfId="0" applyFont="1" applyFill="1" applyBorder="1" applyAlignment="1">
      <alignment horizontal="center"/>
    </xf>
    <xf numFmtId="0" fontId="1" fillId="0" borderId="1" xfId="0" applyFont="1" applyBorder="1" applyAlignment="1">
      <alignment horizontal="center"/>
    </xf>
    <xf numFmtId="0" fontId="71" fillId="0" borderId="1" xfId="106" applyFont="1" applyFill="1" applyBorder="1" applyAlignment="1">
      <alignment vertical="center" wrapText="1"/>
    </xf>
    <xf numFmtId="187" fontId="1" fillId="0" borderId="1" xfId="106" applyNumberFormat="1" applyFont="1" applyFill="1" applyBorder="1" applyAlignment="1">
      <alignment horizontal="center" vertical="center" wrapText="1"/>
    </xf>
    <xf numFmtId="0" fontId="3" fillId="0" borderId="1" xfId="106" applyFont="1" applyFill="1" applyBorder="1" applyAlignment="1">
      <alignment horizontal="left" vertical="center" wrapText="1"/>
    </xf>
    <xf numFmtId="0" fontId="97" fillId="0" borderId="3" xfId="0" applyFont="1" applyFill="1" applyBorder="1" applyAlignment="1">
      <alignment horizontal="left"/>
    </xf>
    <xf numFmtId="0" fontId="97" fillId="0" borderId="4" xfId="0" applyFont="1" applyFill="1" applyBorder="1" applyAlignment="1">
      <alignment horizontal="left"/>
    </xf>
    <xf numFmtId="17" fontId="71" fillId="0" borderId="167" xfId="0" applyNumberFormat="1" applyFont="1" applyFill="1" applyBorder="1" applyAlignment="1">
      <alignment horizontal="center"/>
    </xf>
    <xf numFmtId="17" fontId="71" fillId="0" borderId="99" xfId="0" applyNumberFormat="1" applyFont="1" applyFill="1" applyBorder="1" applyAlignment="1">
      <alignment horizontal="center"/>
    </xf>
    <xf numFmtId="0" fontId="97" fillId="0" borderId="0" xfId="0" applyFont="1" applyFill="1" applyBorder="1" applyAlignment="1">
      <alignment horizontal="left"/>
    </xf>
    <xf numFmtId="4" fontId="71" fillId="58" borderId="153" xfId="1" applyNumberFormat="1" applyFont="1" applyFill="1" applyBorder="1"/>
    <xf numFmtId="17" fontId="71" fillId="0" borderId="153" xfId="0" applyNumberFormat="1" applyFont="1" applyFill="1" applyBorder="1" applyAlignment="1"/>
    <xf numFmtId="17" fontId="71" fillId="0" borderId="167" xfId="0" applyNumberFormat="1" applyFont="1" applyFill="1" applyBorder="1" applyAlignment="1"/>
    <xf numFmtId="17" fontId="71" fillId="0" borderId="98" xfId="0" applyNumberFormat="1" applyFont="1" applyFill="1" applyBorder="1" applyAlignment="1"/>
    <xf numFmtId="17" fontId="71" fillId="0" borderId="99" xfId="0" applyNumberFormat="1" applyFont="1" applyFill="1" applyBorder="1" applyAlignment="1"/>
    <xf numFmtId="169" fontId="12" fillId="0" borderId="131" xfId="0" applyNumberFormat="1" applyFont="1" applyFill="1" applyBorder="1" applyAlignment="1">
      <alignment horizontal="right"/>
    </xf>
    <xf numFmtId="169" fontId="12" fillId="0" borderId="29" xfId="1" applyNumberFormat="1" applyFont="1" applyFill="1" applyBorder="1"/>
    <xf numFmtId="169" fontId="12" fillId="0" borderId="44" xfId="0" applyNumberFormat="1" applyFont="1" applyFill="1" applyBorder="1"/>
    <xf numFmtId="169" fontId="12" fillId="0" borderId="0" xfId="1" applyNumberFormat="1" applyFont="1" applyFill="1" applyBorder="1"/>
    <xf numFmtId="188" fontId="100" fillId="34" borderId="1" xfId="0" applyNumberFormat="1" applyFont="1" applyFill="1" applyBorder="1" applyAlignment="1">
      <alignment horizontal="center"/>
    </xf>
    <xf numFmtId="188" fontId="100" fillId="0" borderId="1" xfId="0" applyNumberFormat="1" applyFont="1" applyFill="1" applyBorder="1" applyAlignment="1">
      <alignment horizontal="center"/>
    </xf>
    <xf numFmtId="0" fontId="71" fillId="57" borderId="1" xfId="106" applyNumberFormat="1" applyFont="1" applyFill="1" applyBorder="1" applyAlignment="1">
      <alignment horizontal="center" vertical="center" wrapText="1"/>
    </xf>
    <xf numFmtId="0" fontId="97" fillId="0" borderId="35" xfId="0" applyFont="1" applyFill="1" applyBorder="1" applyAlignment="1">
      <alignment horizontal="center" vertical="center" wrapText="1"/>
    </xf>
    <xf numFmtId="3" fontId="41" fillId="0" borderId="52" xfId="0" applyNumberFormat="1" applyFont="1" applyBorder="1"/>
    <xf numFmtId="4" fontId="41" fillId="0" borderId="201" xfId="0" applyNumberFormat="1" applyFont="1" applyBorder="1"/>
    <xf numFmtId="0" fontId="142" fillId="0" borderId="0" xfId="0" applyFont="1"/>
    <xf numFmtId="0" fontId="3" fillId="0" borderId="0" xfId="0" applyFont="1" applyBorder="1" applyAlignment="1">
      <alignment vertical="center"/>
    </xf>
    <xf numFmtId="9" fontId="0" fillId="0" borderId="0" xfId="0" applyNumberFormat="1" applyBorder="1" applyAlignment="1">
      <alignment horizontal="center"/>
    </xf>
    <xf numFmtId="188" fontId="0" fillId="0" borderId="198" xfId="0" applyNumberFormat="1" applyBorder="1" applyAlignment="1">
      <alignment horizontal="center" vertical="center"/>
    </xf>
    <xf numFmtId="188" fontId="0" fillId="0" borderId="155" xfId="0" applyNumberFormat="1" applyBorder="1" applyAlignment="1">
      <alignment horizontal="center" vertical="center"/>
    </xf>
    <xf numFmtId="0" fontId="71" fillId="0" borderId="1" xfId="0" applyFont="1" applyFill="1" applyBorder="1" applyAlignment="1">
      <alignment vertical="center"/>
    </xf>
    <xf numFmtId="0" fontId="2" fillId="0" borderId="1" xfId="0" applyFont="1" applyFill="1" applyBorder="1" applyAlignment="1">
      <alignment vertical="center"/>
    </xf>
    <xf numFmtId="177" fontId="40" fillId="0" borderId="1" xfId="0" applyNumberFormat="1" applyFont="1" applyFill="1" applyBorder="1" applyAlignment="1">
      <alignment horizontal="center"/>
    </xf>
    <xf numFmtId="0" fontId="39" fillId="0" borderId="1" xfId="0" applyFont="1" applyFill="1" applyBorder="1" applyAlignment="1">
      <alignment horizontal="center"/>
    </xf>
    <xf numFmtId="3" fontId="82" fillId="0" borderId="0" xfId="101" quotePrefix="1" applyNumberFormat="1" applyFont="1" applyBorder="1"/>
    <xf numFmtId="0" fontId="85" fillId="41" borderId="0" xfId="101" quotePrefix="1" applyFont="1" applyFill="1" applyBorder="1" applyAlignment="1">
      <alignment vertical="center"/>
    </xf>
    <xf numFmtId="172" fontId="71" fillId="0" borderId="36" xfId="0" applyNumberFormat="1" applyFont="1" applyBorder="1"/>
    <xf numFmtId="0" fontId="127" fillId="57" borderId="0" xfId="0" applyFont="1" applyFill="1"/>
    <xf numFmtId="0" fontId="71" fillId="57" borderId="178" xfId="0" applyFont="1" applyFill="1" applyBorder="1"/>
    <xf numFmtId="0" fontId="104" fillId="57" borderId="179" xfId="0" applyFont="1" applyFill="1" applyBorder="1"/>
    <xf numFmtId="0" fontId="41" fillId="57" borderId="179" xfId="0" applyFont="1" applyFill="1" applyBorder="1"/>
    <xf numFmtId="0" fontId="41" fillId="57" borderId="180" xfId="0" applyFont="1" applyFill="1" applyBorder="1"/>
    <xf numFmtId="0" fontId="41" fillId="57" borderId="0" xfId="0" applyFont="1" applyFill="1"/>
    <xf numFmtId="0" fontId="41" fillId="57" borderId="181" xfId="0" applyFont="1" applyFill="1" applyBorder="1"/>
    <xf numFmtId="0" fontId="41" fillId="57" borderId="5" xfId="0" applyFont="1" applyFill="1" applyBorder="1"/>
    <xf numFmtId="9" fontId="41" fillId="57" borderId="5" xfId="53" applyFont="1" applyFill="1" applyBorder="1"/>
    <xf numFmtId="0" fontId="41" fillId="57" borderId="182" xfId="0" applyFont="1" applyFill="1" applyBorder="1"/>
    <xf numFmtId="9" fontId="41" fillId="57" borderId="5" xfId="0" applyNumberFormat="1" applyFont="1" applyFill="1" applyBorder="1"/>
    <xf numFmtId="9" fontId="41" fillId="57" borderId="5" xfId="53" applyFont="1" applyFill="1" applyBorder="1" applyAlignment="1">
      <alignment horizontal="right"/>
    </xf>
    <xf numFmtId="165" fontId="41" fillId="57" borderId="0" xfId="1" applyFont="1" applyFill="1"/>
    <xf numFmtId="0" fontId="71" fillId="57" borderId="181" xfId="0" applyFont="1" applyFill="1" applyBorder="1"/>
    <xf numFmtId="0" fontId="104" fillId="57" borderId="5" xfId="0" applyFont="1" applyFill="1" applyBorder="1"/>
    <xf numFmtId="9" fontId="41" fillId="57" borderId="182" xfId="0" applyNumberFormat="1" applyFont="1" applyFill="1" applyBorder="1"/>
    <xf numFmtId="0" fontId="71" fillId="57" borderId="0" xfId="0" applyFont="1" applyFill="1"/>
    <xf numFmtId="186" fontId="41" fillId="57" borderId="0" xfId="0" applyNumberFormat="1" applyFont="1" applyFill="1"/>
    <xf numFmtId="168" fontId="41" fillId="57" borderId="0" xfId="0" applyNumberFormat="1" applyFont="1" applyFill="1"/>
    <xf numFmtId="0" fontId="71" fillId="57" borderId="5" xfId="0" applyFont="1" applyFill="1" applyBorder="1"/>
    <xf numFmtId="0" fontId="103" fillId="57" borderId="5" xfId="0" applyFont="1" applyFill="1" applyBorder="1"/>
    <xf numFmtId="0" fontId="104" fillId="57" borderId="182" xfId="0" applyFont="1" applyFill="1" applyBorder="1"/>
    <xf numFmtId="0" fontId="41" fillId="57" borderId="5" xfId="0" applyFont="1" applyFill="1" applyBorder="1" applyAlignment="1">
      <alignment horizontal="right"/>
    </xf>
    <xf numFmtId="10" fontId="41" fillId="57" borderId="182" xfId="0" applyNumberFormat="1" applyFont="1" applyFill="1" applyBorder="1"/>
    <xf numFmtId="0" fontId="104" fillId="57" borderId="0" xfId="0" applyFont="1" applyFill="1"/>
    <xf numFmtId="10" fontId="41" fillId="57" borderId="5" xfId="0" applyNumberFormat="1" applyFont="1" applyFill="1" applyBorder="1"/>
    <xf numFmtId="0" fontId="41" fillId="57" borderId="183" xfId="0" applyFont="1" applyFill="1" applyBorder="1"/>
    <xf numFmtId="0" fontId="41" fillId="57" borderId="184" xfId="0" applyFont="1" applyFill="1" applyBorder="1"/>
    <xf numFmtId="10" fontId="41" fillId="57" borderId="184" xfId="0" applyNumberFormat="1" applyFont="1" applyFill="1" applyBorder="1"/>
    <xf numFmtId="0" fontId="41" fillId="57" borderId="185" xfId="0" applyFont="1" applyFill="1" applyBorder="1"/>
    <xf numFmtId="0" fontId="104" fillId="57" borderId="0" xfId="56" applyFont="1" applyFill="1"/>
    <xf numFmtId="0" fontId="104" fillId="57" borderId="70" xfId="0" applyFont="1" applyFill="1" applyBorder="1"/>
    <xf numFmtId="0" fontId="41" fillId="57" borderId="186" xfId="0" applyFont="1" applyFill="1" applyBorder="1"/>
    <xf numFmtId="0" fontId="41" fillId="57" borderId="28" xfId="0" applyFont="1" applyFill="1" applyBorder="1"/>
    <xf numFmtId="10" fontId="41" fillId="57" borderId="28" xfId="0" applyNumberFormat="1" applyFont="1" applyFill="1" applyBorder="1"/>
    <xf numFmtId="0" fontId="41" fillId="57" borderId="72" xfId="0" applyFont="1" applyFill="1" applyBorder="1"/>
    <xf numFmtId="0" fontId="41" fillId="57" borderId="187" xfId="0" applyFont="1" applyFill="1" applyBorder="1"/>
    <xf numFmtId="9" fontId="41" fillId="57" borderId="179" xfId="0" applyNumberFormat="1" applyFont="1" applyFill="1" applyBorder="1"/>
    <xf numFmtId="3" fontId="41" fillId="57" borderId="179" xfId="0" applyNumberFormat="1" applyFont="1" applyFill="1" applyBorder="1"/>
    <xf numFmtId="0" fontId="41" fillId="57" borderId="181" xfId="0" applyFont="1" applyFill="1" applyBorder="1" applyAlignment="1"/>
    <xf numFmtId="9" fontId="41" fillId="57" borderId="5" xfId="53" applyFont="1" applyFill="1" applyBorder="1" applyAlignment="1">
      <alignment horizontal="center"/>
    </xf>
    <xf numFmtId="0" fontId="41" fillId="57" borderId="181" xfId="0" applyFont="1" applyFill="1" applyBorder="1" applyAlignment="1">
      <alignment horizontal="left" indent="1"/>
    </xf>
    <xf numFmtId="0" fontId="71" fillId="57" borderId="181" xfId="0" applyFont="1" applyFill="1" applyBorder="1" applyAlignment="1">
      <alignment horizontal="left"/>
    </xf>
    <xf numFmtId="0" fontId="41" fillId="57" borderId="5" xfId="0" applyFont="1" applyFill="1" applyBorder="1" applyAlignment="1">
      <alignment horizontal="left"/>
    </xf>
    <xf numFmtId="10" fontId="104" fillId="57" borderId="182" xfId="0" applyNumberFormat="1" applyFont="1" applyFill="1" applyBorder="1"/>
    <xf numFmtId="0" fontId="104" fillId="57" borderId="5" xfId="0" applyFont="1" applyFill="1" applyBorder="1" applyAlignment="1">
      <alignment horizontal="right"/>
    </xf>
    <xf numFmtId="9" fontId="104" fillId="57" borderId="5" xfId="53" applyFont="1" applyFill="1" applyBorder="1" applyAlignment="1">
      <alignment horizontal="center"/>
    </xf>
    <xf numFmtId="0" fontId="104" fillId="57" borderId="28" xfId="0" applyFont="1" applyFill="1" applyBorder="1"/>
    <xf numFmtId="0" fontId="41" fillId="57" borderId="6" xfId="0" applyFont="1" applyFill="1" applyBorder="1"/>
    <xf numFmtId="0" fontId="104" fillId="57" borderId="6" xfId="0" applyFont="1" applyFill="1" applyBorder="1"/>
    <xf numFmtId="9" fontId="40" fillId="34" borderId="70" xfId="0" applyNumberFormat="1" applyFont="1" applyFill="1" applyBorder="1" applyAlignment="1">
      <alignment horizontal="center"/>
    </xf>
    <xf numFmtId="9" fontId="40" fillId="34" borderId="71" xfId="0" applyNumberFormat="1" applyFont="1" applyFill="1" applyBorder="1" applyAlignment="1">
      <alignment horizontal="center"/>
    </xf>
    <xf numFmtId="0" fontId="40" fillId="34" borderId="27" xfId="0" applyFont="1" applyFill="1" applyBorder="1"/>
    <xf numFmtId="9" fontId="40" fillId="34" borderId="28" xfId="0" applyNumberFormat="1" applyFont="1" applyFill="1" applyBorder="1" applyAlignment="1">
      <alignment horizontal="center"/>
    </xf>
    <xf numFmtId="9" fontId="40" fillId="34" borderId="72" xfId="0" applyNumberFormat="1" applyFont="1" applyFill="1" applyBorder="1" applyAlignment="1">
      <alignment horizontal="center"/>
    </xf>
    <xf numFmtId="9" fontId="40" fillId="34" borderId="73" xfId="0" applyNumberFormat="1" applyFont="1" applyFill="1" applyBorder="1" applyAlignment="1">
      <alignment horizontal="center"/>
    </xf>
    <xf numFmtId="165" fontId="41" fillId="0" borderId="0" xfId="1" applyFont="1" applyFill="1"/>
    <xf numFmtId="4" fontId="40" fillId="28" borderId="15" xfId="0" applyNumberFormat="1" applyFont="1" applyFill="1" applyBorder="1"/>
    <xf numFmtId="165" fontId="71" fillId="0" borderId="0" xfId="1" applyFont="1" applyFill="1"/>
    <xf numFmtId="165" fontId="41" fillId="0" borderId="0" xfId="0" applyNumberFormat="1" applyFont="1" applyFill="1"/>
    <xf numFmtId="43" fontId="41" fillId="0" borderId="0" xfId="0" applyNumberFormat="1" applyFont="1" applyFill="1"/>
    <xf numFmtId="9" fontId="41" fillId="0" borderId="0" xfId="53" applyFont="1" applyFill="1"/>
    <xf numFmtId="3" fontId="71" fillId="0" borderId="0" xfId="0" applyNumberFormat="1" applyFont="1" applyFill="1"/>
    <xf numFmtId="43" fontId="71" fillId="0" borderId="0" xfId="0" applyNumberFormat="1" applyFont="1" applyFill="1"/>
    <xf numFmtId="3" fontId="39" fillId="59" borderId="49" xfId="0" applyNumberFormat="1" applyFont="1" applyFill="1" applyBorder="1" applyAlignment="1">
      <alignment horizontal="right"/>
    </xf>
    <xf numFmtId="3" fontId="40" fillId="59" borderId="15" xfId="0" applyNumberFormat="1" applyFont="1" applyFill="1" applyBorder="1"/>
    <xf numFmtId="178" fontId="41" fillId="0" borderId="0" xfId="0" applyNumberFormat="1" applyFont="1" applyFill="1"/>
    <xf numFmtId="0" fontId="121" fillId="0" borderId="175" xfId="0" applyFont="1" applyBorder="1" applyAlignment="1">
      <alignment horizontal="center" vertical="center" wrapText="1"/>
    </xf>
    <xf numFmtId="0" fontId="121" fillId="0" borderId="176" xfId="0" applyFont="1" applyBorder="1" applyAlignment="1">
      <alignment horizontal="center" vertical="center" wrapText="1"/>
    </xf>
    <xf numFmtId="0" fontId="121" fillId="0" borderId="177" xfId="0" applyFont="1" applyBorder="1" applyAlignment="1">
      <alignment horizontal="center" vertical="center" wrapText="1"/>
    </xf>
    <xf numFmtId="0" fontId="119" fillId="53" borderId="84" xfId="0" applyFont="1" applyFill="1" applyBorder="1" applyAlignment="1">
      <alignment horizontal="center" vertical="center" wrapText="1"/>
    </xf>
    <xf numFmtId="0" fontId="119" fillId="53" borderId="85" xfId="0" applyFont="1" applyFill="1" applyBorder="1" applyAlignment="1">
      <alignment horizontal="center" vertical="center" wrapText="1"/>
    </xf>
    <xf numFmtId="0" fontId="119" fillId="53" borderId="86" xfId="0" applyFont="1" applyFill="1" applyBorder="1" applyAlignment="1">
      <alignment horizontal="center" vertical="center" wrapText="1"/>
    </xf>
    <xf numFmtId="0" fontId="123" fillId="0" borderId="84" xfId="0" applyFont="1" applyBorder="1" applyAlignment="1">
      <alignment horizontal="center" vertical="center" wrapText="1"/>
    </xf>
    <xf numFmtId="0" fontId="123" fillId="0" borderId="85" xfId="0" applyFont="1" applyBorder="1" applyAlignment="1">
      <alignment horizontal="center" vertical="center" wrapText="1"/>
    </xf>
    <xf numFmtId="0" fontId="123" fillId="0" borderId="86" xfId="0" applyFont="1" applyBorder="1" applyAlignment="1">
      <alignment horizontal="center" vertical="center" wrapText="1"/>
    </xf>
    <xf numFmtId="0" fontId="125" fillId="55" borderId="84" xfId="0" applyFont="1" applyFill="1" applyBorder="1" applyAlignment="1">
      <alignment horizontal="center" vertical="center" wrapText="1"/>
    </xf>
    <xf numFmtId="0" fontId="125" fillId="55" borderId="85" xfId="0" applyFont="1" applyFill="1" applyBorder="1" applyAlignment="1">
      <alignment horizontal="center" vertical="center" wrapText="1"/>
    </xf>
    <xf numFmtId="0" fontId="125" fillId="55" borderId="86" xfId="0" applyFont="1" applyFill="1" applyBorder="1" applyAlignment="1">
      <alignment horizontal="center" vertical="center" wrapText="1"/>
    </xf>
    <xf numFmtId="0" fontId="122" fillId="51" borderId="84" xfId="0" applyFont="1" applyFill="1" applyBorder="1" applyAlignment="1">
      <alignment horizontal="center" vertical="center" wrapText="1"/>
    </xf>
    <xf numFmtId="0" fontId="122" fillId="51" borderId="85" xfId="0" applyFont="1" applyFill="1" applyBorder="1" applyAlignment="1">
      <alignment horizontal="center" vertical="center" wrapText="1"/>
    </xf>
    <xf numFmtId="0" fontId="122" fillId="51" borderId="86" xfId="0" applyFont="1" applyFill="1" applyBorder="1" applyAlignment="1">
      <alignment horizontal="center" vertical="center" wrapText="1"/>
    </xf>
    <xf numFmtId="0" fontId="122" fillId="52" borderId="84" xfId="0" applyFont="1" applyFill="1" applyBorder="1" applyAlignment="1">
      <alignment horizontal="center" vertical="center" wrapText="1"/>
    </xf>
    <xf numFmtId="0" fontId="122" fillId="52" borderId="85" xfId="0" applyFont="1" applyFill="1" applyBorder="1" applyAlignment="1">
      <alignment horizontal="center" vertical="center" wrapText="1"/>
    </xf>
    <xf numFmtId="0" fontId="122" fillId="52" borderId="86" xfId="0" applyFont="1" applyFill="1" applyBorder="1" applyAlignment="1">
      <alignment horizontal="center" vertical="center" wrapText="1"/>
    </xf>
    <xf numFmtId="0" fontId="121" fillId="0" borderId="129" xfId="0" applyFont="1" applyBorder="1" applyAlignment="1">
      <alignment horizontal="center" vertical="center" wrapText="1"/>
    </xf>
    <xf numFmtId="0" fontId="121" fillId="0" borderId="172" xfId="0" applyFont="1" applyBorder="1" applyAlignment="1">
      <alignment horizontal="center" vertical="center" wrapText="1"/>
    </xf>
    <xf numFmtId="0" fontId="120" fillId="52" borderId="153" xfId="0" applyFont="1" applyFill="1" applyBorder="1" applyAlignment="1">
      <alignment horizontal="center" vertical="center" wrapText="1"/>
    </xf>
    <xf numFmtId="0" fontId="120" fillId="52" borderId="167" xfId="0" applyFont="1" applyFill="1" applyBorder="1" applyAlignment="1">
      <alignment horizontal="center" vertical="center" wrapText="1"/>
    </xf>
    <xf numFmtId="0" fontId="120" fillId="52" borderId="128" xfId="0" applyFont="1" applyFill="1" applyBorder="1" applyAlignment="1">
      <alignment horizontal="center" vertical="center" wrapText="1"/>
    </xf>
    <xf numFmtId="0" fontId="120" fillId="52" borderId="157" xfId="0" applyFont="1" applyFill="1" applyBorder="1" applyAlignment="1">
      <alignment horizontal="center" vertical="center" wrapText="1"/>
    </xf>
    <xf numFmtId="0" fontId="120" fillId="52" borderId="158" xfId="0" applyFont="1" applyFill="1" applyBorder="1" applyAlignment="1">
      <alignment horizontal="center" vertical="center" wrapText="1"/>
    </xf>
    <xf numFmtId="0" fontId="120" fillId="35" borderId="97" xfId="0" applyFont="1" applyFill="1" applyBorder="1" applyAlignment="1">
      <alignment horizontal="center" vertical="center" wrapText="1"/>
    </xf>
    <xf numFmtId="0" fontId="120" fillId="35" borderId="159" xfId="0" applyFont="1" applyFill="1" applyBorder="1" applyAlignment="1">
      <alignment horizontal="center" vertical="center" wrapText="1"/>
    </xf>
    <xf numFmtId="0" fontId="120" fillId="52" borderId="84" xfId="0" applyFont="1" applyFill="1" applyBorder="1" applyAlignment="1">
      <alignment horizontal="center" vertical="center" wrapText="1"/>
    </xf>
    <xf numFmtId="0" fontId="120" fillId="52" borderId="85" xfId="0" applyFont="1" applyFill="1" applyBorder="1" applyAlignment="1">
      <alignment horizontal="center" vertical="center" wrapText="1"/>
    </xf>
    <xf numFmtId="0" fontId="120" fillId="52" borderId="174" xfId="0" applyFont="1" applyFill="1" applyBorder="1" applyAlignment="1">
      <alignment horizontal="center" vertical="center" wrapText="1"/>
    </xf>
    <xf numFmtId="0" fontId="120" fillId="52" borderId="106" xfId="0" applyFont="1" applyFill="1" applyBorder="1" applyAlignment="1">
      <alignment horizontal="center" vertical="center" wrapText="1"/>
    </xf>
    <xf numFmtId="0" fontId="120" fillId="52" borderId="86" xfId="0" applyFont="1" applyFill="1" applyBorder="1" applyAlignment="1">
      <alignment horizontal="center" vertical="center" wrapText="1"/>
    </xf>
    <xf numFmtId="0" fontId="120" fillId="46" borderId="89" xfId="0" applyFont="1" applyFill="1" applyBorder="1" applyAlignment="1">
      <alignment horizontal="center" vertical="center" wrapText="1"/>
    </xf>
    <xf numFmtId="0" fontId="120" fillId="46" borderId="90" xfId="0" applyFont="1" applyFill="1" applyBorder="1" applyAlignment="1">
      <alignment horizontal="center" vertical="center" wrapText="1"/>
    </xf>
    <xf numFmtId="0" fontId="119" fillId="28" borderId="87" xfId="0" applyFont="1" applyFill="1" applyBorder="1" applyAlignment="1">
      <alignment horizontal="center" vertical="center" wrapText="1"/>
    </xf>
    <xf numFmtId="0" fontId="119" fillId="28" borderId="55" xfId="0" applyFont="1" applyFill="1" applyBorder="1" applyAlignment="1">
      <alignment horizontal="center" vertical="center" wrapText="1"/>
    </xf>
    <xf numFmtId="0" fontId="119" fillId="28" borderId="88" xfId="0" applyFont="1" applyFill="1" applyBorder="1" applyAlignment="1">
      <alignment horizontal="center" vertical="center" wrapText="1"/>
    </xf>
    <xf numFmtId="0" fontId="119" fillId="28" borderId="91" xfId="0" applyFont="1" applyFill="1" applyBorder="1" applyAlignment="1">
      <alignment horizontal="center" vertical="center" wrapText="1"/>
    </xf>
    <xf numFmtId="0" fontId="119" fillId="28" borderId="92" xfId="0" applyFont="1" applyFill="1" applyBorder="1" applyAlignment="1">
      <alignment horizontal="center" vertical="center" wrapText="1"/>
    </xf>
    <xf numFmtId="0" fontId="119" fillId="28" borderId="93" xfId="0" applyFont="1" applyFill="1" applyBorder="1" applyAlignment="1">
      <alignment horizontal="center" vertical="center" wrapText="1"/>
    </xf>
    <xf numFmtId="0" fontId="119" fillId="54" borderId="87" xfId="0" applyFont="1" applyFill="1" applyBorder="1" applyAlignment="1">
      <alignment horizontal="center" vertical="center" wrapText="1"/>
    </xf>
    <xf numFmtId="0" fontId="119" fillId="54" borderId="55" xfId="0" applyFont="1" applyFill="1" applyBorder="1" applyAlignment="1">
      <alignment horizontal="center" vertical="center" wrapText="1"/>
    </xf>
    <xf numFmtId="0" fontId="119" fillId="54" borderId="88" xfId="0" applyFont="1" applyFill="1" applyBorder="1" applyAlignment="1">
      <alignment horizontal="center" vertical="center" wrapText="1"/>
    </xf>
    <xf numFmtId="0" fontId="119" fillId="54" borderId="91" xfId="0" applyFont="1" applyFill="1" applyBorder="1" applyAlignment="1">
      <alignment horizontal="center" vertical="center" wrapText="1"/>
    </xf>
    <xf numFmtId="0" fontId="119" fillId="54" borderId="92" xfId="0" applyFont="1" applyFill="1" applyBorder="1" applyAlignment="1">
      <alignment horizontal="center" vertical="center" wrapText="1"/>
    </xf>
    <xf numFmtId="0" fontId="119" fillId="54" borderId="93" xfId="0" applyFont="1" applyFill="1" applyBorder="1" applyAlignment="1">
      <alignment horizontal="center" vertical="center" wrapText="1"/>
    </xf>
    <xf numFmtId="0" fontId="120" fillId="52" borderId="105" xfId="0" applyFont="1" applyFill="1" applyBorder="1" applyAlignment="1">
      <alignment horizontal="center" vertical="center" wrapText="1"/>
    </xf>
    <xf numFmtId="0" fontId="120" fillId="52" borderId="147" xfId="0" applyFont="1" applyFill="1" applyBorder="1" applyAlignment="1">
      <alignment horizontal="center" vertical="center" wrapText="1"/>
    </xf>
    <xf numFmtId="0" fontId="3" fillId="52" borderId="55" xfId="0" applyFont="1" applyFill="1" applyBorder="1" applyAlignment="1">
      <alignment horizontal="center" vertical="center" wrapText="1"/>
    </xf>
    <xf numFmtId="0" fontId="3" fillId="52" borderId="56" xfId="0" applyFont="1" applyFill="1" applyBorder="1" applyAlignment="1">
      <alignment horizontal="center" vertical="center" wrapText="1"/>
    </xf>
    <xf numFmtId="0" fontId="3" fillId="52" borderId="92" xfId="0" applyFont="1" applyFill="1" applyBorder="1" applyAlignment="1">
      <alignment horizontal="center" vertical="center" wrapText="1"/>
    </xf>
    <xf numFmtId="0" fontId="3" fillId="52" borderId="151" xfId="0" applyFont="1" applyFill="1" applyBorder="1" applyAlignment="1">
      <alignment horizontal="center" vertical="center" wrapText="1"/>
    </xf>
    <xf numFmtId="0" fontId="3" fillId="52" borderId="54" xfId="0" applyFont="1" applyFill="1" applyBorder="1" applyAlignment="1">
      <alignment horizontal="center" vertical="center" wrapText="1"/>
    </xf>
    <xf numFmtId="0" fontId="3" fillId="52" borderId="88" xfId="0" applyFont="1" applyFill="1" applyBorder="1" applyAlignment="1">
      <alignment horizontal="center" vertical="center" wrapText="1"/>
    </xf>
    <xf numFmtId="0" fontId="3" fillId="52" borderId="163" xfId="0" applyFont="1" applyFill="1" applyBorder="1" applyAlignment="1">
      <alignment horizontal="center" vertical="center" wrapText="1"/>
    </xf>
    <xf numFmtId="0" fontId="3" fillId="52" borderId="93" xfId="0" applyFont="1" applyFill="1" applyBorder="1" applyAlignment="1">
      <alignment horizontal="center" vertical="center" wrapText="1"/>
    </xf>
    <xf numFmtId="0" fontId="120" fillId="46" borderId="88" xfId="0" applyFont="1" applyFill="1" applyBorder="1" applyAlignment="1">
      <alignment horizontal="center" vertical="center" textRotation="90" wrapText="1"/>
    </xf>
    <xf numFmtId="0" fontId="120" fillId="46" borderId="90" xfId="0" applyFont="1" applyFill="1" applyBorder="1" applyAlignment="1">
      <alignment horizontal="center" vertical="center" textRotation="90" wrapText="1"/>
    </xf>
    <xf numFmtId="0" fontId="120" fillId="46" borderId="170" xfId="0" applyFont="1" applyFill="1" applyBorder="1" applyAlignment="1">
      <alignment horizontal="center" vertical="center" textRotation="90" wrapText="1"/>
    </xf>
    <xf numFmtId="0" fontId="120" fillId="46" borderId="172" xfId="0" applyFont="1" applyFill="1" applyBorder="1" applyAlignment="1">
      <alignment horizontal="center" vertical="center" textRotation="90" wrapText="1"/>
    </xf>
    <xf numFmtId="0" fontId="3" fillId="51" borderId="98" xfId="0" applyFont="1" applyFill="1" applyBorder="1" applyAlignment="1">
      <alignment horizontal="center" vertical="center" wrapText="1"/>
    </xf>
    <xf numFmtId="0" fontId="3" fillId="51" borderId="99" xfId="0" applyFont="1" applyFill="1" applyBorder="1" applyAlignment="1">
      <alignment horizontal="center" vertical="center" wrapText="1"/>
    </xf>
    <xf numFmtId="0" fontId="3" fillId="52" borderId="98" xfId="0" applyFont="1" applyFill="1" applyBorder="1" applyAlignment="1">
      <alignment horizontal="center" vertical="center" wrapText="1"/>
    </xf>
    <xf numFmtId="0" fontId="3" fillId="52" borderId="99" xfId="0" applyFont="1" applyFill="1" applyBorder="1" applyAlignment="1">
      <alignment horizontal="center" vertical="center" wrapText="1"/>
    </xf>
    <xf numFmtId="0" fontId="120" fillId="52" borderId="168" xfId="0" applyFont="1" applyFill="1" applyBorder="1" applyAlignment="1">
      <alignment horizontal="center" vertical="center" wrapText="1"/>
    </xf>
    <xf numFmtId="0" fontId="120" fillId="52" borderId="171" xfId="0" applyFont="1" applyFill="1" applyBorder="1" applyAlignment="1">
      <alignment horizontal="center" vertical="center" wrapText="1"/>
    </xf>
    <xf numFmtId="0" fontId="120" fillId="53" borderId="2" xfId="0" applyFont="1" applyFill="1" applyBorder="1" applyAlignment="1">
      <alignment horizontal="center" vertical="center" wrapText="1"/>
    </xf>
    <xf numFmtId="0" fontId="120" fillId="53" borderId="3" xfId="0" applyFont="1" applyFill="1" applyBorder="1" applyAlignment="1">
      <alignment horizontal="center" vertical="center" wrapText="1"/>
    </xf>
    <xf numFmtId="0" fontId="120" fillId="53" borderId="4" xfId="0" applyFont="1" applyFill="1" applyBorder="1" applyAlignment="1">
      <alignment horizontal="center" vertical="center" wrapText="1"/>
    </xf>
    <xf numFmtId="0" fontId="120" fillId="35" borderId="4" xfId="0" applyFont="1" applyFill="1" applyBorder="1" applyAlignment="1">
      <alignment horizontal="center" vertical="center" wrapText="1"/>
    </xf>
    <xf numFmtId="0" fontId="120" fillId="35" borderId="1" xfId="0" applyFont="1" applyFill="1" applyBorder="1" applyAlignment="1">
      <alignment horizontal="center" vertical="center" wrapText="1"/>
    </xf>
    <xf numFmtId="0" fontId="120" fillId="35" borderId="95" xfId="0" applyFont="1" applyFill="1" applyBorder="1" applyAlignment="1">
      <alignment horizontal="center" vertical="center" wrapText="1"/>
    </xf>
    <xf numFmtId="0" fontId="120" fillId="53" borderId="173" xfId="0" applyFont="1" applyFill="1" applyBorder="1" applyAlignment="1">
      <alignment horizontal="center" vertical="center" wrapText="1"/>
    </xf>
    <xf numFmtId="0" fontId="120" fillId="53" borderId="97" xfId="0" applyFont="1" applyFill="1" applyBorder="1" applyAlignment="1">
      <alignment horizontal="center" vertical="center" wrapText="1"/>
    </xf>
    <xf numFmtId="0" fontId="120" fillId="53" borderId="159" xfId="0" applyFont="1" applyFill="1" applyBorder="1" applyAlignment="1">
      <alignment horizontal="center" vertical="center" wrapText="1"/>
    </xf>
    <xf numFmtId="0" fontId="2" fillId="50" borderId="129" xfId="0" applyFont="1" applyFill="1" applyBorder="1" applyAlignment="1">
      <alignment horizontal="center" vertical="center" wrapText="1"/>
    </xf>
    <xf numFmtId="0" fontId="2" fillId="50" borderId="170" xfId="0" applyFont="1" applyFill="1" applyBorder="1" applyAlignment="1">
      <alignment horizontal="center" vertical="center" wrapText="1"/>
    </xf>
    <xf numFmtId="0" fontId="2" fillId="50" borderId="172" xfId="0" applyFont="1" applyFill="1" applyBorder="1" applyAlignment="1">
      <alignment horizontal="center" vertical="center" wrapText="1"/>
    </xf>
    <xf numFmtId="0" fontId="121" fillId="0" borderId="89" xfId="0" applyFont="1" applyBorder="1" applyAlignment="1">
      <alignment horizontal="center" vertical="center" wrapText="1"/>
    </xf>
    <xf numFmtId="0" fontId="121" fillId="0" borderId="170" xfId="0" applyFont="1" applyBorder="1" applyAlignment="1">
      <alignment horizontal="center" vertical="center" wrapText="1"/>
    </xf>
    <xf numFmtId="0" fontId="120" fillId="51" borderId="87" xfId="0" applyFont="1" applyFill="1" applyBorder="1" applyAlignment="1">
      <alignment horizontal="center" vertical="center" wrapText="1"/>
    </xf>
    <xf numFmtId="0" fontId="120" fillId="51" borderId="55" xfId="0" applyFont="1" applyFill="1" applyBorder="1" applyAlignment="1">
      <alignment horizontal="center" vertical="center" wrapText="1"/>
    </xf>
    <xf numFmtId="0" fontId="120" fillId="51" borderId="56" xfId="0" applyFont="1" applyFill="1" applyBorder="1" applyAlignment="1">
      <alignment horizontal="center" vertical="center" wrapText="1"/>
    </xf>
    <xf numFmtId="0" fontId="121" fillId="49" borderId="84" xfId="0" applyFont="1" applyFill="1" applyBorder="1" applyAlignment="1">
      <alignment horizontal="center" vertical="center" wrapText="1"/>
    </xf>
    <xf numFmtId="0" fontId="121" fillId="49" borderId="85" xfId="0" applyFont="1" applyFill="1" applyBorder="1" applyAlignment="1">
      <alignment horizontal="center" vertical="center" wrapText="1"/>
    </xf>
    <xf numFmtId="0" fontId="121" fillId="49" borderId="86" xfId="0" applyFont="1" applyFill="1" applyBorder="1" applyAlignment="1">
      <alignment horizontal="center" vertical="center" wrapText="1"/>
    </xf>
    <xf numFmtId="0" fontId="2" fillId="50" borderId="88" xfId="0" applyFont="1" applyFill="1" applyBorder="1" applyAlignment="1">
      <alignment horizontal="center" vertical="center" wrapText="1"/>
    </xf>
    <xf numFmtId="0" fontId="2" fillId="50" borderId="90" xfId="0" applyFont="1" applyFill="1" applyBorder="1" applyAlignment="1">
      <alignment horizontal="center" vertical="center" wrapText="1"/>
    </xf>
    <xf numFmtId="0" fontId="3" fillId="0" borderId="87" xfId="0" applyFont="1" applyBorder="1" applyAlignment="1">
      <alignment horizontal="center" vertical="center" wrapText="1"/>
    </xf>
    <xf numFmtId="0" fontId="3" fillId="0" borderId="91" xfId="0" applyFont="1" applyBorder="1" applyAlignment="1">
      <alignment horizontal="center" vertical="center" wrapText="1"/>
    </xf>
    <xf numFmtId="0" fontId="3" fillId="51" borderId="168" xfId="0" applyFont="1" applyFill="1" applyBorder="1" applyAlignment="1">
      <alignment horizontal="center" vertical="center" wrapText="1"/>
    </xf>
    <xf numFmtId="0" fontId="3" fillId="51" borderId="169" xfId="0" applyFont="1" applyFill="1" applyBorder="1" applyAlignment="1">
      <alignment horizontal="center" vertical="center" wrapText="1"/>
    </xf>
    <xf numFmtId="0" fontId="3" fillId="51" borderId="54" xfId="0" applyFont="1" applyFill="1" applyBorder="1" applyAlignment="1">
      <alignment horizontal="center" vertical="center" wrapText="1"/>
    </xf>
    <xf numFmtId="0" fontId="3" fillId="51" borderId="56" xfId="0" applyFont="1" applyFill="1" applyBorder="1" applyAlignment="1">
      <alignment horizontal="center" vertical="center" wrapText="1"/>
    </xf>
    <xf numFmtId="0" fontId="3" fillId="51" borderId="163" xfId="0" applyFont="1" applyFill="1" applyBorder="1" applyAlignment="1">
      <alignment horizontal="center" vertical="center" wrapText="1"/>
    </xf>
    <xf numFmtId="0" fontId="3" fillId="51" borderId="151" xfId="0" applyFont="1" applyFill="1" applyBorder="1" applyAlignment="1">
      <alignment horizontal="center" vertical="center" wrapText="1"/>
    </xf>
    <xf numFmtId="0" fontId="3" fillId="51" borderId="153" xfId="0" applyFont="1" applyFill="1" applyBorder="1" applyAlignment="1">
      <alignment horizontal="right" vertical="center" wrapText="1"/>
    </xf>
    <xf numFmtId="0" fontId="3" fillId="51" borderId="167" xfId="0" applyFont="1" applyFill="1" applyBorder="1" applyAlignment="1">
      <alignment horizontal="right" vertical="center" wrapText="1"/>
    </xf>
    <xf numFmtId="0" fontId="3" fillId="52" borderId="157" xfId="0" quotePrefix="1" applyFont="1" applyFill="1" applyBorder="1" applyAlignment="1">
      <alignment horizontal="left" vertical="center" wrapText="1"/>
    </xf>
    <xf numFmtId="0" fontId="3" fillId="52" borderId="157" xfId="0" applyFont="1" applyFill="1" applyBorder="1" applyAlignment="1">
      <alignment horizontal="left" vertical="center" wrapText="1"/>
    </xf>
    <xf numFmtId="0" fontId="3" fillId="0" borderId="98" xfId="0" applyFont="1" applyBorder="1" applyAlignment="1">
      <alignment horizontal="center"/>
    </xf>
    <xf numFmtId="0" fontId="3" fillId="0" borderId="99" xfId="0" applyFont="1" applyBorder="1" applyAlignment="1">
      <alignment horizontal="center"/>
    </xf>
    <xf numFmtId="0" fontId="3" fillId="0" borderId="101" xfId="0" applyFont="1" applyBorder="1" applyAlignment="1">
      <alignment horizontal="center"/>
    </xf>
    <xf numFmtId="0" fontId="3" fillId="0" borderId="16" xfId="0" applyFont="1" applyBorder="1" applyAlignment="1">
      <alignment horizontal="center" vertical="center"/>
    </xf>
    <xf numFmtId="0" fontId="3" fillId="0" borderId="36" xfId="0" applyFont="1" applyBorder="1" applyAlignment="1">
      <alignment horizontal="center" vertical="center"/>
    </xf>
    <xf numFmtId="0" fontId="3" fillId="0" borderId="2" xfId="0" applyFont="1" applyBorder="1" applyAlignment="1">
      <alignment horizontal="center"/>
    </xf>
    <xf numFmtId="0" fontId="3" fillId="0" borderId="3" xfId="0" applyFont="1" applyBorder="1" applyAlignment="1">
      <alignment horizontal="center"/>
    </xf>
    <xf numFmtId="0" fontId="3" fillId="0" borderId="100" xfId="0" applyFont="1" applyBorder="1" applyAlignment="1">
      <alignment horizontal="center"/>
    </xf>
    <xf numFmtId="0" fontId="3" fillId="33" borderId="106" xfId="0" applyFont="1" applyFill="1" applyBorder="1" applyAlignment="1">
      <alignment horizontal="center"/>
    </xf>
    <xf numFmtId="0" fontId="3" fillId="33" borderId="86" xfId="0" applyFont="1" applyFill="1" applyBorder="1" applyAlignment="1">
      <alignment horizontal="center"/>
    </xf>
    <xf numFmtId="0" fontId="3" fillId="0" borderId="127" xfId="0" applyFont="1" applyBorder="1" applyAlignment="1">
      <alignment horizontal="center" vertical="center" wrapText="1"/>
    </xf>
    <xf numFmtId="0" fontId="3" fillId="0" borderId="190" xfId="0" applyFont="1" applyBorder="1" applyAlignment="1">
      <alignment horizontal="center" vertical="center" wrapText="1"/>
    </xf>
    <xf numFmtId="0" fontId="3" fillId="0" borderId="193" xfId="0" applyFont="1" applyBorder="1" applyAlignment="1">
      <alignment horizontal="center" vertical="center" wrapText="1"/>
    </xf>
    <xf numFmtId="0" fontId="3" fillId="0" borderId="188" xfId="0" applyFont="1" applyBorder="1" applyAlignment="1">
      <alignment horizontal="right" vertical="center"/>
    </xf>
    <xf numFmtId="0" fontId="3" fillId="0" borderId="189" xfId="0" applyFont="1" applyBorder="1" applyAlignment="1">
      <alignment horizontal="right" vertical="center"/>
    </xf>
    <xf numFmtId="0" fontId="3" fillId="0" borderId="191" xfId="0" applyFont="1" applyBorder="1" applyAlignment="1">
      <alignment horizontal="right" vertical="center"/>
    </xf>
    <xf numFmtId="0" fontId="3" fillId="0" borderId="192" xfId="0" applyFont="1" applyBorder="1" applyAlignment="1">
      <alignment horizontal="right" vertical="center"/>
    </xf>
    <xf numFmtId="0" fontId="132" fillId="0" borderId="2" xfId="0" applyFont="1" applyBorder="1" applyAlignment="1">
      <alignment horizontal="center" vertical="center"/>
    </xf>
    <xf numFmtId="0" fontId="132" fillId="0" borderId="100" xfId="0" applyFont="1" applyBorder="1" applyAlignment="1">
      <alignment horizontal="center" vertical="center"/>
    </xf>
    <xf numFmtId="0" fontId="3" fillId="0" borderId="194" xfId="0" applyFont="1" applyBorder="1" applyAlignment="1">
      <alignment horizontal="right" vertical="center"/>
    </xf>
    <xf numFmtId="0" fontId="121" fillId="0" borderId="196" xfId="0" applyFont="1" applyBorder="1" applyAlignment="1">
      <alignment horizontal="center"/>
    </xf>
    <xf numFmtId="0" fontId="121" fillId="0" borderId="99" xfId="0" applyFont="1" applyBorder="1" applyAlignment="1">
      <alignment horizontal="center"/>
    </xf>
    <xf numFmtId="0" fontId="4" fillId="2" borderId="2" xfId="0" applyFont="1" applyFill="1" applyBorder="1" applyAlignment="1">
      <alignment horizontal="center"/>
    </xf>
    <xf numFmtId="0" fontId="4" fillId="2" borderId="3" xfId="0" applyFont="1" applyFill="1" applyBorder="1" applyAlignment="1">
      <alignment horizontal="center"/>
    </xf>
    <xf numFmtId="0" fontId="4" fillId="2" borderId="4" xfId="0" applyFont="1" applyFill="1" applyBorder="1" applyAlignment="1">
      <alignment horizontal="center"/>
    </xf>
    <xf numFmtId="0" fontId="128" fillId="57" borderId="84" xfId="0" applyFont="1" applyFill="1" applyBorder="1" applyAlignment="1">
      <alignment horizontal="center" vertical="center"/>
    </xf>
    <xf numFmtId="0" fontId="128" fillId="57" borderId="85" xfId="0" applyFont="1" applyFill="1" applyBorder="1" applyAlignment="1">
      <alignment horizontal="center" vertical="center"/>
    </xf>
    <xf numFmtId="0" fontId="128" fillId="57" borderId="86" xfId="0" applyFont="1" applyFill="1" applyBorder="1" applyAlignment="1">
      <alignment horizontal="center" vertical="center"/>
    </xf>
    <xf numFmtId="9" fontId="12" fillId="0" borderId="51" xfId="0" applyNumberFormat="1" applyFont="1" applyFill="1" applyBorder="1" applyAlignment="1">
      <alignment horizontal="center" vertical="center"/>
    </xf>
    <xf numFmtId="9" fontId="12" fillId="0" borderId="41" xfId="0" applyNumberFormat="1" applyFont="1" applyFill="1" applyBorder="1" applyAlignment="1">
      <alignment horizontal="center" vertical="center"/>
    </xf>
    <xf numFmtId="9" fontId="12" fillId="0" borderId="50" xfId="0" applyNumberFormat="1" applyFont="1" applyFill="1" applyBorder="1" applyAlignment="1">
      <alignment horizontal="center" vertical="center"/>
    </xf>
    <xf numFmtId="9" fontId="12" fillId="0" borderId="52" xfId="0" applyNumberFormat="1" applyFont="1" applyFill="1" applyBorder="1" applyAlignment="1">
      <alignment horizontal="center" vertical="center"/>
    </xf>
    <xf numFmtId="9" fontId="12" fillId="0" borderId="42" xfId="0" applyNumberFormat="1" applyFont="1" applyFill="1" applyBorder="1" applyAlignment="1">
      <alignment horizontal="center" vertical="center"/>
    </xf>
    <xf numFmtId="9" fontId="12" fillId="0" borderId="45" xfId="0" applyNumberFormat="1" applyFont="1" applyFill="1" applyBorder="1" applyAlignment="1">
      <alignment horizontal="center" vertical="center"/>
    </xf>
    <xf numFmtId="9" fontId="12" fillId="0" borderId="53" xfId="0" applyNumberFormat="1" applyFont="1" applyFill="1" applyBorder="1" applyAlignment="1">
      <alignment horizontal="center" vertical="center"/>
    </xf>
    <xf numFmtId="9" fontId="12" fillId="0" borderId="43" xfId="0" applyNumberFormat="1" applyFont="1" applyFill="1" applyBorder="1" applyAlignment="1">
      <alignment horizontal="center" vertical="center"/>
    </xf>
    <xf numFmtId="9" fontId="12" fillId="0" borderId="46" xfId="0" applyNumberFormat="1" applyFont="1" applyFill="1" applyBorder="1" applyAlignment="1">
      <alignment horizontal="center" vertical="center"/>
    </xf>
    <xf numFmtId="0" fontId="97" fillId="0" borderId="2" xfId="0" applyFont="1" applyFill="1" applyBorder="1" applyAlignment="1">
      <alignment horizontal="left"/>
    </xf>
    <xf numFmtId="0" fontId="97" fillId="0" borderId="3" xfId="0" applyFont="1" applyFill="1" applyBorder="1" applyAlignment="1">
      <alignment horizontal="left"/>
    </xf>
    <xf numFmtId="0" fontId="13" fillId="0" borderId="0" xfId="0" applyFont="1" applyFill="1" applyAlignment="1">
      <alignment horizontal="center"/>
    </xf>
    <xf numFmtId="0" fontId="15" fillId="0" borderId="17" xfId="0" applyFont="1" applyFill="1" applyBorder="1" applyAlignment="1">
      <alignment horizontal="center" vertical="center" wrapText="1"/>
    </xf>
    <xf numFmtId="0" fontId="15" fillId="0" borderId="35" xfId="0" applyFont="1" applyFill="1" applyBorder="1" applyAlignment="1">
      <alignment horizontal="center" vertical="center" wrapText="1"/>
    </xf>
    <xf numFmtId="0" fontId="15" fillId="0" borderId="37"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5" fillId="0" borderId="0" xfId="0" applyFont="1" applyFill="1" applyAlignment="1">
      <alignment horizontal="center" vertical="center" wrapText="1"/>
    </xf>
    <xf numFmtId="0" fontId="15" fillId="0" borderId="15"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36" xfId="0" applyFont="1" applyFill="1" applyBorder="1" applyAlignment="1">
      <alignment horizontal="center" vertical="center" wrapText="1"/>
    </xf>
    <xf numFmtId="0" fontId="15" fillId="0" borderId="38" xfId="0" applyFont="1" applyFill="1" applyBorder="1" applyAlignment="1">
      <alignment horizontal="center" vertical="center" wrapText="1"/>
    </xf>
    <xf numFmtId="0" fontId="71" fillId="0" borderId="84" xfId="0" applyFont="1" applyFill="1" applyBorder="1" applyAlignment="1">
      <alignment horizontal="center"/>
    </xf>
    <xf numFmtId="0" fontId="71" fillId="0" borderId="85" xfId="0" applyFont="1" applyFill="1" applyBorder="1" applyAlignment="1">
      <alignment horizontal="center"/>
    </xf>
    <xf numFmtId="0" fontId="71" fillId="0" borderId="86" xfId="0" applyFont="1" applyFill="1" applyBorder="1" applyAlignment="1">
      <alignment horizontal="center"/>
    </xf>
    <xf numFmtId="0" fontId="97" fillId="0" borderId="0" xfId="0" applyFont="1" applyFill="1" applyBorder="1" applyAlignment="1">
      <alignment horizontal="left"/>
    </xf>
    <xf numFmtId="0" fontId="97" fillId="0" borderId="4" xfId="0" applyFont="1" applyFill="1" applyBorder="1" applyAlignment="1">
      <alignment horizontal="left"/>
    </xf>
    <xf numFmtId="0" fontId="97" fillId="0" borderId="2" xfId="0" applyFont="1" applyFill="1" applyBorder="1" applyAlignment="1"/>
    <xf numFmtId="0" fontId="97" fillId="0" borderId="3" xfId="0" applyFont="1" applyFill="1" applyBorder="1" applyAlignment="1"/>
    <xf numFmtId="0" fontId="71" fillId="0" borderId="87" xfId="0" applyFont="1" applyFill="1" applyBorder="1" applyAlignment="1">
      <alignment horizontal="center" vertical="center"/>
    </xf>
    <xf numFmtId="0" fontId="71" fillId="0" borderId="55" xfId="0" applyFont="1" applyFill="1" applyBorder="1" applyAlignment="1">
      <alignment horizontal="center" vertical="center"/>
    </xf>
    <xf numFmtId="0" fontId="71" fillId="0" borderId="88" xfId="0" applyFont="1" applyFill="1" applyBorder="1" applyAlignment="1">
      <alignment horizontal="center" vertical="center"/>
    </xf>
    <xf numFmtId="0" fontId="71" fillId="0" borderId="91" xfId="0" applyFont="1" applyFill="1" applyBorder="1" applyAlignment="1">
      <alignment horizontal="center" vertical="center"/>
    </xf>
    <xf numFmtId="0" fontId="71" fillId="0" borderId="92" xfId="0" applyFont="1" applyFill="1" applyBorder="1" applyAlignment="1">
      <alignment horizontal="center" vertical="center"/>
    </xf>
    <xf numFmtId="0" fontId="71" fillId="0" borderId="93" xfId="0" applyFont="1" applyFill="1" applyBorder="1" applyAlignment="1">
      <alignment horizontal="center" vertical="center"/>
    </xf>
    <xf numFmtId="0" fontId="112" fillId="0" borderId="17" xfId="0" applyFont="1" applyFill="1" applyBorder="1" applyAlignment="1">
      <alignment horizontal="center"/>
    </xf>
    <xf numFmtId="0" fontId="112" fillId="0" borderId="35" xfId="0" applyFont="1" applyFill="1" applyBorder="1" applyAlignment="1">
      <alignment horizontal="center"/>
    </xf>
    <xf numFmtId="0" fontId="112" fillId="0" borderId="37" xfId="0" applyFont="1" applyFill="1" applyBorder="1" applyAlignment="1">
      <alignment horizontal="center"/>
    </xf>
    <xf numFmtId="0" fontId="97" fillId="0" borderId="17" xfId="0" applyFont="1" applyFill="1" applyBorder="1" applyAlignment="1">
      <alignment horizontal="center" vertical="center" wrapText="1"/>
    </xf>
    <xf numFmtId="0" fontId="12" fillId="0" borderId="35" xfId="0" applyFont="1" applyFill="1" applyBorder="1" applyAlignment="1">
      <alignment horizontal="center" wrapText="1"/>
    </xf>
    <xf numFmtId="0" fontId="12" fillId="0" borderId="37" xfId="0" applyFont="1" applyFill="1" applyBorder="1" applyAlignment="1">
      <alignment horizontal="center" wrapText="1"/>
    </xf>
    <xf numFmtId="0" fontId="12" fillId="0" borderId="14" xfId="0" applyFont="1" applyFill="1" applyBorder="1" applyAlignment="1">
      <alignment horizontal="center" wrapText="1"/>
    </xf>
    <xf numFmtId="0" fontId="12" fillId="0" borderId="0" xfId="0" applyFont="1" applyFill="1" applyAlignment="1">
      <alignment horizontal="center" wrapText="1"/>
    </xf>
    <xf numFmtId="0" fontId="12" fillId="0" borderId="15" xfId="0" applyFont="1" applyFill="1" applyBorder="1" applyAlignment="1">
      <alignment horizontal="center" wrapText="1"/>
    </xf>
    <xf numFmtId="0" fontId="12" fillId="0" borderId="16" xfId="0" applyFont="1" applyFill="1" applyBorder="1" applyAlignment="1">
      <alignment horizontal="center" wrapText="1"/>
    </xf>
    <xf numFmtId="0" fontId="12" fillId="0" borderId="36" xfId="0" applyFont="1" applyFill="1" applyBorder="1" applyAlignment="1">
      <alignment horizontal="center" wrapText="1"/>
    </xf>
    <xf numFmtId="0" fontId="12" fillId="0" borderId="38" xfId="0" applyFont="1" applyFill="1" applyBorder="1" applyAlignment="1">
      <alignment horizontal="center" wrapText="1"/>
    </xf>
    <xf numFmtId="0" fontId="97" fillId="0" borderId="2" xfId="0" applyFont="1" applyFill="1" applyBorder="1" applyAlignment="1">
      <alignment horizontal="center"/>
    </xf>
    <xf numFmtId="0" fontId="97" fillId="0" borderId="3" xfId="0" applyFont="1" applyFill="1" applyBorder="1" applyAlignment="1">
      <alignment horizontal="center"/>
    </xf>
    <xf numFmtId="0" fontId="97" fillId="0" borderId="4" xfId="0" applyFont="1" applyFill="1" applyBorder="1" applyAlignment="1">
      <alignment horizontal="center"/>
    </xf>
    <xf numFmtId="0" fontId="15" fillId="0" borderId="39" xfId="0" applyFont="1" applyFill="1" applyBorder="1" applyAlignment="1">
      <alignment horizontal="center" vertical="center" wrapText="1"/>
    </xf>
    <xf numFmtId="0" fontId="15" fillId="0" borderId="44" xfId="0" applyFont="1" applyFill="1" applyBorder="1" applyAlignment="1">
      <alignment horizontal="center" vertical="center" wrapText="1"/>
    </xf>
    <xf numFmtId="0" fontId="15" fillId="0" borderId="40" xfId="0" applyFont="1" applyFill="1" applyBorder="1" applyAlignment="1">
      <alignment horizontal="center" vertical="center" wrapText="1"/>
    </xf>
    <xf numFmtId="0" fontId="71" fillId="0" borderId="55" xfId="0" applyFont="1" applyFill="1" applyBorder="1" applyAlignment="1">
      <alignment horizontal="center" wrapText="1"/>
    </xf>
    <xf numFmtId="0" fontId="71" fillId="0" borderId="129" xfId="0" applyFont="1" applyFill="1" applyBorder="1" applyAlignment="1">
      <alignment horizontal="right" vertical="center" wrapText="1"/>
    </xf>
    <xf numFmtId="0" fontId="71" fillId="0" borderId="172" xfId="0" applyFont="1" applyFill="1" applyBorder="1" applyAlignment="1">
      <alignment horizontal="right" vertical="center" wrapText="1"/>
    </xf>
    <xf numFmtId="0" fontId="71" fillId="0" borderId="92" xfId="0" applyFont="1" applyFill="1" applyBorder="1" applyAlignment="1">
      <alignment horizontal="center" wrapText="1"/>
    </xf>
    <xf numFmtId="0" fontId="71" fillId="57" borderId="1" xfId="0" applyFont="1" applyFill="1" applyBorder="1" applyAlignment="1">
      <alignment horizontal="center"/>
    </xf>
    <xf numFmtId="0" fontId="71" fillId="57" borderId="1" xfId="0" applyFont="1" applyFill="1" applyBorder="1" applyAlignment="1">
      <alignment horizontal="right" vertical="center" wrapText="1"/>
    </xf>
    <xf numFmtId="0" fontId="97" fillId="0" borderId="2" xfId="0" applyFont="1" applyFill="1" applyBorder="1" applyAlignment="1">
      <alignment horizontal="left" wrapText="1"/>
    </xf>
    <xf numFmtId="0" fontId="97" fillId="0" borderId="4" xfId="0" applyFont="1" applyFill="1" applyBorder="1" applyAlignment="1">
      <alignment horizontal="left" wrapText="1"/>
    </xf>
    <xf numFmtId="0" fontId="71" fillId="46" borderId="91" xfId="0" applyFont="1" applyFill="1" applyBorder="1" applyAlignment="1">
      <alignment horizontal="center"/>
    </xf>
    <xf numFmtId="0" fontId="71" fillId="46" borderId="92" xfId="0" applyFont="1" applyFill="1" applyBorder="1" applyAlignment="1">
      <alignment horizontal="center"/>
    </xf>
    <xf numFmtId="0" fontId="71" fillId="46" borderId="93" xfId="0" applyFont="1" applyFill="1" applyBorder="1" applyAlignment="1">
      <alignment horizontal="center"/>
    </xf>
    <xf numFmtId="0" fontId="143" fillId="0" borderId="2" xfId="0" applyFont="1" applyFill="1" applyBorder="1" applyAlignment="1">
      <alignment horizontal="left" wrapText="1"/>
    </xf>
    <xf numFmtId="0" fontId="143" fillId="0" borderId="4" xfId="0" applyFont="1" applyFill="1" applyBorder="1" applyAlignment="1">
      <alignment horizontal="left" wrapText="1"/>
    </xf>
    <xf numFmtId="0" fontId="136" fillId="0" borderId="87" xfId="0" applyFont="1" applyFill="1" applyBorder="1" applyAlignment="1">
      <alignment horizontal="center" vertical="center"/>
    </xf>
    <xf numFmtId="0" fontId="136" fillId="0" borderId="55" xfId="0" applyFont="1" applyFill="1" applyBorder="1" applyAlignment="1">
      <alignment horizontal="center" vertical="center"/>
    </xf>
    <xf numFmtId="0" fontId="136" fillId="0" borderId="88" xfId="0" applyFont="1" applyFill="1" applyBorder="1" applyAlignment="1">
      <alignment horizontal="center" vertical="center"/>
    </xf>
    <xf numFmtId="0" fontId="136" fillId="0" borderId="89" xfId="0" applyFont="1" applyFill="1" applyBorder="1" applyAlignment="1">
      <alignment horizontal="center" vertical="center"/>
    </xf>
    <xf numFmtId="0" fontId="136" fillId="0" borderId="0" xfId="0" applyFont="1" applyFill="1" applyBorder="1" applyAlignment="1">
      <alignment horizontal="center" vertical="center"/>
    </xf>
    <xf numFmtId="0" fontId="136" fillId="0" borderId="90" xfId="0" applyFont="1" applyFill="1" applyBorder="1" applyAlignment="1">
      <alignment horizontal="center" vertical="center"/>
    </xf>
    <xf numFmtId="0" fontId="136" fillId="0" borderId="91" xfId="0" applyFont="1" applyFill="1" applyBorder="1" applyAlignment="1">
      <alignment horizontal="center" vertical="center"/>
    </xf>
    <xf numFmtId="0" fontId="136" fillId="0" borderId="92" xfId="0" applyFont="1" applyFill="1" applyBorder="1" applyAlignment="1">
      <alignment horizontal="center" vertical="center"/>
    </xf>
    <xf numFmtId="0" fontId="136" fillId="0" borderId="93" xfId="0" applyFont="1" applyFill="1" applyBorder="1" applyAlignment="1">
      <alignment horizontal="center" vertical="center"/>
    </xf>
    <xf numFmtId="0" fontId="35" fillId="27" borderId="2" xfId="0" applyFont="1" applyFill="1" applyBorder="1" applyAlignment="1">
      <alignment horizontal="center" vertical="center" wrapText="1"/>
    </xf>
    <xf numFmtId="0" fontId="35" fillId="27" borderId="4" xfId="0" applyFont="1" applyFill="1" applyBorder="1" applyAlignment="1">
      <alignment horizontal="center" vertical="center" wrapText="1"/>
    </xf>
    <xf numFmtId="0" fontId="35" fillId="27" borderId="2" xfId="0" applyFont="1" applyFill="1" applyBorder="1" applyAlignment="1">
      <alignment horizontal="center" vertical="center"/>
    </xf>
    <xf numFmtId="0" fontId="35" fillId="27" borderId="4" xfId="0" applyFont="1" applyFill="1" applyBorder="1" applyAlignment="1">
      <alignment horizontal="center" vertical="center"/>
    </xf>
    <xf numFmtId="0" fontId="5" fillId="27" borderId="14" xfId="0" applyFont="1" applyFill="1" applyBorder="1" applyAlignment="1">
      <alignment horizontal="left" vertical="top" wrapText="1"/>
    </xf>
    <xf numFmtId="0" fontId="5" fillId="27" borderId="0" xfId="0" applyFont="1" applyFill="1" applyAlignment="1">
      <alignment horizontal="left" vertical="top" wrapText="1"/>
    </xf>
    <xf numFmtId="173" fontId="5" fillId="2" borderId="1" xfId="0" applyNumberFormat="1" applyFont="1" applyFill="1" applyBorder="1" applyAlignment="1">
      <alignment horizontal="center"/>
    </xf>
    <xf numFmtId="173" fontId="5" fillId="2" borderId="2" xfId="0" applyNumberFormat="1" applyFont="1" applyFill="1" applyBorder="1" applyAlignment="1" applyProtection="1">
      <alignment horizontal="center"/>
      <protection locked="0"/>
    </xf>
    <xf numFmtId="173" fontId="5" fillId="2" borderId="3" xfId="0" applyNumberFormat="1" applyFont="1" applyFill="1" applyBorder="1" applyAlignment="1" applyProtection="1">
      <alignment horizontal="center"/>
      <protection locked="0"/>
    </xf>
    <xf numFmtId="174" fontId="40" fillId="29" borderId="2" xfId="0" applyNumberFormat="1" applyFont="1" applyFill="1" applyBorder="1" applyAlignment="1" applyProtection="1">
      <alignment horizontal="center"/>
      <protection locked="0"/>
    </xf>
    <xf numFmtId="174" fontId="40" fillId="29" borderId="3" xfId="0" applyNumberFormat="1" applyFont="1" applyFill="1" applyBorder="1" applyAlignment="1" applyProtection="1">
      <alignment horizontal="center"/>
      <protection locked="0"/>
    </xf>
    <xf numFmtId="175" fontId="5" fillId="2" borderId="1" xfId="0" applyNumberFormat="1" applyFont="1" applyFill="1" applyBorder="1" applyAlignment="1">
      <alignment horizontal="center"/>
    </xf>
    <xf numFmtId="0" fontId="34" fillId="3" borderId="39" xfId="44" applyFont="1" applyFill="1" applyBorder="1" applyAlignment="1">
      <alignment horizontal="center" vertical="center"/>
    </xf>
    <xf numFmtId="0" fontId="34" fillId="3" borderId="40" xfId="44" applyFont="1" applyFill="1" applyBorder="1" applyAlignment="1">
      <alignment horizontal="center" vertical="center"/>
    </xf>
    <xf numFmtId="0" fontId="34" fillId="3" borderId="17" xfId="44" applyFont="1" applyFill="1" applyBorder="1" applyAlignment="1">
      <alignment horizontal="center" vertical="center"/>
    </xf>
    <xf numFmtId="0" fontId="34" fillId="3" borderId="35" xfId="44" applyFont="1" applyFill="1" applyBorder="1" applyAlignment="1">
      <alignment horizontal="center" vertical="center"/>
    </xf>
    <xf numFmtId="0" fontId="34" fillId="3" borderId="37" xfId="44" applyFont="1" applyFill="1" applyBorder="1" applyAlignment="1">
      <alignment horizontal="center" vertical="center"/>
    </xf>
    <xf numFmtId="0" fontId="34" fillId="3" borderId="16" xfId="44" applyFont="1" applyFill="1" applyBorder="1" applyAlignment="1">
      <alignment horizontal="center" vertical="center"/>
    </xf>
    <xf numFmtId="0" fontId="34" fillId="3" borderId="36" xfId="44" applyFont="1" applyFill="1" applyBorder="1" applyAlignment="1">
      <alignment horizontal="center" vertical="center"/>
    </xf>
    <xf numFmtId="0" fontId="34" fillId="3" borderId="38" xfId="44" applyFont="1" applyFill="1" applyBorder="1" applyAlignment="1">
      <alignment horizontal="center" vertical="center"/>
    </xf>
    <xf numFmtId="0" fontId="34" fillId="3" borderId="39" xfId="44" applyFont="1" applyFill="1" applyBorder="1" applyAlignment="1">
      <alignment horizontal="center" vertical="center" wrapText="1"/>
    </xf>
    <xf numFmtId="0" fontId="34" fillId="3" borderId="40" xfId="44" applyFont="1" applyFill="1" applyBorder="1" applyAlignment="1">
      <alignment horizontal="center" vertical="center" wrapText="1"/>
    </xf>
    <xf numFmtId="173" fontId="7" fillId="0" borderId="2" xfId="0" applyNumberFormat="1" applyFont="1" applyBorder="1" applyAlignment="1">
      <alignment horizontal="center"/>
    </xf>
    <xf numFmtId="173" fontId="7" fillId="0" borderId="3" xfId="0" applyNumberFormat="1" applyFont="1" applyBorder="1" applyAlignment="1">
      <alignment horizontal="center"/>
    </xf>
    <xf numFmtId="173" fontId="7" fillId="0" borderId="4" xfId="0" applyNumberFormat="1" applyFont="1" applyBorder="1" applyAlignment="1">
      <alignment horizontal="center"/>
    </xf>
    <xf numFmtId="3" fontId="40" fillId="34" borderId="70" xfId="0" applyNumberFormat="1" applyFont="1" applyFill="1" applyBorder="1" applyAlignment="1">
      <alignment horizontal="center"/>
    </xf>
    <xf numFmtId="3" fontId="40" fillId="34" borderId="71" xfId="0" applyNumberFormat="1" applyFont="1" applyFill="1" applyBorder="1" applyAlignment="1">
      <alignment horizontal="center"/>
    </xf>
    <xf numFmtId="0" fontId="40" fillId="34" borderId="2" xfId="0" applyFont="1" applyFill="1" applyBorder="1" applyAlignment="1">
      <alignment wrapText="1"/>
    </xf>
    <xf numFmtId="0" fontId="40" fillId="34" borderId="3" xfId="0" applyFont="1" applyFill="1" applyBorder="1" applyAlignment="1">
      <alignment wrapText="1"/>
    </xf>
    <xf numFmtId="0" fontId="40" fillId="34" borderId="4" xfId="0" applyFont="1" applyFill="1" applyBorder="1" applyAlignment="1">
      <alignment wrapText="1"/>
    </xf>
    <xf numFmtId="0" fontId="40" fillId="34" borderId="1" xfId="0" applyFont="1" applyFill="1" applyBorder="1" applyAlignment="1"/>
    <xf numFmtId="174" fontId="40" fillId="34" borderId="2" xfId="0" applyNumberFormat="1" applyFont="1" applyFill="1" applyBorder="1" applyAlignment="1" applyProtection="1">
      <alignment horizontal="center"/>
      <protection locked="0"/>
    </xf>
    <xf numFmtId="174" fontId="40" fillId="34" borderId="3" xfId="0" applyNumberFormat="1" applyFont="1" applyFill="1" applyBorder="1" applyAlignment="1" applyProtection="1">
      <alignment horizontal="center"/>
      <protection locked="0"/>
    </xf>
    <xf numFmtId="174" fontId="40" fillId="34" borderId="4" xfId="0" applyNumberFormat="1" applyFont="1" applyFill="1" applyBorder="1" applyAlignment="1" applyProtection="1">
      <alignment horizontal="center"/>
      <protection locked="0"/>
    </xf>
    <xf numFmtId="0" fontId="40" fillId="34" borderId="1" xfId="0" applyFont="1" applyFill="1" applyBorder="1"/>
    <xf numFmtId="0" fontId="40" fillId="34" borderId="17" xfId="0" applyFont="1" applyFill="1" applyBorder="1" applyAlignment="1">
      <alignment horizontal="left" vertical="top" wrapText="1"/>
    </xf>
    <xf numFmtId="0" fontId="40" fillId="34" borderId="35" xfId="0" applyFont="1" applyFill="1" applyBorder="1" applyAlignment="1">
      <alignment horizontal="left" vertical="top" wrapText="1"/>
    </xf>
    <xf numFmtId="0" fontId="40" fillId="34" borderId="37" xfId="0" applyFont="1" applyFill="1" applyBorder="1" applyAlignment="1">
      <alignment horizontal="left" vertical="top" wrapText="1"/>
    </xf>
    <xf numFmtId="0" fontId="40" fillId="34" borderId="14" xfId="0" applyFont="1" applyFill="1" applyBorder="1" applyAlignment="1">
      <alignment horizontal="left" vertical="top" wrapText="1"/>
    </xf>
    <xf numFmtId="0" fontId="40" fillId="34" borderId="0" xfId="0" applyFont="1" applyFill="1" applyAlignment="1">
      <alignment horizontal="left" vertical="top" wrapText="1"/>
    </xf>
    <xf numFmtId="0" fontId="40" fillId="34" borderId="15" xfId="0" applyFont="1" applyFill="1" applyBorder="1" applyAlignment="1">
      <alignment horizontal="left" vertical="top" wrapText="1"/>
    </xf>
    <xf numFmtId="0" fontId="40" fillId="34" borderId="16" xfId="0" applyFont="1" applyFill="1" applyBorder="1" applyAlignment="1">
      <alignment horizontal="left" vertical="top" wrapText="1"/>
    </xf>
    <xf numFmtId="0" fontId="40" fillId="34" borderId="36" xfId="0" applyFont="1" applyFill="1" applyBorder="1" applyAlignment="1">
      <alignment horizontal="left" vertical="top" wrapText="1"/>
    </xf>
    <xf numFmtId="0" fontId="40" fillId="34" borderId="38" xfId="0" applyFont="1" applyFill="1" applyBorder="1" applyAlignment="1">
      <alignment horizontal="left" vertical="top" wrapText="1"/>
    </xf>
    <xf numFmtId="0" fontId="39" fillId="0" borderId="57" xfId="0" applyFont="1" applyFill="1" applyBorder="1" applyAlignment="1">
      <alignment horizontal="center"/>
    </xf>
    <xf numFmtId="0" fontId="40" fillId="0" borderId="57" xfId="0" applyFont="1" applyFill="1" applyBorder="1" applyAlignment="1">
      <alignment horizontal="center"/>
    </xf>
    <xf numFmtId="0" fontId="39" fillId="0" borderId="58" xfId="0" applyFont="1" applyFill="1" applyBorder="1" applyAlignment="1">
      <alignment horizontal="center"/>
    </xf>
    <xf numFmtId="0" fontId="39" fillId="0" borderId="59" xfId="0" applyFont="1" applyFill="1" applyBorder="1" applyAlignment="1">
      <alignment horizontal="center"/>
    </xf>
    <xf numFmtId="173" fontId="40" fillId="0" borderId="2" xfId="0" applyNumberFormat="1" applyFont="1" applyFill="1" applyBorder="1" applyAlignment="1">
      <alignment horizontal="center"/>
    </xf>
    <xf numFmtId="173" fontId="40" fillId="0" borderId="3" xfId="0" applyNumberFormat="1" applyFont="1" applyFill="1" applyBorder="1" applyAlignment="1">
      <alignment horizontal="center"/>
    </xf>
    <xf numFmtId="173" fontId="40" fillId="0" borderId="4" xfId="0" applyNumberFormat="1" applyFont="1" applyFill="1" applyBorder="1" applyAlignment="1">
      <alignment horizontal="center"/>
    </xf>
    <xf numFmtId="175" fontId="40" fillId="0" borderId="2" xfId="0" applyNumberFormat="1" applyFont="1" applyFill="1" applyBorder="1" applyAlignment="1">
      <alignment horizontal="center"/>
    </xf>
    <xf numFmtId="175" fontId="40" fillId="0" borderId="3" xfId="0" applyNumberFormat="1" applyFont="1" applyFill="1" applyBorder="1" applyAlignment="1">
      <alignment horizontal="center"/>
    </xf>
    <xf numFmtId="173" fontId="40" fillId="0" borderId="2" xfId="0" applyNumberFormat="1" applyFont="1" applyFill="1" applyBorder="1" applyAlignment="1" applyProtection="1">
      <alignment horizontal="center"/>
      <protection locked="0"/>
    </xf>
    <xf numFmtId="173" fontId="40" fillId="0" borderId="3" xfId="0" applyNumberFormat="1" applyFont="1" applyFill="1" applyBorder="1" applyAlignment="1" applyProtection="1">
      <alignment horizontal="center"/>
      <protection locked="0"/>
    </xf>
    <xf numFmtId="173" fontId="40" fillId="0" borderId="4" xfId="0" applyNumberFormat="1" applyFont="1" applyFill="1" applyBorder="1" applyAlignment="1" applyProtection="1">
      <alignment horizontal="center"/>
      <protection locked="0"/>
    </xf>
    <xf numFmtId="17" fontId="40" fillId="34" borderId="2" xfId="0" applyNumberFormat="1" applyFont="1" applyFill="1" applyBorder="1" applyAlignment="1"/>
    <xf numFmtId="17" fontId="40" fillId="34" borderId="4" xfId="0" applyNumberFormat="1" applyFont="1" applyFill="1" applyBorder="1" applyAlignment="1"/>
    <xf numFmtId="0" fontId="40" fillId="34" borderId="24" xfId="0" applyFont="1" applyFill="1" applyBorder="1"/>
    <xf numFmtId="0" fontId="40" fillId="34" borderId="5" xfId="0" applyFont="1" applyFill="1" applyBorder="1"/>
    <xf numFmtId="9" fontId="40" fillId="34" borderId="70" xfId="0" applyNumberFormat="1" applyFont="1" applyFill="1" applyBorder="1" applyAlignment="1">
      <alignment horizontal="center"/>
    </xf>
    <xf numFmtId="9" fontId="40" fillId="34" borderId="71" xfId="0" applyNumberFormat="1" applyFont="1" applyFill="1" applyBorder="1" applyAlignment="1">
      <alignment horizontal="center"/>
    </xf>
    <xf numFmtId="0" fontId="39" fillId="34" borderId="70" xfId="0" applyFont="1" applyFill="1" applyBorder="1" applyAlignment="1">
      <alignment horizontal="center"/>
    </xf>
    <xf numFmtId="0" fontId="39" fillId="34" borderId="71" xfId="0" applyFont="1" applyFill="1" applyBorder="1" applyAlignment="1">
      <alignment horizontal="center"/>
    </xf>
    <xf numFmtId="0" fontId="40" fillId="34" borderId="60" xfId="0" applyFont="1" applyFill="1" applyBorder="1" applyAlignment="1">
      <alignment horizontal="left"/>
    </xf>
    <xf numFmtId="0" fontId="40" fillId="34" borderId="61" xfId="0" applyFont="1" applyFill="1" applyBorder="1" applyAlignment="1">
      <alignment horizontal="left"/>
    </xf>
    <xf numFmtId="0" fontId="40" fillId="34" borderId="62" xfId="0" applyFont="1" applyFill="1" applyBorder="1" applyAlignment="1">
      <alignment horizontal="left"/>
    </xf>
    <xf numFmtId="3" fontId="40" fillId="34" borderId="64" xfId="0" applyNumberFormat="1" applyFont="1" applyFill="1" applyBorder="1" applyAlignment="1">
      <alignment horizontal="center"/>
    </xf>
    <xf numFmtId="3" fontId="40" fillId="34" borderId="62" xfId="0" applyNumberFormat="1" applyFont="1" applyFill="1" applyBorder="1" applyAlignment="1">
      <alignment horizontal="center"/>
    </xf>
    <xf numFmtId="0" fontId="131" fillId="0" borderId="47" xfId="0" applyFont="1" applyFill="1" applyBorder="1" applyAlignment="1"/>
    <xf numFmtId="0" fontId="40" fillId="0" borderId="48" xfId="0" applyFont="1" applyFill="1" applyBorder="1" applyAlignment="1"/>
    <xf numFmtId="3" fontId="40" fillId="0" borderId="66" xfId="0" applyNumberFormat="1" applyFont="1" applyFill="1" applyBorder="1" applyAlignment="1">
      <alignment horizontal="center"/>
    </xf>
    <xf numFmtId="3" fontId="40" fillId="0" borderId="67" xfId="0" applyNumberFormat="1" applyFont="1" applyFill="1" applyBorder="1" applyAlignment="1">
      <alignment horizontal="center"/>
    </xf>
    <xf numFmtId="0" fontId="40" fillId="34" borderId="21" xfId="0" applyFont="1" applyFill="1" applyBorder="1"/>
    <xf numFmtId="0" fontId="40" fillId="34" borderId="6" xfId="0" applyFont="1" applyFill="1" applyBorder="1"/>
    <xf numFmtId="3" fontId="40" fillId="34" borderId="68" xfId="0" applyNumberFormat="1" applyFont="1" applyFill="1" applyBorder="1" applyAlignment="1">
      <alignment horizontal="center"/>
    </xf>
    <xf numFmtId="3" fontId="40" fillId="34" borderId="69" xfId="0" applyNumberFormat="1" applyFont="1" applyFill="1" applyBorder="1" applyAlignment="1">
      <alignment horizontal="center"/>
    </xf>
    <xf numFmtId="9" fontId="40" fillId="34" borderId="2" xfId="0" applyNumberFormat="1" applyFont="1" applyFill="1" applyBorder="1" applyAlignment="1">
      <alignment horizontal="center"/>
    </xf>
    <xf numFmtId="9" fontId="40" fillId="34" borderId="4" xfId="0" applyNumberFormat="1" applyFont="1" applyFill="1" applyBorder="1" applyAlignment="1">
      <alignment horizontal="center"/>
    </xf>
    <xf numFmtId="0" fontId="43" fillId="34" borderId="14" xfId="0" applyFont="1" applyFill="1" applyBorder="1" applyAlignment="1">
      <alignment horizontal="left"/>
    </xf>
    <xf numFmtId="0" fontId="43" fillId="34" borderId="0" xfId="0" applyFont="1" applyFill="1" applyAlignment="1">
      <alignment horizontal="left"/>
    </xf>
    <xf numFmtId="0" fontId="43" fillId="34" borderId="15" xfId="0" applyFont="1" applyFill="1" applyBorder="1" applyAlignment="1">
      <alignment horizontal="left"/>
    </xf>
    <xf numFmtId="0" fontId="42" fillId="34" borderId="16" xfId="0" applyFont="1" applyFill="1" applyBorder="1" applyAlignment="1">
      <alignment horizontal="left"/>
    </xf>
    <xf numFmtId="0" fontId="42" fillId="34" borderId="36" xfId="0" applyFont="1" applyFill="1" applyBorder="1" applyAlignment="1">
      <alignment horizontal="left"/>
    </xf>
    <xf numFmtId="0" fontId="42" fillId="34" borderId="38" xfId="0" applyFont="1" applyFill="1" applyBorder="1" applyAlignment="1">
      <alignment horizontal="left"/>
    </xf>
    <xf numFmtId="0" fontId="40" fillId="0" borderId="66" xfId="0" applyFont="1" applyFill="1" applyBorder="1" applyAlignment="1">
      <alignment horizontal="center"/>
    </xf>
    <xf numFmtId="0" fontId="40" fillId="0" borderId="67" xfId="0" applyFont="1" applyFill="1" applyBorder="1" applyAlignment="1">
      <alignment horizontal="center"/>
    </xf>
    <xf numFmtId="0" fontId="131" fillId="0" borderId="79" xfId="0" applyFont="1" applyFill="1" applyBorder="1" applyAlignment="1">
      <alignment wrapText="1"/>
    </xf>
    <xf numFmtId="0" fontId="40" fillId="0" borderId="80" xfId="0" applyFont="1" applyFill="1" applyBorder="1" applyAlignment="1">
      <alignment wrapText="1"/>
    </xf>
    <xf numFmtId="0" fontId="40" fillId="34" borderId="17" xfId="0" applyFont="1" applyFill="1" applyBorder="1" applyAlignment="1">
      <alignment horizontal="left"/>
    </xf>
    <xf numFmtId="0" fontId="40" fillId="34" borderId="35" xfId="0" applyFont="1" applyFill="1" applyBorder="1" applyAlignment="1">
      <alignment horizontal="left"/>
    </xf>
    <xf numFmtId="0" fontId="40" fillId="34" borderId="37" xfId="0" applyFont="1" applyFill="1" applyBorder="1" applyAlignment="1">
      <alignment horizontal="left"/>
    </xf>
    <xf numFmtId="0" fontId="39" fillId="0" borderId="2" xfId="0" applyFont="1" applyFill="1" applyBorder="1" applyAlignment="1">
      <alignment horizontal="center"/>
    </xf>
    <xf numFmtId="0" fontId="39" fillId="0" borderId="3" xfId="0" applyFont="1" applyFill="1" applyBorder="1" applyAlignment="1">
      <alignment horizontal="center"/>
    </xf>
    <xf numFmtId="0" fontId="39" fillId="0" borderId="4" xfId="0" applyFont="1" applyFill="1" applyBorder="1" applyAlignment="1">
      <alignment horizontal="center"/>
    </xf>
    <xf numFmtId="9" fontId="40" fillId="0" borderId="66" xfId="0" applyNumberFormat="1" applyFont="1" applyFill="1" applyBorder="1" applyAlignment="1">
      <alignment horizontal="center"/>
    </xf>
    <xf numFmtId="9" fontId="40" fillId="0" borderId="67" xfId="0" applyNumberFormat="1" applyFont="1" applyFill="1" applyBorder="1" applyAlignment="1">
      <alignment horizontal="center"/>
    </xf>
    <xf numFmtId="0" fontId="40" fillId="34" borderId="2" xfId="0" applyFont="1" applyFill="1" applyBorder="1" applyAlignment="1">
      <alignment horizontal="left"/>
    </xf>
    <xf numFmtId="0" fontId="40" fillId="34" borderId="3" xfId="0" applyFont="1" applyFill="1" applyBorder="1" applyAlignment="1">
      <alignment horizontal="left"/>
    </xf>
    <xf numFmtId="0" fontId="40" fillId="34" borderId="4" xfId="0" applyFont="1" applyFill="1" applyBorder="1" applyAlignment="1">
      <alignment horizontal="left"/>
    </xf>
    <xf numFmtId="0" fontId="40" fillId="34" borderId="2" xfId="0" applyFont="1" applyFill="1" applyBorder="1" applyAlignment="1"/>
    <xf numFmtId="0" fontId="40" fillId="34" borderId="3" xfId="0" applyFont="1" applyFill="1" applyBorder="1" applyAlignment="1"/>
    <xf numFmtId="0" fontId="40" fillId="34" borderId="4" xfId="0" applyFont="1" applyFill="1" applyBorder="1" applyAlignment="1"/>
    <xf numFmtId="3" fontId="40" fillId="0" borderId="121" xfId="0" applyNumberFormat="1" applyFont="1" applyFill="1" applyBorder="1" applyAlignment="1">
      <alignment horizontal="right"/>
    </xf>
    <xf numFmtId="3" fontId="40" fillId="0" borderId="120" xfId="0" applyNumberFormat="1" applyFont="1" applyFill="1" applyBorder="1" applyAlignment="1">
      <alignment horizontal="right"/>
    </xf>
    <xf numFmtId="3" fontId="40" fillId="34" borderId="115" xfId="0" applyNumberFormat="1" applyFont="1" applyFill="1" applyBorder="1" applyAlignment="1">
      <alignment horizontal="center"/>
    </xf>
    <xf numFmtId="3" fontId="40" fillId="34" borderId="140" xfId="0" applyNumberFormat="1" applyFont="1" applyFill="1" applyBorder="1" applyAlignment="1">
      <alignment horizontal="center"/>
    </xf>
    <xf numFmtId="9" fontId="40" fillId="34" borderId="130" xfId="0" applyNumberFormat="1" applyFont="1" applyFill="1" applyBorder="1" applyAlignment="1">
      <alignment horizontal="center"/>
    </xf>
    <xf numFmtId="9" fontId="40" fillId="34" borderId="118" xfId="0" applyNumberFormat="1" applyFont="1" applyFill="1" applyBorder="1" applyAlignment="1">
      <alignment horizontal="center"/>
    </xf>
    <xf numFmtId="177" fontId="40" fillId="34" borderId="114" xfId="0" applyNumberFormat="1" applyFont="1" applyFill="1" applyBorder="1" applyAlignment="1">
      <alignment horizontal="center"/>
    </xf>
    <xf numFmtId="177" fontId="40" fillId="34" borderId="119" xfId="0" applyNumberFormat="1" applyFont="1" applyFill="1" applyBorder="1" applyAlignment="1">
      <alignment horizontal="center"/>
    </xf>
    <xf numFmtId="9" fontId="40" fillId="34" borderId="74" xfId="0" applyNumberFormat="1" applyFont="1" applyFill="1" applyBorder="1" applyAlignment="1">
      <alignment horizontal="center"/>
    </xf>
    <xf numFmtId="9" fontId="40" fillId="34" borderId="75" xfId="0" applyNumberFormat="1" applyFont="1" applyFill="1" applyBorder="1" applyAlignment="1">
      <alignment horizontal="center"/>
    </xf>
    <xf numFmtId="0" fontId="35" fillId="36" borderId="3" xfId="55" applyFont="1" applyFill="1" applyBorder="1" applyAlignment="1">
      <alignment horizontal="center"/>
    </xf>
    <xf numFmtId="0" fontId="35" fillId="36" borderId="4" xfId="55" applyFont="1" applyFill="1" applyBorder="1" applyAlignment="1">
      <alignment horizontal="center"/>
    </xf>
    <xf numFmtId="0" fontId="53" fillId="0" borderId="84" xfId="57" applyFont="1" applyBorder="1" applyAlignment="1">
      <alignment horizontal="center" vertical="top"/>
    </xf>
    <xf numFmtId="0" fontId="53" fillId="0" borderId="85" xfId="57" applyFont="1" applyBorder="1" applyAlignment="1">
      <alignment horizontal="center" vertical="top"/>
    </xf>
    <xf numFmtId="0" fontId="53" fillId="0" borderId="86" xfId="57" applyFont="1" applyBorder="1" applyAlignment="1">
      <alignment horizontal="center" vertical="top"/>
    </xf>
    <xf numFmtId="0" fontId="51" fillId="0" borderId="87" xfId="57" applyFont="1" applyBorder="1" applyAlignment="1">
      <alignment horizontal="left" vertical="top"/>
    </xf>
    <xf numFmtId="0" fontId="51" fillId="0" borderId="55" xfId="57" applyFont="1" applyBorder="1" applyAlignment="1">
      <alignment horizontal="left" vertical="top"/>
    </xf>
    <xf numFmtId="0" fontId="51" fillId="0" borderId="0" xfId="57" applyFont="1" applyAlignment="1">
      <alignment horizontal="left" vertical="top"/>
    </xf>
    <xf numFmtId="0" fontId="52" fillId="0" borderId="2" xfId="57" applyFont="1" applyBorder="1" applyAlignment="1">
      <alignment horizontal="center" vertical="top"/>
    </xf>
    <xf numFmtId="0" fontId="52" fillId="0" borderId="3" xfId="57" applyFont="1" applyBorder="1" applyAlignment="1">
      <alignment horizontal="center" vertical="top"/>
    </xf>
    <xf numFmtId="0" fontId="52" fillId="0" borderId="4" xfId="57" applyFont="1" applyBorder="1" applyAlignment="1">
      <alignment horizontal="center" vertical="top"/>
    </xf>
    <xf numFmtId="0" fontId="52" fillId="0" borderId="17" xfId="57" applyFont="1" applyBorder="1" applyAlignment="1">
      <alignment horizontal="center" vertical="top"/>
    </xf>
    <xf numFmtId="0" fontId="52" fillId="0" borderId="35" xfId="57" applyFont="1" applyBorder="1" applyAlignment="1">
      <alignment horizontal="center" vertical="top"/>
    </xf>
    <xf numFmtId="0" fontId="52" fillId="0" borderId="37" xfId="57" applyFont="1" applyBorder="1" applyAlignment="1">
      <alignment horizontal="center" vertical="top"/>
    </xf>
    <xf numFmtId="0" fontId="106" fillId="0" borderId="1" xfId="0" applyFont="1" applyBorder="1" applyAlignment="1">
      <alignment horizontal="left" vertical="top" wrapText="1"/>
    </xf>
    <xf numFmtId="0" fontId="106" fillId="0" borderId="1" xfId="0" applyFont="1" applyBorder="1" applyAlignment="1">
      <alignment horizontal="center"/>
    </xf>
    <xf numFmtId="0" fontId="106" fillId="0" borderId="2" xfId="0" applyFont="1" applyBorder="1" applyAlignment="1">
      <alignment horizontal="center"/>
    </xf>
    <xf numFmtId="0" fontId="106" fillId="0" borderId="100" xfId="0" applyFont="1" applyBorder="1" applyAlignment="1">
      <alignment horizontal="center"/>
    </xf>
    <xf numFmtId="0" fontId="106" fillId="0" borderId="1" xfId="0" applyFont="1" applyBorder="1" applyAlignment="1">
      <alignment horizontal="left" vertical="top"/>
    </xf>
    <xf numFmtId="0" fontId="106" fillId="0" borderId="40" xfId="0" applyFont="1" applyBorder="1" applyAlignment="1">
      <alignment horizontal="left" vertical="top"/>
    </xf>
    <xf numFmtId="0" fontId="106" fillId="0" borderId="40" xfId="0" applyFont="1" applyBorder="1" applyAlignment="1">
      <alignment horizontal="center"/>
    </xf>
    <xf numFmtId="0" fontId="106" fillId="0" borderId="153" xfId="0" applyFont="1" applyBorder="1" applyAlignment="1">
      <alignment horizontal="center"/>
    </xf>
    <xf numFmtId="0" fontId="106" fillId="0" borderId="154" xfId="0" applyFont="1" applyBorder="1" applyAlignment="1">
      <alignment horizontal="center"/>
    </xf>
    <xf numFmtId="0" fontId="35" fillId="47" borderId="156" xfId="44" applyFont="1" applyFill="1" applyBorder="1" applyAlignment="1">
      <alignment horizontal="center" vertical="top" wrapText="1"/>
    </xf>
    <xf numFmtId="0" fontId="35" fillId="47" borderId="157" xfId="44" applyFont="1" applyFill="1" applyBorder="1" applyAlignment="1">
      <alignment horizontal="center" vertical="top" wrapText="1"/>
    </xf>
    <xf numFmtId="0" fontId="35" fillId="47" borderId="153" xfId="44" applyFont="1" applyFill="1" applyBorder="1" applyAlignment="1">
      <alignment horizontal="center" vertical="top" wrapText="1"/>
    </xf>
    <xf numFmtId="0" fontId="35" fillId="47" borderId="158" xfId="44" applyFont="1" applyFill="1" applyBorder="1" applyAlignment="1">
      <alignment horizontal="center" vertical="top" wrapText="1"/>
    </xf>
    <xf numFmtId="0" fontId="35" fillId="47" borderId="94" xfId="44" applyFont="1" applyFill="1" applyBorder="1" applyAlignment="1">
      <alignment horizontal="center" vertical="center"/>
    </xf>
    <xf numFmtId="0" fontId="35" fillId="47" borderId="96" xfId="44" applyFont="1" applyFill="1" applyBorder="1" applyAlignment="1">
      <alignment horizontal="center" vertical="center"/>
    </xf>
    <xf numFmtId="0" fontId="35" fillId="47" borderId="1" xfId="44" applyFont="1" applyFill="1" applyBorder="1" applyAlignment="1">
      <alignment horizontal="center" vertical="center"/>
    </xf>
    <xf numFmtId="0" fontId="35" fillId="47" borderId="97" xfId="44" applyFont="1" applyFill="1" applyBorder="1" applyAlignment="1">
      <alignment horizontal="center" vertical="center"/>
    </xf>
    <xf numFmtId="0" fontId="35" fillId="47" borderId="2" xfId="44" applyFont="1" applyFill="1" applyBorder="1" applyAlignment="1">
      <alignment horizontal="center" vertical="top"/>
    </xf>
    <xf numFmtId="0" fontId="35" fillId="47" borderId="3" xfId="44" applyFont="1" applyFill="1" applyBorder="1" applyAlignment="1">
      <alignment horizontal="center" vertical="top"/>
    </xf>
    <xf numFmtId="0" fontId="35" fillId="47" borderId="4" xfId="44" applyFont="1" applyFill="1" applyBorder="1" applyAlignment="1">
      <alignment horizontal="center" vertical="top"/>
    </xf>
    <xf numFmtId="0" fontId="35" fillId="47" borderId="1" xfId="44" applyFont="1" applyFill="1" applyBorder="1" applyAlignment="1">
      <alignment horizontal="center" vertical="top"/>
    </xf>
    <xf numFmtId="0" fontId="35" fillId="47" borderId="95" xfId="44" applyFont="1" applyFill="1" applyBorder="1" applyAlignment="1">
      <alignment horizontal="center" vertical="top"/>
    </xf>
    <xf numFmtId="0" fontId="109" fillId="0" borderId="160" xfId="0" applyFont="1" applyBorder="1" applyAlignment="1">
      <alignment horizontal="center" vertical="center" wrapText="1"/>
    </xf>
    <xf numFmtId="0" fontId="109" fillId="0" borderId="161" xfId="0" applyFont="1" applyBorder="1" applyAlignment="1">
      <alignment horizontal="center" vertical="center" wrapText="1"/>
    </xf>
    <xf numFmtId="0" fontId="109" fillId="0" borderId="162" xfId="0" applyFont="1" applyBorder="1" applyAlignment="1">
      <alignment horizontal="center" vertical="center" wrapText="1"/>
    </xf>
    <xf numFmtId="0" fontId="109" fillId="0" borderId="164" xfId="0" applyFont="1" applyBorder="1" applyAlignment="1">
      <alignment horizontal="center" vertical="center" wrapText="1"/>
    </xf>
    <xf numFmtId="0" fontId="109" fillId="0" borderId="165" xfId="0" applyFont="1" applyBorder="1" applyAlignment="1">
      <alignment horizontal="center" vertical="center" wrapText="1"/>
    </xf>
    <xf numFmtId="15" fontId="106" fillId="0" borderId="54" xfId="0" applyNumberFormat="1" applyFont="1" applyBorder="1" applyAlignment="1">
      <alignment horizontal="center" vertical="center"/>
    </xf>
    <xf numFmtId="15" fontId="106" fillId="0" borderId="55" xfId="0" applyNumberFormat="1" applyFont="1" applyBorder="1" applyAlignment="1">
      <alignment horizontal="center" vertical="center"/>
    </xf>
    <xf numFmtId="15" fontId="106" fillId="0" borderId="56" xfId="0" applyNumberFormat="1" applyFont="1" applyBorder="1" applyAlignment="1">
      <alignment horizontal="center" vertical="center"/>
    </xf>
    <xf numFmtId="15" fontId="106" fillId="0" borderId="14" xfId="0" applyNumberFormat="1" applyFont="1" applyBorder="1" applyAlignment="1">
      <alignment horizontal="center" vertical="center"/>
    </xf>
    <xf numFmtId="15" fontId="106" fillId="0" borderId="0" xfId="0" applyNumberFormat="1" applyFont="1" applyAlignment="1">
      <alignment horizontal="center" vertical="center"/>
    </xf>
    <xf numFmtId="15" fontId="106" fillId="0" borderId="15" xfId="0" applyNumberFormat="1" applyFont="1" applyBorder="1" applyAlignment="1">
      <alignment horizontal="center" vertical="center"/>
    </xf>
    <xf numFmtId="15" fontId="106" fillId="0" borderId="163" xfId="0" applyNumberFormat="1" applyFont="1" applyBorder="1" applyAlignment="1">
      <alignment horizontal="center" vertical="center"/>
    </xf>
    <xf numFmtId="15" fontId="106" fillId="0" borderId="92" xfId="0" applyNumberFormat="1" applyFont="1" applyBorder="1" applyAlignment="1">
      <alignment horizontal="center" vertical="center"/>
    </xf>
    <xf numFmtId="15" fontId="106" fillId="0" borderId="151" xfId="0" applyNumberFormat="1" applyFont="1" applyBorder="1" applyAlignment="1">
      <alignment horizontal="center" vertical="center"/>
    </xf>
    <xf numFmtId="0" fontId="109" fillId="0" borderId="160" xfId="0" applyFont="1" applyBorder="1" applyAlignment="1">
      <alignment horizontal="center" vertical="center"/>
    </xf>
    <xf numFmtId="0" fontId="109" fillId="0" borderId="162" xfId="0" applyFont="1" applyBorder="1" applyAlignment="1">
      <alignment horizontal="center" vertical="center"/>
    </xf>
    <xf numFmtId="0" fontId="109" fillId="0" borderId="164" xfId="0" applyFont="1" applyBorder="1" applyAlignment="1">
      <alignment horizontal="center" vertical="center"/>
    </xf>
    <xf numFmtId="0" fontId="35" fillId="47" borderId="127" xfId="44" applyFont="1" applyFill="1" applyBorder="1" applyAlignment="1">
      <alignment horizontal="center" vertical="top" wrapText="1"/>
    </xf>
    <xf numFmtId="0" fontId="35" fillId="47" borderId="167" xfId="44" applyFont="1" applyFill="1" applyBorder="1" applyAlignment="1">
      <alignment horizontal="center" vertical="top" wrapText="1"/>
    </xf>
    <xf numFmtId="0" fontId="35" fillId="47" borderId="154" xfId="44" applyFont="1" applyFill="1" applyBorder="1" applyAlignment="1">
      <alignment horizontal="center" vertical="top" wrapText="1"/>
    </xf>
    <xf numFmtId="0" fontId="35" fillId="47" borderId="98" xfId="44" applyFont="1" applyFill="1" applyBorder="1" applyAlignment="1">
      <alignment horizontal="center" vertical="center"/>
    </xf>
    <xf numFmtId="0" fontId="35" fillId="47" borderId="101" xfId="44" applyFont="1" applyFill="1" applyBorder="1" applyAlignment="1">
      <alignment horizontal="center" vertical="center"/>
    </xf>
    <xf numFmtId="38" fontId="15" fillId="0" borderId="0" xfId="99" applyFont="1" applyAlignment="1">
      <alignment horizontal="center"/>
    </xf>
    <xf numFmtId="38" fontId="76" fillId="0" borderId="0" xfId="99" applyFont="1" applyAlignment="1">
      <alignment horizontal="center"/>
    </xf>
    <xf numFmtId="192" fontId="15" fillId="0" borderId="0" xfId="99" quotePrefix="1" applyNumberFormat="1" applyFont="1" applyAlignment="1">
      <alignment horizontal="center"/>
    </xf>
    <xf numFmtId="0" fontId="80" fillId="0" borderId="0" xfId="101" applyFont="1" applyAlignment="1">
      <alignment horizontal="center"/>
    </xf>
    <xf numFmtId="0" fontId="87" fillId="41" borderId="14" xfId="101" applyFont="1" applyFill="1" applyBorder="1" applyAlignment="1">
      <alignment horizontal="center"/>
    </xf>
    <xf numFmtId="0" fontId="87" fillId="41" borderId="0" xfId="101" applyFont="1" applyFill="1" applyAlignment="1">
      <alignment horizontal="center"/>
    </xf>
    <xf numFmtId="197" fontId="82" fillId="41" borderId="74" xfId="101" applyNumberFormat="1" applyFont="1" applyFill="1" applyBorder="1" applyAlignment="1">
      <alignment horizontal="center"/>
    </xf>
    <xf numFmtId="197" fontId="82" fillId="41" borderId="15" xfId="101" applyNumberFormat="1" applyFont="1" applyFill="1" applyBorder="1" applyAlignment="1">
      <alignment horizontal="center"/>
    </xf>
    <xf numFmtId="197" fontId="82" fillId="41" borderId="14" xfId="101" applyNumberFormat="1" applyFont="1" applyFill="1" applyBorder="1" applyAlignment="1">
      <alignment horizontal="center"/>
    </xf>
    <xf numFmtId="17" fontId="82" fillId="41" borderId="14" xfId="101" applyNumberFormat="1" applyFont="1" applyFill="1" applyBorder="1" applyAlignment="1">
      <alignment horizontal="center"/>
    </xf>
    <xf numFmtId="17" fontId="82" fillId="41" borderId="15" xfId="101" applyNumberFormat="1" applyFont="1" applyFill="1" applyBorder="1" applyAlignment="1">
      <alignment horizontal="center"/>
    </xf>
    <xf numFmtId="17" fontId="82" fillId="41" borderId="0" xfId="101" applyNumberFormat="1" applyFont="1" applyFill="1" applyBorder="1" applyAlignment="1">
      <alignment horizontal="center"/>
    </xf>
    <xf numFmtId="0" fontId="85" fillId="41" borderId="14" xfId="101" applyFont="1" applyFill="1" applyBorder="1" applyAlignment="1">
      <alignment horizontal="center"/>
    </xf>
    <xf numFmtId="0" fontId="85" fillId="41" borderId="0" xfId="101" applyFont="1" applyFill="1" applyAlignment="1">
      <alignment horizontal="center"/>
    </xf>
    <xf numFmtId="0" fontId="3" fillId="0" borderId="84" xfId="0" applyFont="1" applyBorder="1" applyAlignment="1">
      <alignment horizontal="center"/>
    </xf>
    <xf numFmtId="0" fontId="3" fillId="0" borderId="85" xfId="0" applyFont="1" applyBorder="1" applyAlignment="1">
      <alignment horizontal="center"/>
    </xf>
    <xf numFmtId="0" fontId="3" fillId="0" borderId="87" xfId="0" applyFont="1" applyBorder="1" applyAlignment="1">
      <alignment horizontal="left" vertical="center"/>
    </xf>
    <xf numFmtId="0" fontId="3" fillId="0" borderId="55" xfId="0" applyFont="1" applyBorder="1" applyAlignment="1">
      <alignment horizontal="left" vertical="center"/>
    </xf>
    <xf numFmtId="0" fontId="3" fillId="0" borderId="88" xfId="0" applyFont="1" applyBorder="1" applyAlignment="1">
      <alignment horizontal="left" vertical="center"/>
    </xf>
    <xf numFmtId="0" fontId="3" fillId="0" borderId="91" xfId="0" applyFont="1" applyBorder="1" applyAlignment="1">
      <alignment horizontal="left" vertical="center"/>
    </xf>
    <xf numFmtId="0" fontId="3" fillId="0" borderId="92" xfId="0" applyFont="1" applyBorder="1" applyAlignment="1">
      <alignment horizontal="left" vertical="center"/>
    </xf>
    <xf numFmtId="0" fontId="3" fillId="0" borderId="93" xfId="0" applyFont="1" applyBorder="1" applyAlignment="1">
      <alignment horizontal="left" vertical="center"/>
    </xf>
    <xf numFmtId="197" fontId="82" fillId="41" borderId="134" xfId="101" applyNumberFormat="1" applyFont="1" applyFill="1" applyBorder="1" applyAlignment="1">
      <alignment horizontal="center" vertical="center"/>
    </xf>
    <xf numFmtId="197" fontId="82" fillId="41" borderId="35" xfId="101" applyNumberFormat="1" applyFont="1" applyFill="1" applyBorder="1" applyAlignment="1">
      <alignment horizontal="center" vertical="center"/>
    </xf>
    <xf numFmtId="197" fontId="82" fillId="41" borderId="37" xfId="101" applyNumberFormat="1" applyFont="1" applyFill="1" applyBorder="1" applyAlignment="1">
      <alignment horizontal="center" vertical="center"/>
    </xf>
    <xf numFmtId="197" fontId="82" fillId="41" borderId="136" xfId="101" applyNumberFormat="1" applyFont="1" applyFill="1" applyBorder="1" applyAlignment="1">
      <alignment horizontal="center" vertical="center"/>
    </xf>
    <xf numFmtId="197" fontId="82" fillId="41" borderId="36" xfId="101" applyNumberFormat="1" applyFont="1" applyFill="1" applyBorder="1" applyAlignment="1">
      <alignment horizontal="center" vertical="center"/>
    </xf>
    <xf numFmtId="197" fontId="82" fillId="41" borderId="38" xfId="101" applyNumberFormat="1" applyFont="1" applyFill="1" applyBorder="1" applyAlignment="1">
      <alignment horizontal="center" vertical="center"/>
    </xf>
    <xf numFmtId="197" fontId="82" fillId="41" borderId="74" xfId="101" applyNumberFormat="1" applyFont="1" applyFill="1" applyBorder="1" applyAlignment="1">
      <alignment horizontal="center" vertical="center"/>
    </xf>
    <xf numFmtId="197" fontId="82" fillId="41" borderId="0" xfId="101" applyNumberFormat="1" applyFont="1" applyFill="1" applyAlignment="1">
      <alignment horizontal="center" vertical="center"/>
    </xf>
    <xf numFmtId="197" fontId="82" fillId="41" borderId="15" xfId="101" applyNumberFormat="1" applyFont="1" applyFill="1" applyBorder="1" applyAlignment="1">
      <alignment horizontal="center" vertical="center"/>
    </xf>
    <xf numFmtId="197" fontId="82" fillId="41" borderId="17" xfId="101" applyNumberFormat="1" applyFont="1" applyFill="1" applyBorder="1" applyAlignment="1">
      <alignment horizontal="center" vertical="center"/>
    </xf>
    <xf numFmtId="197" fontId="82" fillId="41" borderId="16" xfId="101" applyNumberFormat="1" applyFont="1" applyFill="1" applyBorder="1" applyAlignment="1">
      <alignment horizontal="center" vertical="center"/>
    </xf>
    <xf numFmtId="0" fontId="85" fillId="41" borderId="0" xfId="101" applyFont="1" applyFill="1" applyBorder="1" applyAlignment="1">
      <alignment horizontal="center"/>
    </xf>
    <xf numFmtId="0" fontId="85" fillId="41" borderId="75" xfId="101" applyFont="1" applyFill="1" applyBorder="1" applyAlignment="1">
      <alignment horizontal="center"/>
    </xf>
    <xf numFmtId="3" fontId="81" fillId="41" borderId="0" xfId="101" applyNumberFormat="1" applyFont="1" applyFill="1" applyAlignment="1">
      <alignment horizontal="center"/>
    </xf>
    <xf numFmtId="3" fontId="81" fillId="41" borderId="15" xfId="101" applyNumberFormat="1" applyFont="1" applyFill="1" applyBorder="1" applyAlignment="1">
      <alignment horizontal="center"/>
    </xf>
    <xf numFmtId="0" fontId="82" fillId="0" borderId="24" xfId="101" applyFont="1" applyBorder="1" applyAlignment="1">
      <alignment horizontal="center" vertical="center" wrapText="1"/>
    </xf>
    <xf numFmtId="0" fontId="82" fillId="0" borderId="5" xfId="101" applyFont="1" applyBorder="1" applyAlignment="1">
      <alignment horizontal="center" vertical="center" wrapText="1"/>
    </xf>
    <xf numFmtId="0" fontId="81" fillId="0" borderId="70" xfId="101" applyFont="1" applyBorder="1" applyAlignment="1">
      <alignment horizontal="center" vertical="center" wrapText="1"/>
    </xf>
    <xf numFmtId="0" fontId="81" fillId="0" borderId="110" xfId="101" applyFont="1" applyBorder="1" applyAlignment="1">
      <alignment horizontal="center" vertical="center" wrapText="1"/>
    </xf>
    <xf numFmtId="0" fontId="81" fillId="0" borderId="119" xfId="101" applyFont="1" applyBorder="1" applyAlignment="1">
      <alignment horizontal="center" vertical="center" wrapText="1"/>
    </xf>
    <xf numFmtId="0" fontId="82" fillId="0" borderId="31" xfId="101" applyFont="1" applyBorder="1" applyAlignment="1">
      <alignment horizontal="center" vertical="center" wrapText="1"/>
    </xf>
    <xf numFmtId="0" fontId="82" fillId="0" borderId="32" xfId="101" applyFont="1" applyBorder="1" applyAlignment="1">
      <alignment horizontal="center" vertical="center" wrapText="1"/>
    </xf>
    <xf numFmtId="0" fontId="81" fillId="0" borderId="139" xfId="101" applyFont="1" applyBorder="1" applyAlignment="1">
      <alignment horizontal="center" vertical="center" wrapText="1"/>
    </xf>
    <xf numFmtId="0" fontId="81" fillId="0" borderId="112" xfId="101" applyFont="1" applyBorder="1" applyAlignment="1">
      <alignment horizontal="center" vertical="center" wrapText="1"/>
    </xf>
    <xf numFmtId="0" fontId="81" fillId="0" borderId="140" xfId="101" applyFont="1" applyBorder="1" applyAlignment="1">
      <alignment horizontal="center" vertical="center" wrapText="1"/>
    </xf>
    <xf numFmtId="0" fontId="92" fillId="0" borderId="0" xfId="101" applyFont="1" applyAlignment="1">
      <alignment horizontal="center"/>
    </xf>
    <xf numFmtId="0" fontId="82" fillId="0" borderId="51" xfId="101" applyFont="1" applyBorder="1" applyAlignment="1">
      <alignment horizontal="center"/>
    </xf>
    <xf numFmtId="0" fontId="82" fillId="0" borderId="52" xfId="101" applyFont="1" applyBorder="1" applyAlignment="1">
      <alignment horizontal="center"/>
    </xf>
    <xf numFmtId="0" fontId="82" fillId="0" borderId="52" xfId="101" applyFont="1" applyBorder="1" applyAlignment="1">
      <alignment horizontal="center" vertical="center" wrapText="1"/>
    </xf>
    <xf numFmtId="0" fontId="82" fillId="0" borderId="53" xfId="101" applyFont="1" applyBorder="1" applyAlignment="1">
      <alignment horizontal="center" vertical="center" wrapText="1"/>
    </xf>
    <xf numFmtId="0" fontId="82" fillId="0" borderId="45" xfId="101" applyFont="1" applyBorder="1" applyAlignment="1">
      <alignment horizontal="center" vertical="center" wrapText="1"/>
    </xf>
    <xf numFmtId="0" fontId="82" fillId="0" borderId="46" xfId="101" applyFont="1" applyBorder="1" applyAlignment="1">
      <alignment horizontal="center" vertical="center" wrapText="1"/>
    </xf>
    <xf numFmtId="0" fontId="82" fillId="0" borderId="50" xfId="101" applyFont="1" applyBorder="1" applyAlignment="1">
      <alignment horizontal="center"/>
    </xf>
    <xf numFmtId="0" fontId="82" fillId="0" borderId="45" xfId="101" applyFont="1" applyBorder="1" applyAlignment="1">
      <alignment horizontal="center"/>
    </xf>
    <xf numFmtId="0" fontId="82" fillId="0" borderId="21" xfId="101" applyFont="1" applyBorder="1" applyAlignment="1">
      <alignment horizontal="center" vertical="center" wrapText="1"/>
    </xf>
    <xf numFmtId="0" fontId="82" fillId="0" borderId="6" xfId="101" applyFont="1" applyBorder="1" applyAlignment="1">
      <alignment horizontal="center" vertical="center" wrapText="1"/>
    </xf>
    <xf numFmtId="0" fontId="81" fillId="0" borderId="68" xfId="101" applyFont="1" applyBorder="1" applyAlignment="1">
      <alignment horizontal="center" vertical="center" wrapText="1"/>
    </xf>
    <xf numFmtId="0" fontId="81" fillId="0" borderId="108" xfId="101" applyFont="1" applyBorder="1" applyAlignment="1">
      <alignment horizontal="center" vertical="center" wrapText="1"/>
    </xf>
    <xf numFmtId="0" fontId="81" fillId="0" borderId="120" xfId="101" applyFont="1" applyBorder="1" applyAlignment="1">
      <alignment horizontal="center" vertical="center" wrapText="1"/>
    </xf>
    <xf numFmtId="0" fontId="81" fillId="0" borderId="5" xfId="101" applyFont="1" applyBorder="1" applyAlignment="1">
      <alignment horizontal="center" vertical="center" wrapText="1"/>
    </xf>
    <xf numFmtId="0" fontId="81" fillId="0" borderId="25" xfId="101" applyFont="1" applyBorder="1" applyAlignment="1">
      <alignment horizontal="center" vertical="center" wrapText="1"/>
    </xf>
    <xf numFmtId="0" fontId="81" fillId="0" borderId="32" xfId="101" applyFont="1" applyBorder="1" applyAlignment="1">
      <alignment horizontal="center" vertical="center" wrapText="1"/>
    </xf>
    <xf numFmtId="0" fontId="81" fillId="0" borderId="33" xfId="101" applyFont="1" applyBorder="1" applyAlignment="1">
      <alignment horizontal="center" vertical="center" wrapText="1"/>
    </xf>
    <xf numFmtId="197" fontId="81" fillId="0" borderId="0" xfId="101" applyNumberFormat="1" applyFont="1" applyAlignment="1">
      <alignment horizontal="left" vertical="center" wrapText="1"/>
    </xf>
    <xf numFmtId="0" fontId="81" fillId="0" borderId="6" xfId="101" applyFont="1" applyBorder="1" applyAlignment="1">
      <alignment horizontal="center" vertical="center" wrapText="1"/>
    </xf>
    <xf numFmtId="0" fontId="81" fillId="0" borderId="22" xfId="101" applyFont="1" applyBorder="1" applyAlignment="1">
      <alignment horizontal="center" vertical="center" wrapText="1"/>
    </xf>
    <xf numFmtId="197" fontId="81" fillId="0" borderId="0" xfId="101" applyNumberFormat="1" applyFont="1" applyAlignment="1">
      <alignment horizontal="left" wrapText="1"/>
    </xf>
    <xf numFmtId="0" fontId="82" fillId="0" borderId="19" xfId="101" applyFont="1" applyBorder="1" applyAlignment="1">
      <alignment horizontal="center" vertical="center" wrapText="1"/>
    </xf>
    <xf numFmtId="0" fontId="82" fillId="0" borderId="20" xfId="101" applyFont="1" applyBorder="1" applyAlignment="1">
      <alignment horizontal="center" vertical="center" wrapText="1"/>
    </xf>
    <xf numFmtId="0" fontId="82" fillId="0" borderId="33" xfId="101" applyFont="1" applyBorder="1" applyAlignment="1">
      <alignment horizontal="center" vertical="center" wrapText="1"/>
    </xf>
    <xf numFmtId="208" fontId="81" fillId="0" borderId="71" xfId="101" applyNumberFormat="1" applyFont="1" applyBorder="1" applyAlignment="1">
      <alignment horizontal="center" vertical="center" wrapText="1"/>
    </xf>
    <xf numFmtId="208" fontId="81" fillId="0" borderId="5" xfId="101" applyNumberFormat="1" applyFont="1" applyBorder="1" applyAlignment="1">
      <alignment horizontal="center" vertical="center" wrapText="1"/>
    </xf>
    <xf numFmtId="208" fontId="81" fillId="0" borderId="138" xfId="101" applyNumberFormat="1" applyFont="1" applyBorder="1" applyAlignment="1">
      <alignment horizontal="center" vertical="center" wrapText="1"/>
    </xf>
    <xf numFmtId="208" fontId="81" fillId="0" borderId="32" xfId="101" applyNumberFormat="1" applyFont="1" applyBorder="1" applyAlignment="1">
      <alignment horizontal="center" vertical="center" wrapText="1"/>
    </xf>
    <xf numFmtId="208" fontId="81" fillId="0" borderId="25" xfId="101" applyNumberFormat="1" applyFont="1" applyBorder="1" applyAlignment="1">
      <alignment horizontal="center" vertical="center" wrapText="1"/>
    </xf>
    <xf numFmtId="208" fontId="81" fillId="0" borderId="33" xfId="101" applyNumberFormat="1" applyFont="1" applyBorder="1" applyAlignment="1">
      <alignment horizontal="center" vertical="center" wrapText="1"/>
    </xf>
    <xf numFmtId="0" fontId="83" fillId="0" borderId="0" xfId="101" applyFont="1" applyAlignment="1">
      <alignment horizontal="center" vertical="center" wrapText="1"/>
    </xf>
    <xf numFmtId="208" fontId="81" fillId="0" borderId="24" xfId="101" applyNumberFormat="1" applyFont="1" applyBorder="1" applyAlignment="1">
      <alignment horizontal="center" vertical="center" wrapText="1"/>
    </xf>
    <xf numFmtId="208" fontId="81" fillId="0" borderId="31" xfId="101" applyNumberFormat="1" applyFont="1" applyBorder="1" applyAlignment="1">
      <alignment horizontal="center" vertical="center" wrapText="1"/>
    </xf>
    <xf numFmtId="207" fontId="81" fillId="0" borderId="137" xfId="101" applyNumberFormat="1" applyFont="1" applyBorder="1" applyAlignment="1">
      <alignment horizontal="center" vertical="center" wrapText="1"/>
    </xf>
    <xf numFmtId="207" fontId="81" fillId="0" borderId="117" xfId="101" applyNumberFormat="1" applyFont="1" applyBorder="1" applyAlignment="1">
      <alignment horizontal="center" vertical="center" wrapText="1"/>
    </xf>
    <xf numFmtId="207" fontId="81" fillId="0" borderId="121" xfId="101" applyNumberFormat="1" applyFont="1" applyBorder="1" applyAlignment="1">
      <alignment horizontal="center" vertical="center" wrapText="1"/>
    </xf>
    <xf numFmtId="207" fontId="81" fillId="0" borderId="16" xfId="101" applyNumberFormat="1" applyFont="1" applyBorder="1" applyAlignment="1">
      <alignment horizontal="center" vertical="center" wrapText="1"/>
    </xf>
    <xf numFmtId="207" fontId="81" fillId="0" borderId="36" xfId="101" applyNumberFormat="1" applyFont="1" applyBorder="1" applyAlignment="1">
      <alignment horizontal="center" vertical="center" wrapText="1"/>
    </xf>
    <xf numFmtId="207" fontId="81" fillId="0" borderId="38" xfId="101" applyNumberFormat="1" applyFont="1" applyBorder="1" applyAlignment="1">
      <alignment horizontal="center" vertical="center" wrapText="1"/>
    </xf>
    <xf numFmtId="0" fontId="82" fillId="0" borderId="2" xfId="101" applyFont="1" applyBorder="1" applyAlignment="1">
      <alignment horizontal="center"/>
    </xf>
    <xf numFmtId="0" fontId="82" fillId="0" borderId="3" xfId="101" applyFont="1" applyBorder="1" applyAlignment="1">
      <alignment horizontal="center"/>
    </xf>
    <xf numFmtId="0" fontId="82" fillId="0" borderId="4" xfId="101" applyFont="1" applyBorder="1" applyAlignment="1">
      <alignment horizontal="center"/>
    </xf>
    <xf numFmtId="207" fontId="81" fillId="0" borderId="113" xfId="101" applyNumberFormat="1" applyFont="1" applyBorder="1" applyAlignment="1">
      <alignment horizontal="center" vertical="center" wrapText="1"/>
    </xf>
    <xf numFmtId="207" fontId="81" fillId="0" borderId="108" xfId="101" applyNumberFormat="1" applyFont="1" applyBorder="1" applyAlignment="1">
      <alignment horizontal="center" vertical="center" wrapText="1"/>
    </xf>
    <xf numFmtId="208" fontId="81" fillId="0" borderId="137" xfId="101" applyNumberFormat="1" applyFont="1" applyBorder="1" applyAlignment="1">
      <alignment horizontal="center" vertical="center" wrapText="1"/>
    </xf>
    <xf numFmtId="208" fontId="81" fillId="0" borderId="117" xfId="101" applyNumberFormat="1" applyFont="1" applyBorder="1" applyAlignment="1">
      <alignment horizontal="center" vertical="center" wrapText="1"/>
    </xf>
    <xf numFmtId="208" fontId="81" fillId="0" borderId="121" xfId="101" applyNumberFormat="1" applyFont="1" applyBorder="1" applyAlignment="1">
      <alignment horizontal="center" vertical="center" wrapText="1"/>
    </xf>
    <xf numFmtId="208" fontId="81" fillId="0" borderId="113" xfId="101" applyNumberFormat="1" applyFont="1" applyBorder="1" applyAlignment="1">
      <alignment horizontal="center" vertical="center" wrapText="1"/>
    </xf>
    <xf numFmtId="208" fontId="81" fillId="0" borderId="108" xfId="101" applyNumberFormat="1" applyFont="1" applyBorder="1" applyAlignment="1">
      <alignment horizontal="center" vertical="center" wrapText="1"/>
    </xf>
    <xf numFmtId="208" fontId="81" fillId="0" borderId="120" xfId="101" applyNumberFormat="1" applyFont="1" applyBorder="1" applyAlignment="1">
      <alignment horizontal="center" vertical="center" wrapText="1"/>
    </xf>
    <xf numFmtId="207" fontId="81" fillId="0" borderId="5" xfId="101" applyNumberFormat="1" applyFont="1" applyBorder="1" applyAlignment="1">
      <alignment horizontal="center" vertical="center" wrapText="1"/>
    </xf>
    <xf numFmtId="207" fontId="81" fillId="0" borderId="25" xfId="101" applyNumberFormat="1" applyFont="1" applyBorder="1" applyAlignment="1">
      <alignment horizontal="center" vertical="center" wrapText="1"/>
    </xf>
    <xf numFmtId="207" fontId="81" fillId="0" borderId="120" xfId="101" applyNumberFormat="1" applyFont="1" applyBorder="1" applyAlignment="1">
      <alignment horizontal="center" vertical="center" wrapText="1"/>
    </xf>
    <xf numFmtId="207" fontId="81" fillId="0" borderId="19" xfId="101" applyNumberFormat="1" applyFont="1" applyBorder="1" applyAlignment="1">
      <alignment horizontal="center" vertical="center" wrapText="1"/>
    </xf>
    <xf numFmtId="207" fontId="81" fillId="0" borderId="28" xfId="101" applyNumberFormat="1" applyFont="1" applyBorder="1" applyAlignment="1">
      <alignment horizontal="center" vertical="center" wrapText="1"/>
    </xf>
    <xf numFmtId="208" fontId="81" fillId="0" borderId="19" xfId="101" applyNumberFormat="1" applyFont="1" applyBorder="1" applyAlignment="1">
      <alignment horizontal="center" vertical="center" wrapText="1"/>
    </xf>
    <xf numFmtId="208" fontId="81" fillId="0" borderId="28" xfId="101" applyNumberFormat="1" applyFont="1" applyBorder="1" applyAlignment="1">
      <alignment horizontal="center" vertical="center" wrapText="1"/>
    </xf>
    <xf numFmtId="208" fontId="81" fillId="0" borderId="20" xfId="101" applyNumberFormat="1" applyFont="1" applyBorder="1" applyAlignment="1">
      <alignment horizontal="center" vertical="center" wrapText="1"/>
    </xf>
    <xf numFmtId="208" fontId="81" fillId="0" borderId="29" xfId="101" applyNumberFormat="1" applyFont="1" applyBorder="1" applyAlignment="1">
      <alignment horizontal="center" vertical="center" wrapText="1"/>
    </xf>
    <xf numFmtId="209" fontId="81" fillId="0" borderId="17" xfId="101" applyNumberFormat="1" applyFont="1" applyBorder="1" applyAlignment="1">
      <alignment horizontal="center" vertical="center" wrapText="1"/>
    </xf>
    <xf numFmtId="209" fontId="81" fillId="0" borderId="35" xfId="101" applyNumberFormat="1" applyFont="1" applyBorder="1" applyAlignment="1">
      <alignment horizontal="center" vertical="center" wrapText="1"/>
    </xf>
    <xf numFmtId="209" fontId="81" fillId="0" borderId="14" xfId="101" applyNumberFormat="1" applyFont="1" applyBorder="1" applyAlignment="1">
      <alignment horizontal="center" vertical="center" wrapText="1"/>
    </xf>
    <xf numFmtId="209" fontId="81" fillId="0" borderId="0" xfId="101" applyNumberFormat="1" applyFont="1" applyAlignment="1">
      <alignment horizontal="center" vertical="center" wrapText="1"/>
    </xf>
    <xf numFmtId="208" fontId="81" fillId="0" borderId="17" xfId="101" applyNumberFormat="1" applyFont="1" applyBorder="1" applyAlignment="1">
      <alignment horizontal="center" vertical="center" wrapText="1"/>
    </xf>
    <xf numFmtId="208" fontId="81" fillId="0" borderId="35" xfId="101" applyNumberFormat="1" applyFont="1" applyBorder="1" applyAlignment="1">
      <alignment horizontal="center" vertical="center" wrapText="1"/>
    </xf>
    <xf numFmtId="208" fontId="81" fillId="0" borderId="37" xfId="101" applyNumberFormat="1" applyFont="1" applyBorder="1" applyAlignment="1">
      <alignment horizontal="center" vertical="center" wrapText="1"/>
    </xf>
    <xf numFmtId="208" fontId="81" fillId="0" borderId="14" xfId="101" applyNumberFormat="1" applyFont="1" applyBorder="1" applyAlignment="1">
      <alignment horizontal="center" vertical="center" wrapText="1"/>
    </xf>
    <xf numFmtId="208" fontId="81" fillId="0" borderId="0" xfId="101" applyNumberFormat="1" applyFont="1" applyAlignment="1">
      <alignment horizontal="center" vertical="center" wrapText="1"/>
    </xf>
    <xf numFmtId="208" fontId="81" fillId="0" borderId="15" xfId="101" applyNumberFormat="1" applyFont="1" applyBorder="1" applyAlignment="1">
      <alignment horizontal="center" vertical="center" wrapText="1"/>
    </xf>
    <xf numFmtId="197" fontId="92" fillId="0" borderId="16" xfId="101" applyNumberFormat="1" applyFont="1" applyBorder="1" applyAlignment="1">
      <alignment horizontal="center"/>
    </xf>
    <xf numFmtId="197" fontId="92" fillId="0" borderId="36" xfId="101" applyNumberFormat="1" applyFont="1" applyBorder="1" applyAlignment="1">
      <alignment horizontal="center"/>
    </xf>
    <xf numFmtId="197" fontId="92" fillId="0" borderId="38" xfId="101" applyNumberFormat="1" applyFont="1" applyBorder="1" applyAlignment="1">
      <alignment horizontal="center"/>
    </xf>
    <xf numFmtId="0" fontId="82" fillId="0" borderId="18" xfId="101" applyFont="1" applyBorder="1" applyAlignment="1">
      <alignment horizontal="center" vertical="center" wrapText="1"/>
    </xf>
    <xf numFmtId="0" fontId="81" fillId="0" borderId="19" xfId="101" applyFont="1" applyBorder="1" applyAlignment="1">
      <alignment horizontal="center" vertical="center" wrapText="1"/>
    </xf>
    <xf numFmtId="0" fontId="81" fillId="0" borderId="20" xfId="101" applyFont="1" applyBorder="1" applyAlignment="1">
      <alignment horizontal="center" vertical="center" wrapText="1"/>
    </xf>
    <xf numFmtId="0" fontId="82" fillId="0" borderId="23" xfId="101" applyFont="1" applyBorder="1" applyAlignment="1">
      <alignment horizontal="center" vertical="center" wrapText="1"/>
    </xf>
    <xf numFmtId="0" fontId="82" fillId="0" borderId="26" xfId="101" applyFont="1" applyBorder="1" applyAlignment="1">
      <alignment horizontal="center" vertical="center" wrapText="1"/>
    </xf>
    <xf numFmtId="207" fontId="81" fillId="0" borderId="23" xfId="101" applyNumberFormat="1" applyFont="1" applyBorder="1" applyAlignment="1">
      <alignment horizontal="center" vertical="center" wrapText="1"/>
    </xf>
    <xf numFmtId="207" fontId="81" fillId="0" borderId="18" xfId="101" applyNumberFormat="1" applyFont="1" applyBorder="1" applyAlignment="1">
      <alignment horizontal="center" vertical="center" wrapText="1"/>
    </xf>
    <xf numFmtId="207" fontId="81" fillId="0" borderId="26" xfId="101" applyNumberFormat="1" applyFont="1" applyBorder="1" applyAlignment="1">
      <alignment horizontal="center" vertical="center" wrapText="1"/>
    </xf>
    <xf numFmtId="207" fontId="81" fillId="0" borderId="24" xfId="101" applyNumberFormat="1" applyFont="1" applyBorder="1" applyAlignment="1">
      <alignment horizontal="center" vertical="center" wrapText="1"/>
    </xf>
    <xf numFmtId="207" fontId="81" fillId="0" borderId="77" xfId="101" applyNumberFormat="1" applyFont="1" applyBorder="1" applyAlignment="1">
      <alignment horizontal="center" vertical="center" wrapText="1"/>
    </xf>
    <xf numFmtId="207" fontId="81" fillId="0" borderId="73" xfId="101" applyNumberFormat="1" applyFont="1" applyBorder="1" applyAlignment="1">
      <alignment horizontal="center" vertical="center" wrapText="1"/>
    </xf>
    <xf numFmtId="197" fontId="92" fillId="0" borderId="14" xfId="101" applyNumberFormat="1" applyFont="1" applyBorder="1" applyAlignment="1">
      <alignment horizontal="center"/>
    </xf>
    <xf numFmtId="197" fontId="92" fillId="0" borderId="0" xfId="101" applyNumberFormat="1" applyFont="1" applyAlignment="1">
      <alignment horizontal="center"/>
    </xf>
    <xf numFmtId="197" fontId="92" fillId="0" borderId="15" xfId="101" applyNumberFormat="1" applyFont="1" applyBorder="1" applyAlignment="1">
      <alignment horizontal="center"/>
    </xf>
    <xf numFmtId="0" fontId="82" fillId="0" borderId="136" xfId="101" applyFont="1" applyBorder="1" applyAlignment="1">
      <alignment horizontal="center"/>
    </xf>
    <xf numFmtId="1" fontId="82" fillId="0" borderId="31" xfId="103" applyNumberFormat="1" applyFont="1" applyBorder="1" applyAlignment="1">
      <alignment horizontal="center" vertical="center"/>
    </xf>
    <xf numFmtId="1" fontId="82" fillId="0" borderId="32" xfId="103" applyNumberFormat="1" applyFont="1" applyBorder="1" applyAlignment="1">
      <alignment horizontal="center" vertical="center"/>
    </xf>
    <xf numFmtId="1" fontId="82" fillId="0" borderId="33" xfId="103" applyNumberFormat="1" applyFont="1" applyBorder="1" applyAlignment="1">
      <alignment horizontal="center" vertical="center"/>
    </xf>
    <xf numFmtId="0" fontId="82" fillId="0" borderId="52" xfId="101" applyFont="1" applyBorder="1" applyAlignment="1">
      <alignment horizontal="center" wrapText="1"/>
    </xf>
    <xf numFmtId="0" fontId="82" fillId="0" borderId="53" xfId="101" applyFont="1" applyBorder="1" applyAlignment="1">
      <alignment horizontal="center" wrapText="1"/>
    </xf>
    <xf numFmtId="0" fontId="82" fillId="0" borderId="45" xfId="101" applyFont="1" applyBorder="1" applyAlignment="1">
      <alignment horizontal="center" wrapText="1"/>
    </xf>
    <xf numFmtId="0" fontId="82" fillId="0" borderId="46" xfId="101" applyFont="1" applyBorder="1" applyAlignment="1">
      <alignment horizontal="center" wrapText="1"/>
    </xf>
    <xf numFmtId="0" fontId="82" fillId="0" borderId="134" xfId="101" applyFont="1" applyBorder="1" applyAlignment="1">
      <alignment horizontal="center"/>
    </xf>
    <xf numFmtId="0" fontId="82" fillId="0" borderId="113" xfId="101" applyFont="1" applyBorder="1" applyAlignment="1">
      <alignment horizontal="center" vertical="center" wrapText="1"/>
    </xf>
    <xf numFmtId="0" fontId="82" fillId="0" borderId="108" xfId="101" applyFont="1" applyBorder="1" applyAlignment="1">
      <alignment horizontal="center" vertical="center" wrapText="1"/>
    </xf>
    <xf numFmtId="0" fontId="82" fillId="0" borderId="120" xfId="101" applyFont="1" applyBorder="1" applyAlignment="1">
      <alignment horizontal="center" vertical="center" wrapText="1"/>
    </xf>
    <xf numFmtId="0" fontId="92" fillId="0" borderId="17" xfId="101" applyFont="1" applyBorder="1" applyAlignment="1">
      <alignment horizontal="center" vertical="center" wrapText="1"/>
    </xf>
    <xf numFmtId="0" fontId="92" fillId="0" borderId="35" xfId="101" applyFont="1" applyBorder="1" applyAlignment="1">
      <alignment horizontal="center" vertical="center" wrapText="1"/>
    </xf>
    <xf numFmtId="0" fontId="92" fillId="0" borderId="37" xfId="101" applyFont="1" applyBorder="1" applyAlignment="1">
      <alignment horizontal="center" vertical="center" wrapText="1"/>
    </xf>
    <xf numFmtId="197" fontId="92" fillId="0" borderId="17" xfId="101" applyNumberFormat="1" applyFont="1" applyBorder="1" applyAlignment="1">
      <alignment horizontal="center"/>
    </xf>
    <xf numFmtId="197" fontId="92" fillId="0" borderId="35" xfId="101" applyNumberFormat="1" applyFont="1" applyBorder="1" applyAlignment="1">
      <alignment horizontal="center"/>
    </xf>
    <xf numFmtId="197" fontId="92" fillId="0" borderId="37" xfId="101" applyNumberFormat="1" applyFont="1" applyBorder="1" applyAlignment="1">
      <alignment horizontal="center"/>
    </xf>
    <xf numFmtId="0" fontId="96" fillId="0" borderId="0" xfId="101" applyFont="1" applyAlignment="1">
      <alignment horizontal="center"/>
    </xf>
    <xf numFmtId="0" fontId="82" fillId="0" borderId="0" xfId="101" applyFont="1" applyAlignment="1">
      <alignment horizontal="center"/>
    </xf>
    <xf numFmtId="197" fontId="82" fillId="41" borderId="16" xfId="101" applyNumberFormat="1" applyFont="1" applyFill="1" applyBorder="1" applyAlignment="1">
      <alignment horizontal="center"/>
    </xf>
    <xf numFmtId="197" fontId="82" fillId="41" borderId="38" xfId="101" applyNumberFormat="1" applyFont="1" applyFill="1" applyBorder="1" applyAlignment="1">
      <alignment horizontal="center"/>
    </xf>
    <xf numFmtId="197" fontId="82" fillId="41" borderId="36" xfId="101" applyNumberFormat="1" applyFont="1" applyFill="1" applyBorder="1" applyAlignment="1">
      <alignment horizontal="center"/>
    </xf>
    <xf numFmtId="197" fontId="82" fillId="41" borderId="134" xfId="101" applyNumberFormat="1" applyFont="1" applyFill="1" applyBorder="1" applyAlignment="1">
      <alignment horizontal="center"/>
    </xf>
    <xf numFmtId="197" fontId="82" fillId="41" borderId="35" xfId="101" applyNumberFormat="1" applyFont="1" applyFill="1" applyBorder="1" applyAlignment="1">
      <alignment horizontal="center"/>
    </xf>
    <xf numFmtId="197" fontId="82" fillId="41" borderId="37" xfId="101" applyNumberFormat="1" applyFont="1" applyFill="1" applyBorder="1" applyAlignment="1">
      <alignment horizontal="center"/>
    </xf>
    <xf numFmtId="197" fontId="82" fillId="41" borderId="136" xfId="101" applyNumberFormat="1" applyFont="1" applyFill="1" applyBorder="1" applyAlignment="1">
      <alignment horizontal="center"/>
    </xf>
    <xf numFmtId="197" fontId="82" fillId="41" borderId="0" xfId="101" applyNumberFormat="1" applyFont="1" applyFill="1" applyAlignment="1">
      <alignment horizontal="center"/>
    </xf>
    <xf numFmtId="197" fontId="82" fillId="0" borderId="36" xfId="101" applyNumberFormat="1" applyFont="1" applyBorder="1" applyAlignment="1">
      <alignment horizontal="center"/>
    </xf>
    <xf numFmtId="202" fontId="81" fillId="0" borderId="0" xfId="105" applyNumberFormat="1" applyFont="1" applyAlignment="1">
      <alignment horizontal="center"/>
    </xf>
    <xf numFmtId="202" fontId="81" fillId="0" borderId="75" xfId="105" applyNumberFormat="1" applyFont="1" applyBorder="1" applyAlignment="1">
      <alignment horizontal="center"/>
    </xf>
    <xf numFmtId="0" fontId="85" fillId="41" borderId="14" xfId="101" applyFont="1" applyFill="1" applyBorder="1" applyAlignment="1">
      <alignment horizontal="center" vertical="center"/>
    </xf>
    <xf numFmtId="0" fontId="85" fillId="41" borderId="0" xfId="101" applyFont="1" applyFill="1" applyAlignment="1">
      <alignment horizontal="center" vertical="center"/>
    </xf>
    <xf numFmtId="0" fontId="85" fillId="41" borderId="75" xfId="101" applyFont="1" applyFill="1" applyBorder="1" applyAlignment="1">
      <alignment horizontal="center" vertical="center"/>
    </xf>
    <xf numFmtId="0" fontId="3" fillId="0" borderId="87" xfId="0" applyFont="1" applyBorder="1" applyAlignment="1">
      <alignment horizontal="center" vertical="center"/>
    </xf>
    <xf numFmtId="0" fontId="3" fillId="0" borderId="55" xfId="0" applyFont="1" applyBorder="1" applyAlignment="1">
      <alignment horizontal="center" vertical="center"/>
    </xf>
    <xf numFmtId="0" fontId="3" fillId="0" borderId="88" xfId="0" applyFont="1" applyBorder="1" applyAlignment="1">
      <alignment horizontal="center" vertical="center"/>
    </xf>
    <xf numFmtId="0" fontId="3" fillId="0" borderId="91" xfId="0" applyFont="1" applyBorder="1" applyAlignment="1">
      <alignment horizontal="center" vertical="center"/>
    </xf>
    <xf numFmtId="0" fontId="3" fillId="0" borderId="92" xfId="0" applyFont="1" applyBorder="1" applyAlignment="1">
      <alignment horizontal="center" vertical="center"/>
    </xf>
    <xf numFmtId="0" fontId="3" fillId="0" borderId="93" xfId="0" applyFont="1" applyBorder="1" applyAlignment="1">
      <alignment horizontal="center" vertical="center"/>
    </xf>
    <xf numFmtId="210" fontId="81" fillId="0" borderId="5" xfId="101" applyNumberFormat="1" applyFont="1" applyBorder="1" applyAlignment="1">
      <alignment horizontal="center" vertical="center"/>
    </xf>
    <xf numFmtId="210" fontId="81" fillId="0" borderId="25" xfId="101" applyNumberFormat="1" applyFont="1" applyBorder="1" applyAlignment="1">
      <alignment horizontal="center" vertical="center"/>
    </xf>
    <xf numFmtId="0" fontId="82" fillId="0" borderId="24" xfId="101" applyFont="1" applyBorder="1" applyAlignment="1">
      <alignment horizontal="center" vertical="center"/>
    </xf>
    <xf numFmtId="0" fontId="82" fillId="0" borderId="5" xfId="101" applyFont="1" applyBorder="1" applyAlignment="1">
      <alignment horizontal="center" vertical="center"/>
    </xf>
    <xf numFmtId="0" fontId="82" fillId="0" borderId="31" xfId="101" applyFont="1" applyBorder="1" applyAlignment="1">
      <alignment horizontal="center" vertical="center"/>
    </xf>
    <xf numFmtId="0" fontId="82" fillId="0" borderId="32" xfId="101" applyFont="1" applyBorder="1" applyAlignment="1">
      <alignment horizontal="center" vertical="center"/>
    </xf>
    <xf numFmtId="210" fontId="81" fillId="0" borderId="32" xfId="101" applyNumberFormat="1" applyFont="1" applyBorder="1" applyAlignment="1">
      <alignment horizontal="center" vertical="center"/>
    </xf>
    <xf numFmtId="210" fontId="81" fillId="0" borderId="33" xfId="101" applyNumberFormat="1" applyFont="1" applyBorder="1" applyAlignment="1">
      <alignment horizontal="center" vertical="center"/>
    </xf>
    <xf numFmtId="0" fontId="82" fillId="0" borderId="46" xfId="101" applyFont="1" applyBorder="1" applyAlignment="1">
      <alignment horizontal="center"/>
    </xf>
    <xf numFmtId="0" fontId="82" fillId="0" borderId="18" xfId="101" applyFont="1" applyBorder="1" applyAlignment="1">
      <alignment horizontal="center" vertical="center"/>
    </xf>
    <xf numFmtId="0" fontId="82" fillId="0" borderId="19" xfId="101" applyFont="1" applyBorder="1" applyAlignment="1">
      <alignment horizontal="center" vertical="center"/>
    </xf>
    <xf numFmtId="210" fontId="81" fillId="0" borderId="19" xfId="101" applyNumberFormat="1" applyFont="1" applyBorder="1" applyAlignment="1">
      <alignment horizontal="center" vertical="center"/>
    </xf>
    <xf numFmtId="210" fontId="81" fillId="0" borderId="20" xfId="101" applyNumberFormat="1" applyFont="1" applyBorder="1" applyAlignment="1">
      <alignment horizontal="center" vertical="center"/>
    </xf>
    <xf numFmtId="0" fontId="82" fillId="0" borderId="19" xfId="101" applyFont="1" applyBorder="1" applyAlignment="1">
      <alignment horizontal="center"/>
    </xf>
    <xf numFmtId="0" fontId="82" fillId="0" borderId="20" xfId="101" applyFont="1" applyBorder="1" applyAlignment="1">
      <alignment horizontal="center"/>
    </xf>
    <xf numFmtId="0" fontId="81" fillId="0" borderId="41" xfId="101" applyFont="1" applyBorder="1" applyAlignment="1">
      <alignment horizontal="center" vertical="center"/>
    </xf>
    <xf numFmtId="0" fontId="81" fillId="0" borderId="42" xfId="101" applyFont="1" applyBorder="1" applyAlignment="1">
      <alignment horizontal="center" vertical="center"/>
    </xf>
    <xf numFmtId="0" fontId="81" fillId="0" borderId="50" xfId="101" applyFont="1" applyBorder="1" applyAlignment="1">
      <alignment horizontal="center" vertical="center"/>
    </xf>
    <xf numFmtId="0" fontId="81" fillId="0" borderId="45" xfId="101" applyFont="1" applyBorder="1" applyAlignment="1">
      <alignment horizontal="center" vertical="center"/>
    </xf>
    <xf numFmtId="0" fontId="81" fillId="0" borderId="24" xfId="101" applyFont="1" applyBorder="1" applyAlignment="1">
      <alignment horizontal="center" vertical="center"/>
    </xf>
    <xf numFmtId="0" fontId="81" fillId="0" borderId="5" xfId="101" applyFont="1" applyBorder="1" applyAlignment="1">
      <alignment horizontal="center" vertical="center"/>
    </xf>
    <xf numFmtId="0" fontId="81" fillId="0" borderId="25" xfId="101" applyFont="1" applyBorder="1" applyAlignment="1">
      <alignment horizontal="center" vertical="center"/>
    </xf>
    <xf numFmtId="0" fontId="81" fillId="0" borderId="19" xfId="101" applyFont="1" applyBorder="1" applyAlignment="1">
      <alignment horizontal="center" vertical="center"/>
    </xf>
    <xf numFmtId="0" fontId="81" fillId="0" borderId="20" xfId="101" applyFont="1" applyBorder="1" applyAlignment="1">
      <alignment horizontal="center" vertical="center"/>
    </xf>
    <xf numFmtId="0" fontId="81" fillId="0" borderId="18" xfId="101" applyFont="1" applyBorder="1" applyAlignment="1">
      <alignment horizontal="center" vertical="center"/>
    </xf>
    <xf numFmtId="0" fontId="82" fillId="0" borderId="14" xfId="101" applyFont="1" applyBorder="1" applyAlignment="1">
      <alignment horizontal="center"/>
    </xf>
    <xf numFmtId="0" fontId="82" fillId="0" borderId="75" xfId="101" applyFont="1" applyBorder="1" applyAlignment="1">
      <alignment horizontal="center"/>
    </xf>
    <xf numFmtId="0" fontId="82" fillId="0" borderId="74" xfId="101" applyFont="1" applyBorder="1" applyAlignment="1">
      <alignment horizontal="center"/>
    </xf>
    <xf numFmtId="0" fontId="82" fillId="0" borderId="15" xfId="101" applyFont="1" applyBorder="1" applyAlignment="1">
      <alignment horizontal="center"/>
    </xf>
    <xf numFmtId="197" fontId="95" fillId="45" borderId="0" xfId="101" applyNumberFormat="1" applyFont="1" applyFill="1" applyAlignment="1">
      <alignment horizontal="center"/>
    </xf>
    <xf numFmtId="197" fontId="93" fillId="44" borderId="0" xfId="101" applyNumberFormat="1" applyFont="1" applyFill="1" applyAlignment="1">
      <alignment horizontal="center"/>
    </xf>
    <xf numFmtId="197" fontId="81" fillId="44" borderId="0" xfId="101" applyNumberFormat="1" applyFont="1" applyFill="1" applyAlignment="1">
      <alignment horizontal="center" vertical="top"/>
    </xf>
    <xf numFmtId="197" fontId="81" fillId="45" borderId="0" xfId="101" applyNumberFormat="1" applyFont="1" applyFill="1" applyAlignment="1">
      <alignment horizontal="center" vertical="top"/>
    </xf>
    <xf numFmtId="197" fontId="93" fillId="43" borderId="0" xfId="101" applyNumberFormat="1" applyFont="1" applyFill="1" applyAlignment="1">
      <alignment horizontal="center"/>
    </xf>
    <xf numFmtId="197" fontId="93" fillId="44" borderId="0" xfId="101" applyNumberFormat="1" applyFont="1" applyFill="1" applyAlignment="1">
      <alignment horizontal="center" vertical="center" wrapText="1"/>
    </xf>
    <xf numFmtId="197" fontId="93" fillId="43" borderId="0" xfId="101" applyNumberFormat="1" applyFont="1" applyFill="1" applyAlignment="1">
      <alignment horizontal="center" vertical="center"/>
    </xf>
    <xf numFmtId="195" fontId="82" fillId="0" borderId="0" xfId="101" applyNumberFormat="1" applyFont="1" applyAlignment="1">
      <alignment horizontal="center" vertical="center"/>
    </xf>
    <xf numFmtId="0" fontId="82" fillId="0" borderId="0" xfId="101" applyFont="1" applyAlignment="1">
      <alignment horizontal="center" vertical="center"/>
    </xf>
    <xf numFmtId="0" fontId="2" fillId="31" borderId="2" xfId="0" applyFont="1" applyFill="1" applyBorder="1" applyAlignment="1">
      <alignment horizontal="center"/>
    </xf>
    <xf numFmtId="0" fontId="2" fillId="31" borderId="3" xfId="0" applyFont="1" applyFill="1" applyBorder="1" applyAlignment="1">
      <alignment horizontal="center"/>
    </xf>
    <xf numFmtId="0" fontId="0" fillId="0" borderId="14" xfId="0" applyBorder="1" applyAlignment="1">
      <alignment horizontal="center" wrapText="1"/>
    </xf>
    <xf numFmtId="0" fontId="0" fillId="0" borderId="0" xfId="0" applyAlignment="1">
      <alignment horizontal="center" wrapText="1"/>
    </xf>
    <xf numFmtId="0" fontId="0" fillId="0" borderId="16" xfId="0" applyBorder="1" applyAlignment="1">
      <alignment horizontal="center" wrapText="1"/>
    </xf>
    <xf numFmtId="0" fontId="0" fillId="0" borderId="36" xfId="0" applyBorder="1" applyAlignment="1">
      <alignment horizontal="center" wrapText="1"/>
    </xf>
    <xf numFmtId="0" fontId="0" fillId="0" borderId="14" xfId="0" applyBorder="1" applyAlignment="1">
      <alignment horizontal="center"/>
    </xf>
    <xf numFmtId="0" fontId="0" fillId="0" borderId="0" xfId="0" applyAlignment="1">
      <alignment horizontal="center"/>
    </xf>
    <xf numFmtId="0" fontId="0" fillId="0" borderId="17" xfId="0" applyBorder="1" applyAlignment="1">
      <alignment horizontal="center"/>
    </xf>
    <xf numFmtId="0" fontId="0" fillId="0" borderId="35" xfId="0" applyBorder="1" applyAlignment="1">
      <alignment horizontal="center"/>
    </xf>
  </cellXfs>
  <cellStyles count="108">
    <cellStyle name="‡" xfId="61" xr:uid="{00000000-0005-0000-0000-000000000000}"/>
    <cellStyle name="20% - Accent1 2" xfId="2" xr:uid="{00000000-0005-0000-0000-000001000000}"/>
    <cellStyle name="20% - Accent2 2" xfId="3" xr:uid="{00000000-0005-0000-0000-000002000000}"/>
    <cellStyle name="20% - Accent3 2" xfId="4" xr:uid="{00000000-0005-0000-0000-000003000000}"/>
    <cellStyle name="20% - Accent4 2" xfId="5" xr:uid="{00000000-0005-0000-0000-000004000000}"/>
    <cellStyle name="20% - Accent5 2" xfId="6" xr:uid="{00000000-0005-0000-0000-000005000000}"/>
    <cellStyle name="20% - Accent6 2" xfId="7" xr:uid="{00000000-0005-0000-0000-000006000000}"/>
    <cellStyle name="40% - Accent1 2" xfId="8" xr:uid="{00000000-0005-0000-0000-000007000000}"/>
    <cellStyle name="40% - Accent2 2" xfId="9" xr:uid="{00000000-0005-0000-0000-000008000000}"/>
    <cellStyle name="40% - Accent3 2" xfId="10" xr:uid="{00000000-0005-0000-0000-000009000000}"/>
    <cellStyle name="40% - Accent4 2" xfId="11" xr:uid="{00000000-0005-0000-0000-00000A000000}"/>
    <cellStyle name="40% - Accent5 2" xfId="12" xr:uid="{00000000-0005-0000-0000-00000B000000}"/>
    <cellStyle name="40% - Accent6 2" xfId="13" xr:uid="{00000000-0005-0000-0000-00000C000000}"/>
    <cellStyle name="60% - Accent1 2" xfId="14" xr:uid="{00000000-0005-0000-0000-00000D000000}"/>
    <cellStyle name="60% - Accent2 2" xfId="15" xr:uid="{00000000-0005-0000-0000-00000E000000}"/>
    <cellStyle name="60% - Accent3 2" xfId="16" xr:uid="{00000000-0005-0000-0000-00000F000000}"/>
    <cellStyle name="60% - Accent4 2" xfId="17" xr:uid="{00000000-0005-0000-0000-000010000000}"/>
    <cellStyle name="60% - Accent5 2" xfId="18" xr:uid="{00000000-0005-0000-0000-000011000000}"/>
    <cellStyle name="60% - Accent6 2" xfId="19" xr:uid="{00000000-0005-0000-0000-000012000000}"/>
    <cellStyle name="Accent1 2" xfId="20" xr:uid="{00000000-0005-0000-0000-000013000000}"/>
    <cellStyle name="Accent2 2" xfId="21" xr:uid="{00000000-0005-0000-0000-000014000000}"/>
    <cellStyle name="Accent3 2" xfId="22" xr:uid="{00000000-0005-0000-0000-000015000000}"/>
    <cellStyle name="Accent4 2" xfId="23" xr:uid="{00000000-0005-0000-0000-000016000000}"/>
    <cellStyle name="Accent5 2" xfId="24" xr:uid="{00000000-0005-0000-0000-000017000000}"/>
    <cellStyle name="Accent6 2" xfId="25" xr:uid="{00000000-0005-0000-0000-000018000000}"/>
    <cellStyle name="Bad 2" xfId="26" xr:uid="{00000000-0005-0000-0000-000019000000}"/>
    <cellStyle name="Calculation 2" xfId="27" xr:uid="{00000000-0005-0000-0000-00001A000000}"/>
    <cellStyle name="Check Cell 2" xfId="28" xr:uid="{00000000-0005-0000-0000-00001B000000}"/>
    <cellStyle name="Comma" xfId="1" builtinId="3"/>
    <cellStyle name="Comma  - Style1" xfId="62" xr:uid="{00000000-0005-0000-0000-00001D000000}"/>
    <cellStyle name="Comma  - Style2" xfId="63" xr:uid="{00000000-0005-0000-0000-00001E000000}"/>
    <cellStyle name="Comma  - Style3" xfId="64" xr:uid="{00000000-0005-0000-0000-00001F000000}"/>
    <cellStyle name="Comma  - Style4" xfId="65" xr:uid="{00000000-0005-0000-0000-000020000000}"/>
    <cellStyle name="Comma  - Style5" xfId="66" xr:uid="{00000000-0005-0000-0000-000021000000}"/>
    <cellStyle name="Comma  - Style6" xfId="67" xr:uid="{00000000-0005-0000-0000-000022000000}"/>
    <cellStyle name="Comma  - Style7" xfId="68" xr:uid="{00000000-0005-0000-0000-000023000000}"/>
    <cellStyle name="Comma  - Style8" xfId="69" xr:uid="{00000000-0005-0000-0000-000024000000}"/>
    <cellStyle name="Comma 2" xfId="30" xr:uid="{00000000-0005-0000-0000-000025000000}"/>
    <cellStyle name="Comma 3" xfId="29" xr:uid="{00000000-0005-0000-0000-000026000000}"/>
    <cellStyle name="Comma 3 2" xfId="70" xr:uid="{00000000-0005-0000-0000-000027000000}"/>
    <cellStyle name="Comma 4" xfId="71" xr:uid="{00000000-0005-0000-0000-000028000000}"/>
    <cellStyle name="Comma 5" xfId="103" xr:uid="{00000000-0005-0000-0000-000029000000}"/>
    <cellStyle name="Comma 6" xfId="107" xr:uid="{4D6FF20A-9987-45A0-BA70-67FAD33C1161}"/>
    <cellStyle name="Comma_Cash Flow" xfId="60" xr:uid="{00000000-0005-0000-0000-00002A000000}"/>
    <cellStyle name="Comma0" xfId="31" xr:uid="{00000000-0005-0000-0000-00002B000000}"/>
    <cellStyle name="Currency 2" xfId="72" xr:uid="{00000000-0005-0000-0000-00002C000000}"/>
    <cellStyle name="Currency 3" xfId="73" xr:uid="{00000000-0005-0000-0000-00002D000000}"/>
    <cellStyle name="Currency 3 2" xfId="74" xr:uid="{00000000-0005-0000-0000-00002E000000}"/>
    <cellStyle name="Currency 4" xfId="75" xr:uid="{00000000-0005-0000-0000-00002F000000}"/>
    <cellStyle name="Currency 5" xfId="76" xr:uid="{00000000-0005-0000-0000-000030000000}"/>
    <cellStyle name="Currency 6" xfId="105" xr:uid="{00000000-0005-0000-0000-000031000000}"/>
    <cellStyle name="Currency_Cash Flow" xfId="58" xr:uid="{00000000-0005-0000-0000-000032000000}"/>
    <cellStyle name="Currency_ORTIA Midfield Civils Rates 04 04 10 (2)" xfId="54" xr:uid="{00000000-0005-0000-0000-000033000000}"/>
    <cellStyle name="Currency0" xfId="32" xr:uid="{00000000-0005-0000-0000-000034000000}"/>
    <cellStyle name="Date" xfId="33" xr:uid="{00000000-0005-0000-0000-000035000000}"/>
    <cellStyle name="Explanatory Text 2" xfId="34" xr:uid="{00000000-0005-0000-0000-000036000000}"/>
    <cellStyle name="F2" xfId="77" xr:uid="{00000000-0005-0000-0000-000037000000}"/>
    <cellStyle name="F3" xfId="78" xr:uid="{00000000-0005-0000-0000-000038000000}"/>
    <cellStyle name="F4" xfId="79" xr:uid="{00000000-0005-0000-0000-000039000000}"/>
    <cellStyle name="F5" xfId="80" xr:uid="{00000000-0005-0000-0000-00003A000000}"/>
    <cellStyle name="F6" xfId="81" xr:uid="{00000000-0005-0000-0000-00003B000000}"/>
    <cellStyle name="F7" xfId="82" xr:uid="{00000000-0005-0000-0000-00003C000000}"/>
    <cellStyle name="F8" xfId="83" xr:uid="{00000000-0005-0000-0000-00003D000000}"/>
    <cellStyle name="Fixed" xfId="35" xr:uid="{00000000-0005-0000-0000-00003E000000}"/>
    <cellStyle name="Good 2" xfId="36" xr:uid="{00000000-0005-0000-0000-00003F000000}"/>
    <cellStyle name="Heading 1 2" xfId="37" xr:uid="{00000000-0005-0000-0000-000040000000}"/>
    <cellStyle name="Heading 2 2" xfId="38" xr:uid="{00000000-0005-0000-0000-000041000000}"/>
    <cellStyle name="Heading 3 2" xfId="39" xr:uid="{00000000-0005-0000-0000-000042000000}"/>
    <cellStyle name="Heading 4 2" xfId="40" xr:uid="{00000000-0005-0000-0000-000043000000}"/>
    <cellStyle name="Heading1" xfId="84" xr:uid="{00000000-0005-0000-0000-000044000000}"/>
    <cellStyle name="Heading2" xfId="85" xr:uid="{00000000-0005-0000-0000-000045000000}"/>
    <cellStyle name="Hyperlink" xfId="56" builtinId="8"/>
    <cellStyle name="Input 2" xfId="41" xr:uid="{00000000-0005-0000-0000-000047000000}"/>
    <cellStyle name="input only" xfId="86" xr:uid="{00000000-0005-0000-0000-000048000000}"/>
    <cellStyle name="line" xfId="87" xr:uid="{00000000-0005-0000-0000-000049000000}"/>
    <cellStyle name="Linked Cell 2" xfId="42" xr:uid="{00000000-0005-0000-0000-00004A000000}"/>
    <cellStyle name="m2" xfId="88" xr:uid="{00000000-0005-0000-0000-00004B000000}"/>
    <cellStyle name="Neutral 2" xfId="43" xr:uid="{00000000-0005-0000-0000-00004C000000}"/>
    <cellStyle name="Normal" xfId="0" builtinId="0"/>
    <cellStyle name="Normal - Style1" xfId="89" xr:uid="{00000000-0005-0000-0000-00004E000000}"/>
    <cellStyle name="Normal 2" xfId="44" xr:uid="{00000000-0005-0000-0000-00004F000000}"/>
    <cellStyle name="Normal 2 2" xfId="45" xr:uid="{00000000-0005-0000-0000-000050000000}"/>
    <cellStyle name="Normal 2 3" xfId="46" xr:uid="{00000000-0005-0000-0000-000051000000}"/>
    <cellStyle name="Normal 3" xfId="47" xr:uid="{00000000-0005-0000-0000-000052000000}"/>
    <cellStyle name="Normal 3 2" xfId="101" xr:uid="{00000000-0005-0000-0000-000053000000}"/>
    <cellStyle name="Normal 4" xfId="90" xr:uid="{00000000-0005-0000-0000-000054000000}"/>
    <cellStyle name="Normal 5" xfId="91" xr:uid="{00000000-0005-0000-0000-000055000000}"/>
    <cellStyle name="Normal 6" xfId="92" xr:uid="{00000000-0005-0000-0000-000056000000}"/>
    <cellStyle name="Normal 7" xfId="100" xr:uid="{00000000-0005-0000-0000-000057000000}"/>
    <cellStyle name="Normal 8" xfId="106" xr:uid="{25C00998-211D-4397-975B-416CF26F5708}"/>
    <cellStyle name="Normal_Cash Flow. Machibise Rev4.8-08" xfId="57" xr:uid="{00000000-0005-0000-0000-000058000000}"/>
    <cellStyle name="Normal_Fin Rev 7" xfId="99" xr:uid="{00000000-0005-0000-0000-000059000000}"/>
    <cellStyle name="Normal_JIA-ESC" xfId="55" xr:uid="{00000000-0005-0000-0000-00005A000000}"/>
    <cellStyle name="Normal_ORTIA Midfield Civils Rates 04 04 10 (2)" xfId="102" xr:uid="{00000000-0005-0000-0000-00005B000000}"/>
    <cellStyle name="Note 2" xfId="48" xr:uid="{00000000-0005-0000-0000-00005C000000}"/>
    <cellStyle name="Output 2" xfId="49" xr:uid="{00000000-0005-0000-0000-00005D000000}"/>
    <cellStyle name="Percent" xfId="53" builtinId="5"/>
    <cellStyle name="Percent 2" xfId="93" xr:uid="{00000000-0005-0000-0000-00005F000000}"/>
    <cellStyle name="Percent 3" xfId="94" xr:uid="{00000000-0005-0000-0000-000060000000}"/>
    <cellStyle name="Percent 3 2" xfId="95" xr:uid="{00000000-0005-0000-0000-000061000000}"/>
    <cellStyle name="Percent 4" xfId="59" xr:uid="{00000000-0005-0000-0000-000062000000}"/>
    <cellStyle name="Percent 5" xfId="96" xr:uid="{00000000-0005-0000-0000-000063000000}"/>
    <cellStyle name="Percent 6" xfId="97" xr:uid="{00000000-0005-0000-0000-000064000000}"/>
    <cellStyle name="Percent 7" xfId="104" xr:uid="{00000000-0005-0000-0000-000065000000}"/>
    <cellStyle name="Title 2" xfId="50" xr:uid="{00000000-0005-0000-0000-000066000000}"/>
    <cellStyle name="Total 2" xfId="51" xr:uid="{00000000-0005-0000-0000-000067000000}"/>
    <cellStyle name="Update" xfId="98" xr:uid="{00000000-0005-0000-0000-000068000000}"/>
    <cellStyle name="Warning Text 2" xfId="52" xr:uid="{00000000-0005-0000-0000-000069000000}"/>
  </cellStyles>
  <dxfs count="4">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mruColors>
      <color rgb="FFFF33CC"/>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externalLink" Target="externalLinks/externalLink2.xml"/><Relationship Id="rId50" Type="http://schemas.openxmlformats.org/officeDocument/2006/relationships/externalLink" Target="externalLinks/externalLink5.xml"/><Relationship Id="rId55"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1.xml"/><Relationship Id="rId59"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haredStrings" Target="sharedStrings.xml"/><Relationship Id="rId58"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4.xml"/><Relationship Id="rId57"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externalLink" Target="externalLinks/externalLink3.xml"/><Relationship Id="rId56"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theme" Target="theme/theme1.xml"/><Relationship Id="rId3" Type="http://schemas.openxmlformats.org/officeDocument/2006/relationships/worksheet" Target="worksheets/sheet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455833929849782E-2"/>
          <c:y val="5.2969065513244817E-2"/>
          <c:w val="0.748300309989542"/>
          <c:h val="0.82438899988247738"/>
        </c:manualLayout>
      </c:layout>
      <c:lineChart>
        <c:grouping val="standard"/>
        <c:varyColors val="0"/>
        <c:ser>
          <c:idx val="1"/>
          <c:order val="0"/>
          <c:tx>
            <c:v>Estimated Cashflow</c:v>
          </c:tx>
          <c:spPr>
            <a:ln w="12700">
              <a:solidFill>
                <a:srgbClr val="FF00FF"/>
              </a:solidFill>
              <a:prstDash val="solid"/>
            </a:ln>
          </c:spPr>
          <c:marker>
            <c:symbol val="square"/>
            <c:size val="5"/>
            <c:spPr>
              <a:solidFill>
                <a:srgbClr val="FF00FF"/>
              </a:solidFill>
              <a:ln>
                <a:solidFill>
                  <a:srgbClr val="FF00FF"/>
                </a:solidFill>
                <a:prstDash val="solid"/>
              </a:ln>
            </c:spPr>
          </c:marker>
          <c:cat>
            <c:numRef>
              <c:f>'S Curve '!$A$29:$A$54</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numCache>
            </c:numRef>
          </c:cat>
          <c:val>
            <c:numRef>
              <c:f>'S Curve '!$D$29:$D$54</c:f>
              <c:numCache>
                <c:formatCode>_-* #\ ##0_-;\-* #\ ##0_-;_-* "-"??_-;_-@_-</c:formatCode>
                <c:ptCount val="26"/>
                <c:pt idx="0">
                  <c:v>7614.3536370947413</c:v>
                </c:pt>
                <c:pt idx="1">
                  <c:v>44426.418447381075</c:v>
                </c:pt>
                <c:pt idx="2">
                  <c:v>122273.37688888067</c:v>
                </c:pt>
                <c:pt idx="3">
                  <c:v>247201.49944158609</c:v>
                </c:pt>
                <c:pt idx="4">
                  <c:v>421742.78181706043</c:v>
                </c:pt>
                <c:pt idx="5">
                  <c:v>645846.63720098801</c:v>
                </c:pt>
                <c:pt idx="6">
                  <c:v>917420.17663583602</c:v>
                </c:pt>
                <c:pt idx="7">
                  <c:v>1232692.2622735607</c:v>
                </c:pt>
                <c:pt idx="8">
                  <c:v>1586480.81709689</c:v>
                </c:pt>
                <c:pt idx="9">
                  <c:v>1972399.4706088018</c:v>
                </c:pt>
                <c:pt idx="10">
                  <c:v>2383021.564439238</c:v>
                </c:pt>
                <c:pt idx="11">
                  <c:v>2810010.2618405214</c:v>
                </c:pt>
                <c:pt idx="12">
                  <c:v>3244217.3058737023</c:v>
                </c:pt>
                <c:pt idx="13">
                  <c:v>3675746.9660506807</c:v>
                </c:pt>
                <c:pt idx="14">
                  <c:v>4093973.0604702327</c:v>
                </c:pt>
                <c:pt idx="15">
                  <c:v>4487480.2198226815</c:v>
                </c:pt>
                <c:pt idx="16">
                  <c:v>4843860.9466525214</c:v>
                </c:pt>
                <c:pt idx="17">
                  <c:v>5149185.9693320291</c:v>
                </c:pt>
                <c:pt idx="18">
                  <c:v>5386535.1155507658</c:v>
                </c:pt>
                <c:pt idx="19">
                  <c:v>5530187.2371108308</c:v>
                </c:pt>
                <c:pt idx="20">
                  <c:v>0</c:v>
                </c:pt>
                <c:pt idx="21">
                  <c:v>0</c:v>
                </c:pt>
                <c:pt idx="22">
                  <c:v>0</c:v>
                </c:pt>
                <c:pt idx="23">
                  <c:v>0</c:v>
                </c:pt>
              </c:numCache>
            </c:numRef>
          </c:val>
          <c:smooth val="0"/>
          <c:extLst>
            <c:ext xmlns:c16="http://schemas.microsoft.com/office/drawing/2014/chart" uri="{C3380CC4-5D6E-409C-BE32-E72D297353CC}">
              <c16:uniqueId val="{00000000-1AA7-4863-A131-7056368A590A}"/>
            </c:ext>
          </c:extLst>
        </c:ser>
        <c:ser>
          <c:idx val="3"/>
          <c:order val="1"/>
          <c:tx>
            <c:v>Actual Cashflow</c:v>
          </c:tx>
          <c:spPr>
            <a:ln w="12700">
              <a:solidFill>
                <a:srgbClr val="0000FF"/>
              </a:solidFill>
              <a:prstDash val="solid"/>
            </a:ln>
          </c:spPr>
          <c:marker>
            <c:symbol val="x"/>
            <c:size val="5"/>
            <c:spPr>
              <a:noFill/>
              <a:ln>
                <a:solidFill>
                  <a:srgbClr val="00FFFF"/>
                </a:solidFill>
                <a:prstDash val="solid"/>
              </a:ln>
            </c:spPr>
          </c:marker>
          <c:cat>
            <c:numRef>
              <c:f>'S Curve '!$A$29:$A$54</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numCache>
            </c:numRef>
          </c:cat>
          <c:val>
            <c:numRef>
              <c:f>'S Curve '!$I$29:$I$54</c:f>
              <c:numCache>
                <c:formatCode>#,##0</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numCache>
            </c:numRef>
          </c:val>
          <c:smooth val="0"/>
          <c:extLst>
            <c:ext xmlns:c16="http://schemas.microsoft.com/office/drawing/2014/chart" uri="{C3380CC4-5D6E-409C-BE32-E72D297353CC}">
              <c16:uniqueId val="{00000001-1AA7-4863-A131-7056368A590A}"/>
            </c:ext>
          </c:extLst>
        </c:ser>
        <c:dLbls>
          <c:showLegendKey val="0"/>
          <c:showVal val="0"/>
          <c:showCatName val="0"/>
          <c:showSerName val="0"/>
          <c:showPercent val="0"/>
          <c:showBubbleSize val="0"/>
        </c:dLbls>
        <c:marker val="1"/>
        <c:smooth val="0"/>
        <c:axId val="-1680892600"/>
        <c:axId val="-1776058360"/>
      </c:lineChart>
      <c:catAx>
        <c:axId val="-1680892600"/>
        <c:scaling>
          <c:orientation val="minMax"/>
        </c:scaling>
        <c:delete val="0"/>
        <c:axPos val="b"/>
        <c:title>
          <c:tx>
            <c:rich>
              <a:bodyPr/>
              <a:lstStyle/>
              <a:p>
                <a:pPr>
                  <a:defRPr sz="1000" b="0" i="0" u="none" strike="noStrike" baseline="0">
                    <a:solidFill>
                      <a:srgbClr val="000000"/>
                    </a:solidFill>
                    <a:latin typeface="Times New Roman"/>
                    <a:ea typeface="Times New Roman"/>
                    <a:cs typeface="Times New Roman"/>
                  </a:defRPr>
                </a:pPr>
                <a:r>
                  <a:rPr lang="en-ZA"/>
                  <a:t>MONTHS</a:t>
                </a:r>
              </a:p>
            </c:rich>
          </c:tx>
          <c:layout>
            <c:manualLayout>
              <c:xMode val="edge"/>
              <c:yMode val="edge"/>
              <c:x val="0.45487081698818788"/>
              <c:y val="0.9410480349345085"/>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Times New Roman"/>
                <a:ea typeface="Times New Roman"/>
                <a:cs typeface="Times New Roman"/>
              </a:defRPr>
            </a:pPr>
            <a:endParaRPr lang="en-US"/>
          </a:p>
        </c:txPr>
        <c:crossAx val="-1776058360"/>
        <c:crosses val="autoZero"/>
        <c:auto val="0"/>
        <c:lblAlgn val="ctr"/>
        <c:lblOffset val="100"/>
        <c:tickLblSkip val="1"/>
        <c:tickMarkSkip val="1"/>
        <c:noMultiLvlLbl val="0"/>
      </c:catAx>
      <c:valAx>
        <c:axId val="-1776058360"/>
        <c:scaling>
          <c:orientation val="minMax"/>
        </c:scaling>
        <c:delete val="0"/>
        <c:axPos val="l"/>
        <c:majorGridlines>
          <c:spPr>
            <a:ln w="3175">
              <a:solidFill>
                <a:srgbClr val="000000"/>
              </a:solidFill>
              <a:prstDash val="solid"/>
            </a:ln>
          </c:spPr>
        </c:majorGridlines>
        <c:title>
          <c:tx>
            <c:rich>
              <a:bodyPr/>
              <a:lstStyle/>
              <a:p>
                <a:pPr>
                  <a:defRPr sz="1000" b="0" i="0" u="none" strike="noStrike" baseline="0">
                    <a:solidFill>
                      <a:srgbClr val="000000"/>
                    </a:solidFill>
                    <a:latin typeface="Times New Roman"/>
                    <a:ea typeface="Times New Roman"/>
                    <a:cs typeface="Times New Roman"/>
                  </a:defRPr>
                </a:pPr>
                <a:r>
                  <a:rPr lang="en-ZA"/>
                  <a:t>CASHFLOW</a:t>
                </a:r>
              </a:p>
            </c:rich>
          </c:tx>
          <c:layout>
            <c:manualLayout>
              <c:xMode val="edge"/>
              <c:yMode val="edge"/>
              <c:x val="4.4682791452671936E-3"/>
              <c:y val="0.40393013100436681"/>
            </c:manualLayout>
          </c:layout>
          <c:overlay val="0"/>
          <c:spPr>
            <a:noFill/>
            <a:ln w="25400">
              <a:noFill/>
            </a:ln>
          </c:spPr>
        </c:title>
        <c:numFmt formatCode="_-* #\ ##0_-;\-* #\ ##0_-;_-* &quot;-&quot;??_-;_-@_-" sourceLinked="1"/>
        <c:majorTickMark val="cross"/>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Times New Roman"/>
                <a:ea typeface="Times New Roman"/>
                <a:cs typeface="Times New Roman"/>
              </a:defRPr>
            </a:pPr>
            <a:endParaRPr lang="en-US"/>
          </a:p>
        </c:txPr>
        <c:crossAx val="-1680892600"/>
        <c:crosses val="autoZero"/>
        <c:crossBetween val="between"/>
      </c:valAx>
      <c:spPr>
        <a:ln w="25400">
          <a:solidFill>
            <a:sysClr val="windowText" lastClr="000000"/>
          </a:solidFill>
        </a:ln>
      </c:spPr>
    </c:plotArea>
    <c:legend>
      <c:legendPos val="r"/>
      <c:layout>
        <c:manualLayout>
          <c:xMode val="edge"/>
          <c:yMode val="edge"/>
          <c:x val="0.27882061866467323"/>
          <c:y val="0.22707423580786273"/>
          <c:w val="0.1286864393836917"/>
          <c:h val="9.3886462882098537E-2"/>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Times New Roman"/>
              <a:ea typeface="Times New Roman"/>
              <a:cs typeface="Times New Roman"/>
            </a:defRPr>
          </a:pPr>
          <a:endParaRPr lang="en-US"/>
        </a:p>
      </c:txPr>
    </c:legend>
    <c:plotVisOnly val="0"/>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n-US"/>
    </a:p>
  </c:txPr>
  <c:printSettings>
    <c:headerFooter alignWithMargins="0"/>
    <c:pageMargins b="1" l="0.75000000000000722" r="0.75000000000000722" t="1" header="0.5" footer="0.5"/>
    <c:pageSetup paperSize="9" orientation="landscape" horizontalDpi="-4"/>
  </c:printSettings>
</c:chartSpace>
</file>

<file path=xl/diagrams/colors1.xml><?xml version="1.0" encoding="utf-8"?>
<dgm:colorsDef xmlns:dgm="http://schemas.openxmlformats.org/drawingml/2006/diagram" xmlns:a="http://schemas.openxmlformats.org/drawingml/2006/main" uniqueId="urn:microsoft.com/office/officeart/2005/8/colors/accent5_4">
  <dgm:title val=""/>
  <dgm:desc val=""/>
  <dgm:catLst>
    <dgm:cat type="accent5" pri="11400"/>
  </dgm:catLst>
  <dgm:styleLbl name="node0">
    <dgm:fillClrLst meth="cycle">
      <a:schemeClr val="accent5">
        <a:shade val="60000"/>
      </a:schemeClr>
    </dgm:fillClrLst>
    <dgm:linClrLst meth="repeat">
      <a:schemeClr val="lt1"/>
    </dgm:linClrLst>
    <dgm:effectClrLst/>
    <dgm:txLinClrLst/>
    <dgm:txFillClrLst/>
    <dgm:txEffectClrLst/>
  </dgm:styleLbl>
  <dgm:styleLbl name="node1">
    <dgm:fillClrLst meth="cycle">
      <a:schemeClr val="accent5">
        <a:shade val="50000"/>
      </a:schemeClr>
      <a:schemeClr val="accent5">
        <a:tint val="55000"/>
      </a:schemeClr>
    </dgm:fillClrLst>
    <dgm:linClrLst meth="repeat">
      <a:schemeClr val="lt1"/>
    </dgm:linClrLst>
    <dgm:effectClrLst/>
    <dgm:txLinClrLst/>
    <dgm:txFillClrLst/>
    <dgm:txEffectClrLst/>
  </dgm:styleLbl>
  <dgm:styleLbl name="alignNode1">
    <dgm:fillClrLst meth="cycle">
      <a:schemeClr val="accent5">
        <a:shade val="50000"/>
      </a:schemeClr>
      <a:schemeClr val="accent5">
        <a:tint val="55000"/>
      </a:schemeClr>
    </dgm:fillClrLst>
    <dgm:linClrLst meth="cycle">
      <a:schemeClr val="accent5">
        <a:shade val="50000"/>
      </a:schemeClr>
      <a:schemeClr val="accent5">
        <a:tint val="55000"/>
      </a:schemeClr>
    </dgm:linClrLst>
    <dgm:effectClrLst/>
    <dgm:txLinClrLst/>
    <dgm:txFillClrLst/>
    <dgm:txEffectClrLst/>
  </dgm:styleLbl>
  <dgm:styleLbl name="lnNode1">
    <dgm:fillClrLst meth="cycle">
      <a:schemeClr val="accent5">
        <a:shade val="50000"/>
      </a:schemeClr>
      <a:schemeClr val="accent5">
        <a:tint val="55000"/>
      </a:schemeClr>
    </dgm:fillClrLst>
    <dgm:linClrLst meth="repeat">
      <a:schemeClr val="lt1"/>
    </dgm:linClrLst>
    <dgm:effectClrLst/>
    <dgm:txLinClrLst/>
    <dgm:txFillClrLst/>
    <dgm:txEffectClrLst/>
  </dgm:styleLbl>
  <dgm:styleLbl name="vennNode1">
    <dgm:fillClrLst meth="cycle">
      <a:schemeClr val="accent5">
        <a:shade val="80000"/>
        <a:alpha val="50000"/>
      </a:schemeClr>
      <a:schemeClr val="accent5">
        <a:tint val="50000"/>
        <a:alpha val="50000"/>
      </a:schemeClr>
    </dgm:fillClrLst>
    <dgm:linClrLst meth="repeat">
      <a:schemeClr val="lt1"/>
    </dgm:linClrLst>
    <dgm:effectClrLst/>
    <dgm:txLinClrLst/>
    <dgm:txFillClrLst/>
    <dgm:txEffectClrLst/>
  </dgm:styleLbl>
  <dgm:styleLbl name="node2">
    <dgm:fillClrLst>
      <a:schemeClr val="accent5">
        <a:shade val="80000"/>
      </a:schemeClr>
    </dgm:fillClrLst>
    <dgm:linClrLst meth="repeat">
      <a:schemeClr val="lt1"/>
    </dgm:linClrLst>
    <dgm:effectClrLst/>
    <dgm:txLinClrLst/>
    <dgm:txFillClrLst/>
    <dgm:txEffectClrLst/>
  </dgm:styleLbl>
  <dgm:styleLbl name="node3">
    <dgm:fillClrLst>
      <a:schemeClr val="accent5">
        <a:tint val="99000"/>
      </a:schemeClr>
    </dgm:fillClrLst>
    <dgm:linClrLst meth="repeat">
      <a:schemeClr val="lt1"/>
    </dgm:linClrLst>
    <dgm:effectClrLst/>
    <dgm:txLinClrLst/>
    <dgm:txFillClrLst/>
    <dgm:txEffectClrLst/>
  </dgm:styleLbl>
  <dgm:styleLbl name="node4">
    <dgm:fillClrLst>
      <a:schemeClr val="accent5">
        <a:tint val="70000"/>
      </a:schemeClr>
    </dgm:fillClrLst>
    <dgm:linClrLst meth="repeat">
      <a:schemeClr val="lt1"/>
    </dgm:linClrLst>
    <dgm:effectClrLst/>
    <dgm:txLinClrLst/>
    <dgm:txFillClrLst/>
    <dgm:txEffectClrLst/>
  </dgm:styleLbl>
  <dgm:styleLbl name="fgImgPlace1">
    <dgm:fillClrLst>
      <a:schemeClr val="accent5">
        <a:tint val="50000"/>
      </a:schemeClr>
      <a:schemeClr val="accent5">
        <a:tint val="55000"/>
      </a:schemeClr>
    </dgm:fillClrLst>
    <dgm:linClrLst meth="repeat">
      <a:schemeClr val="lt1"/>
    </dgm:linClrLst>
    <dgm:effectClrLst/>
    <dgm:txLinClrLst/>
    <dgm:txFillClrLst meth="repeat">
      <a:schemeClr val="lt1"/>
    </dgm:txFillClrLst>
    <dgm:txEffectClrLst/>
  </dgm:styleLbl>
  <dgm:styleLbl name="alignImgPlace1">
    <dgm:fillClrLst>
      <a:schemeClr val="accent5">
        <a:tint val="50000"/>
      </a:schemeClr>
      <a:schemeClr val="accent5">
        <a:tint val="55000"/>
      </a:schemeClr>
    </dgm:fillClrLst>
    <dgm:linClrLst meth="repeat">
      <a:schemeClr val="lt1"/>
    </dgm:linClrLst>
    <dgm:effectClrLst/>
    <dgm:txLinClrLst/>
    <dgm:txFillClrLst meth="repeat">
      <a:schemeClr val="lt1"/>
    </dgm:txFillClrLst>
    <dgm:txEffectClrLst/>
  </dgm:styleLbl>
  <dgm:styleLbl name="bgImgPlace1">
    <dgm:fillClrLst>
      <a:schemeClr val="accent5">
        <a:tint val="50000"/>
      </a:schemeClr>
      <a:schemeClr val="accent5">
        <a:tint val="55000"/>
      </a:schemeClr>
    </dgm:fillClrLst>
    <dgm:linClrLst meth="repeat">
      <a:schemeClr val="lt1"/>
    </dgm:linClrLst>
    <dgm:effectClrLst/>
    <dgm:txLinClrLst/>
    <dgm:txFillClrLst meth="repeat">
      <a:schemeClr val="lt1"/>
    </dgm:txFillClrLst>
    <dgm:txEffectClrLst/>
  </dgm:styleLbl>
  <dgm:styleLbl name="sibTrans2D1">
    <dgm:fillClrLst meth="cycle">
      <a:schemeClr val="accent5">
        <a:shade val="90000"/>
      </a:schemeClr>
      <a:schemeClr val="accent5">
        <a:tint val="50000"/>
      </a:schemeClr>
    </dgm:fillClrLst>
    <dgm:linClrLst meth="cycle">
      <a:schemeClr val="accent5">
        <a:shade val="90000"/>
      </a:schemeClr>
      <a:schemeClr val="accent5">
        <a:tint val="50000"/>
      </a:schemeClr>
    </dgm:linClrLst>
    <dgm:effectClrLst/>
    <dgm:txLinClrLst/>
    <dgm:txFillClrLst/>
    <dgm:txEffectClrLst/>
  </dgm:styleLbl>
  <dgm:styleLbl name="fgSibTrans2D1">
    <dgm:fillClrLst meth="cycle">
      <a:schemeClr val="accent5">
        <a:shade val="90000"/>
      </a:schemeClr>
      <a:schemeClr val="accent5">
        <a:tint val="50000"/>
      </a:schemeClr>
    </dgm:fillClrLst>
    <dgm:linClrLst meth="cycle">
      <a:schemeClr val="accent5">
        <a:shade val="90000"/>
      </a:schemeClr>
      <a:schemeClr val="accent5">
        <a:tint val="50000"/>
      </a:schemeClr>
    </dgm:linClrLst>
    <dgm:effectClrLst/>
    <dgm:txLinClrLst/>
    <dgm:txFillClrLst/>
    <dgm:txEffectClrLst/>
  </dgm:styleLbl>
  <dgm:styleLbl name="bgSibTrans2D1">
    <dgm:fillClrLst meth="cycle">
      <a:schemeClr val="accent5">
        <a:shade val="90000"/>
      </a:schemeClr>
      <a:schemeClr val="accent5">
        <a:tint val="50000"/>
      </a:schemeClr>
    </dgm:fillClrLst>
    <dgm:linClrLst meth="cycle">
      <a:schemeClr val="accent5">
        <a:shade val="90000"/>
      </a:schemeClr>
      <a:schemeClr val="accent5">
        <a:tint val="50000"/>
      </a:schemeClr>
    </dgm:linClrLst>
    <dgm:effectClrLst/>
    <dgm:txLinClrLst/>
    <dgm:txFillClrLst/>
    <dgm:txEffectClrLst/>
  </dgm:styleLbl>
  <dgm:styleLbl name="fgSibTrans2D1">
    <dgm:fillClrLst meth="cycle">
      <a:schemeClr val="accent5">
        <a:shade val="90000"/>
      </a:schemeClr>
      <a:schemeClr val="accent5">
        <a:tint val="50000"/>
      </a:schemeClr>
    </dgm:fillClrLst>
    <dgm:linClrLst meth="cycle">
      <a:schemeClr val="accent5">
        <a:shade val="90000"/>
      </a:schemeClr>
      <a:schemeClr val="accent5">
        <a:tint val="50000"/>
      </a:schemeClr>
    </dgm:linClrLst>
    <dgm:effectClrLst/>
    <dgm:txLinClrLst/>
    <dgm:txFillClrLst/>
    <dgm:txEffectClrLst/>
  </dgm:styleLbl>
  <dgm:styleLbl name="sibTrans1D1">
    <dgm:fillClrLst meth="cycle">
      <a:schemeClr val="accent5">
        <a:shade val="90000"/>
      </a:schemeClr>
      <a:schemeClr val="accent5">
        <a:tint val="50000"/>
      </a:schemeClr>
    </dgm:fillClrLst>
    <dgm:linClrLst meth="cycle">
      <a:schemeClr val="accent5">
        <a:shade val="90000"/>
      </a:schemeClr>
      <a:schemeClr val="accent5">
        <a:tint val="50000"/>
      </a:schemeClr>
    </dgm:linClrLst>
    <dgm:effectClrLst/>
    <dgm:txLinClrLst/>
    <dgm:txFillClrLst meth="repeat">
      <a:schemeClr val="tx1"/>
    </dgm:txFillClrLst>
    <dgm:txEffectClrLst/>
  </dgm:styleLbl>
  <dgm:styleLbl name="callout">
    <dgm:fillClrLst meth="repeat">
      <a:schemeClr val="accent5"/>
    </dgm:fillClrLst>
    <dgm:linClrLst meth="repeat">
      <a:schemeClr val="accent5"/>
    </dgm:linClrLst>
    <dgm:effectClrLst/>
    <dgm:txLinClrLst/>
    <dgm:txFillClrLst meth="repeat">
      <a:schemeClr val="tx1"/>
    </dgm:txFillClrLst>
    <dgm:txEffectClrLst/>
  </dgm:styleLbl>
  <dgm:styleLbl name="asst0">
    <dgm:fillClrLst meth="repeat">
      <a:schemeClr val="accent5">
        <a:shade val="80000"/>
      </a:schemeClr>
    </dgm:fillClrLst>
    <dgm:linClrLst meth="repeat">
      <a:schemeClr val="lt1"/>
    </dgm:linClrLst>
    <dgm:effectClrLst/>
    <dgm:txLinClrLst/>
    <dgm:txFillClrLst/>
    <dgm:txEffectClrLst/>
  </dgm:styleLbl>
  <dgm:styleLbl name="asst1">
    <dgm:fillClrLst meth="repeat">
      <a:schemeClr val="accent5">
        <a:shade val="80000"/>
      </a:schemeClr>
    </dgm:fillClrLst>
    <dgm:linClrLst meth="repeat">
      <a:schemeClr val="lt1"/>
    </dgm:linClrLst>
    <dgm:effectClrLst/>
    <dgm:txLinClrLst/>
    <dgm:txFillClrLst/>
    <dgm:txEffectClrLst/>
  </dgm:styleLbl>
  <dgm:styleLbl name="asst2">
    <dgm:fillClrLst>
      <a:schemeClr val="accent5">
        <a:tint val="90000"/>
      </a:schemeClr>
    </dgm:fillClrLst>
    <dgm:linClrLst meth="repeat">
      <a:schemeClr val="lt1"/>
    </dgm:linClrLst>
    <dgm:effectClrLst/>
    <dgm:txLinClrLst/>
    <dgm:txFillClrLst/>
    <dgm:txEffectClrLst/>
  </dgm:styleLbl>
  <dgm:styleLbl name="asst3">
    <dgm:fillClrLst>
      <a:schemeClr val="accent5">
        <a:tint val="70000"/>
      </a:schemeClr>
    </dgm:fillClrLst>
    <dgm:linClrLst meth="repeat">
      <a:schemeClr val="lt1"/>
    </dgm:linClrLst>
    <dgm:effectClrLst/>
    <dgm:txLinClrLst/>
    <dgm:txFillClrLst/>
    <dgm:txEffectClrLst/>
  </dgm:styleLbl>
  <dgm:styleLbl name="asst4">
    <dgm:fillClrLst>
      <a:schemeClr val="accent5">
        <a:tint val="50000"/>
      </a:schemeClr>
    </dgm:fillClrLst>
    <dgm:linClrLst meth="repeat">
      <a:schemeClr val="lt1"/>
    </dgm:linClrLst>
    <dgm:effectClrLst/>
    <dgm:txLinClrLst/>
    <dgm:txFillClrLst/>
    <dgm:txEffectClrLst/>
  </dgm:styleLbl>
  <dgm:styleLbl name="parChTrans2D1">
    <dgm:fillClrLst meth="repeat">
      <a:schemeClr val="accent5">
        <a:tint val="60000"/>
      </a:schemeClr>
    </dgm:fillClrLst>
    <dgm:linClrLst meth="repeat">
      <a:schemeClr val="accent5">
        <a:shade val="80000"/>
      </a:schemeClr>
    </dgm:linClrLst>
    <dgm:effectClrLst/>
    <dgm:txLinClrLst/>
    <dgm:txFillClrLst/>
    <dgm:txEffectClrLst/>
  </dgm:styleLbl>
  <dgm:styleLbl name="parChTrans2D2">
    <dgm:fillClrLst meth="repeat">
      <a:schemeClr val="accent5">
        <a:tint val="90000"/>
      </a:schemeClr>
    </dgm:fillClrLst>
    <dgm:linClrLst meth="repeat">
      <a:schemeClr val="accent5">
        <a:tint val="90000"/>
      </a:schemeClr>
    </dgm:linClrLst>
    <dgm:effectClrLst/>
    <dgm:txLinClrLst/>
    <dgm:txFillClrLst/>
    <dgm:txEffectClrLst/>
  </dgm:styleLbl>
  <dgm:styleLbl name="parChTrans2D3">
    <dgm:fillClrLst meth="repeat">
      <a:schemeClr val="accent5">
        <a:tint val="70000"/>
      </a:schemeClr>
    </dgm:fillClrLst>
    <dgm:linClrLst meth="repeat">
      <a:schemeClr val="accent5">
        <a:tint val="70000"/>
      </a:schemeClr>
    </dgm:linClrLst>
    <dgm:effectClrLst/>
    <dgm:txLinClrLst/>
    <dgm:txFillClrLst/>
    <dgm:txEffectClrLst/>
  </dgm:styleLbl>
  <dgm:styleLbl name="parChTrans2D4">
    <dgm:fillClrLst meth="repeat">
      <a:schemeClr val="accent5">
        <a:tint val="50000"/>
      </a:schemeClr>
    </dgm:fillClrLst>
    <dgm:linClrLst meth="repeat">
      <a:schemeClr val="accent5">
        <a:tint val="50000"/>
      </a:schemeClr>
    </dgm:linClrLst>
    <dgm:effectClrLst/>
    <dgm:txLinClrLst/>
    <dgm:txFillClrLst meth="repeat">
      <a:schemeClr val="dk1"/>
    </dgm:txFillClrLst>
    <dgm:txEffectClrLst/>
  </dgm:styleLbl>
  <dgm:styleLbl name="parChTrans1D1">
    <dgm:fillClrLst meth="repeat">
      <a:schemeClr val="accent5">
        <a:shade val="80000"/>
      </a:schemeClr>
    </dgm:fillClrLst>
    <dgm:linClrLst meth="repeat">
      <a:schemeClr val="accent5">
        <a:shade val="80000"/>
      </a:schemeClr>
    </dgm:linClrLst>
    <dgm:effectClrLst/>
    <dgm:txLinClrLst/>
    <dgm:txFillClrLst meth="repeat">
      <a:schemeClr val="tx1"/>
    </dgm:txFillClrLst>
    <dgm:txEffectClrLst/>
  </dgm:styleLbl>
  <dgm:styleLbl name="parChTrans1D2">
    <dgm:fillClrLst meth="repeat">
      <a:schemeClr val="accent5">
        <a:tint val="90000"/>
      </a:schemeClr>
    </dgm:fillClrLst>
    <dgm:linClrLst meth="repeat">
      <a:schemeClr val="accent5">
        <a:tint val="90000"/>
      </a:schemeClr>
    </dgm:linClrLst>
    <dgm:effectClrLst/>
    <dgm:txLinClrLst/>
    <dgm:txFillClrLst meth="repeat">
      <a:schemeClr val="tx1"/>
    </dgm:txFillClrLst>
    <dgm:txEffectClrLst/>
  </dgm:styleLbl>
  <dgm:styleLbl name="parChTrans1D3">
    <dgm:fillClrLst meth="repeat">
      <a:schemeClr val="accent5">
        <a:tint val="70000"/>
      </a:schemeClr>
    </dgm:fillClrLst>
    <dgm:linClrLst meth="repeat">
      <a:schemeClr val="accent5">
        <a:tint val="70000"/>
      </a:schemeClr>
    </dgm:linClrLst>
    <dgm:effectClrLst/>
    <dgm:txLinClrLst/>
    <dgm:txFillClrLst meth="repeat">
      <a:schemeClr val="tx1"/>
    </dgm:txFillClrLst>
    <dgm:txEffectClrLst/>
  </dgm:styleLbl>
  <dgm:styleLbl name="parChTrans1D4">
    <dgm:fillClrLst meth="repeat">
      <a:schemeClr val="accent5">
        <a:tint val="50000"/>
      </a:schemeClr>
    </dgm:fillClrLst>
    <dgm:linClrLst meth="repeat">
      <a:schemeClr val="accent5">
        <a:tint val="50000"/>
      </a:schemeClr>
    </dgm:linClrLst>
    <dgm:effectClrLst/>
    <dgm:txLinClrLst/>
    <dgm:txFillClrLst meth="repeat">
      <a:schemeClr val="tx1"/>
    </dgm:txFillClrLst>
    <dgm:txEffectClrLst/>
  </dgm:styleLbl>
  <dgm:styleLbl name="fgAcc1">
    <dgm:fillClrLst meth="repeat">
      <a:schemeClr val="lt1">
        <a:alpha val="90000"/>
      </a:schemeClr>
    </dgm:fillClrLst>
    <dgm:linClrLst meth="cycle">
      <a:schemeClr val="accent5">
        <a:shade val="50000"/>
      </a:schemeClr>
      <a:schemeClr val="accent5">
        <a:tint val="55000"/>
      </a:schemeClr>
    </dgm:linClrLst>
    <dgm:effectClrLst/>
    <dgm:txLinClrLst/>
    <dgm:txFillClrLst meth="repeat">
      <a:schemeClr val="dk1"/>
    </dgm:txFillClrLst>
    <dgm:txEffectClrLst/>
  </dgm:styleLbl>
  <dgm:styleLbl name="conFgAcc1">
    <dgm:fillClrLst meth="repeat">
      <a:schemeClr val="lt1">
        <a:alpha val="90000"/>
      </a:schemeClr>
    </dgm:fillClrLst>
    <dgm:linClrLst meth="cycle">
      <a:schemeClr val="accent5">
        <a:shade val="50000"/>
      </a:schemeClr>
      <a:schemeClr val="accent5">
        <a:tint val="55000"/>
      </a:schemeClr>
    </dgm:linClrLst>
    <dgm:effectClrLst/>
    <dgm:txLinClrLst/>
    <dgm:txFillClrLst meth="repeat">
      <a:schemeClr val="dk1"/>
    </dgm:txFillClrLst>
    <dgm:txEffectClrLst/>
  </dgm:styleLbl>
  <dgm:styleLbl name="alignAcc1">
    <dgm:fillClrLst meth="repeat">
      <a:schemeClr val="lt1">
        <a:alpha val="90000"/>
      </a:schemeClr>
    </dgm:fillClrLst>
    <dgm:linClrLst meth="cycle">
      <a:schemeClr val="accent5">
        <a:shade val="50000"/>
      </a:schemeClr>
      <a:schemeClr val="accent5">
        <a:tint val="55000"/>
      </a:schemeClr>
    </dgm:linClrLst>
    <dgm:effectClrLst/>
    <dgm:txLinClrLst/>
    <dgm:txFillClrLst meth="repeat">
      <a:schemeClr val="dk1"/>
    </dgm:txFillClrLst>
    <dgm:txEffectClrLst/>
  </dgm:styleLbl>
  <dgm:styleLbl name="trAlignAcc1">
    <dgm:fillClrLst meth="repeat">
      <a:schemeClr val="lt1">
        <a:alpha val="55000"/>
      </a:schemeClr>
    </dgm:fillClrLst>
    <dgm:linClrLst meth="repeat">
      <a:schemeClr val="accent5"/>
    </dgm:linClrLst>
    <dgm:effectClrLst/>
    <dgm:txLinClrLst/>
    <dgm:txFillClrLst meth="repeat">
      <a:schemeClr val="dk1"/>
    </dgm:txFillClrLst>
    <dgm:txEffectClrLst/>
  </dgm:styleLbl>
  <dgm:styleLbl name="bgAcc1">
    <dgm:fillClrLst meth="repeat">
      <a:schemeClr val="lt1">
        <a:alpha val="90000"/>
      </a:schemeClr>
    </dgm:fillClrLst>
    <dgm:linClrLst meth="cycle">
      <a:schemeClr val="accent5">
        <a:shade val="50000"/>
      </a:schemeClr>
      <a:schemeClr val="accent5">
        <a:tint val="55000"/>
      </a:schemeClr>
    </dgm:linClrLst>
    <dgm:effectClrLst/>
    <dgm:txLinClrLst/>
    <dgm:txFillClrLst meth="repeat">
      <a:schemeClr val="dk1"/>
    </dgm:txFillClrLst>
    <dgm:txEffectClrLst/>
  </dgm:styleLbl>
  <dgm:styleLbl name="solidFgAcc1">
    <dgm:fillClrLst meth="repeat">
      <a:schemeClr val="lt1"/>
    </dgm:fillClrLst>
    <dgm:linClrLst meth="cycle">
      <a:schemeClr val="accent5">
        <a:shade val="50000"/>
      </a:schemeClr>
      <a:schemeClr val="accent5">
        <a:tint val="55000"/>
      </a:schemeClr>
    </dgm:linClrLst>
    <dgm:effectClrLst/>
    <dgm:txLinClrLst/>
    <dgm:txFillClrLst meth="repeat">
      <a:schemeClr val="dk1"/>
    </dgm:txFillClrLst>
    <dgm:txEffectClrLst/>
  </dgm:styleLbl>
  <dgm:styleLbl name="solidAlignAcc1">
    <dgm:fillClrLst meth="repeat">
      <a:schemeClr val="lt1"/>
    </dgm:fillClrLst>
    <dgm:linClrLst meth="repeat">
      <a:schemeClr val="accent5"/>
    </dgm:linClrLst>
    <dgm:effectClrLst/>
    <dgm:txLinClrLst/>
    <dgm:txFillClrLst meth="repeat">
      <a:schemeClr val="dk1"/>
    </dgm:txFillClrLst>
    <dgm:txEffectClrLst/>
  </dgm:styleLbl>
  <dgm:styleLbl name="solidBgAcc1">
    <dgm:fillClrLst meth="repeat">
      <a:schemeClr val="lt1"/>
    </dgm:fillClrLst>
    <dgm:linClrLst meth="repeat">
      <a:schemeClr val="accent5"/>
    </dgm:linClrLst>
    <dgm:effectClrLst/>
    <dgm:txLinClrLst/>
    <dgm:txFillClrLst meth="repeat">
      <a:schemeClr val="dk1"/>
    </dgm:txFillClrLst>
    <dgm:txEffectClrLst/>
  </dgm:styleLbl>
  <dgm:styleLbl name="fgAccFollowNode1">
    <dgm:fillClrLst meth="repeat">
      <a:schemeClr val="accent5">
        <a:alpha val="90000"/>
        <a:tint val="55000"/>
      </a:schemeClr>
    </dgm:fillClrLst>
    <dgm:linClrLst meth="repeat">
      <a:schemeClr val="accent5">
        <a:alpha val="90000"/>
        <a:tint val="55000"/>
      </a:schemeClr>
    </dgm:linClrLst>
    <dgm:effectClrLst/>
    <dgm:txLinClrLst/>
    <dgm:txFillClrLst meth="repeat">
      <a:schemeClr val="dk1"/>
    </dgm:txFillClrLst>
    <dgm:txEffectClrLst/>
  </dgm:styleLbl>
  <dgm:styleLbl name="alignAccFollowNode1">
    <dgm:fillClrLst meth="repeat">
      <a:schemeClr val="accent5">
        <a:alpha val="90000"/>
        <a:tint val="55000"/>
      </a:schemeClr>
    </dgm:fillClrLst>
    <dgm:linClrLst meth="repeat">
      <a:schemeClr val="accent5">
        <a:alpha val="90000"/>
        <a:tint val="55000"/>
      </a:schemeClr>
    </dgm:linClrLst>
    <dgm:effectClrLst/>
    <dgm:txLinClrLst/>
    <dgm:txFillClrLst meth="repeat">
      <a:schemeClr val="dk1"/>
    </dgm:txFillClrLst>
    <dgm:txEffectClrLst/>
  </dgm:styleLbl>
  <dgm:styleLbl name="bgAccFollowNode1">
    <dgm:fillClrLst meth="repeat">
      <a:schemeClr val="accent5">
        <a:alpha val="90000"/>
        <a:tint val="55000"/>
      </a:schemeClr>
    </dgm:fillClrLst>
    <dgm:linClrLst meth="repeat">
      <a:schemeClr val="lt1"/>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5">
        <a:shade val="80000"/>
      </a:schemeClr>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5">
        <a:tint val="90000"/>
      </a:schemeClr>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5">
        <a:tint val="70000"/>
      </a:schemeClr>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5">
        <a:tint val="50000"/>
      </a:schemeClr>
    </dgm:linClrLst>
    <dgm:effectClrLst/>
    <dgm:txLinClrLst/>
    <dgm:txFillClrLst meth="repeat">
      <a:schemeClr val="dk1"/>
    </dgm:txFillClrLst>
    <dgm:txEffectClrLst/>
  </dgm:styleLbl>
  <dgm:styleLbl name="bgShp">
    <dgm:fillClrLst meth="repeat">
      <a:schemeClr val="accent5">
        <a:tint val="55000"/>
      </a:schemeClr>
    </dgm:fillClrLst>
    <dgm:linClrLst meth="repeat">
      <a:schemeClr val="dk1"/>
    </dgm:linClrLst>
    <dgm:effectClrLst/>
    <dgm:txLinClrLst/>
    <dgm:txFillClrLst meth="repeat">
      <a:schemeClr val="dk1"/>
    </dgm:txFillClrLst>
    <dgm:txEffectClrLst/>
  </dgm:styleLbl>
  <dgm:styleLbl name="dkBgShp">
    <dgm:fillClrLst meth="repeat">
      <a:schemeClr val="accent5">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5">
        <a:tint val="50000"/>
        <a:alpha val="55000"/>
      </a:schemeClr>
    </dgm:fillClrLst>
    <dgm:linClrLst meth="repeat">
      <a:schemeClr val="accent5"/>
    </dgm:linClrLst>
    <dgm:effectClrLst/>
    <dgm:txLinClrLst/>
    <dgm:txFillClrLst meth="repeat">
      <a:schemeClr val="lt1"/>
    </dgm:txFillClrLst>
    <dgm:txEffectClrLst/>
  </dgm:styleLbl>
  <dgm:styleLbl name="fgShp">
    <dgm:fillClrLst meth="repeat">
      <a:schemeClr val="accent5">
        <a:tint val="55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6_2">
  <dgm:title val=""/>
  <dgm:desc val=""/>
  <dgm:catLst>
    <dgm:cat type="accent6" pri="11200"/>
  </dgm:catLst>
  <dgm:styleLbl name="node0">
    <dgm:fillClrLst meth="repeat">
      <a:schemeClr val="accent6"/>
    </dgm:fillClrLst>
    <dgm:linClrLst meth="repeat">
      <a:schemeClr val="lt1"/>
    </dgm:linClrLst>
    <dgm:effectClrLst/>
    <dgm:txLinClrLst/>
    <dgm:txFillClrLst/>
    <dgm:txEffectClrLst/>
  </dgm:styleLbl>
  <dgm:styleLbl name="node1">
    <dgm:fillClrLst meth="repeat">
      <a:schemeClr val="accent6"/>
    </dgm:fillClrLst>
    <dgm:linClrLst meth="repeat">
      <a:schemeClr val="lt1"/>
    </dgm:linClrLst>
    <dgm:effectClrLst/>
    <dgm:txLinClrLst/>
    <dgm:txFillClrLst/>
    <dgm:txEffectClrLst/>
  </dgm:styleLbl>
  <dgm:styleLbl name="alignNode1">
    <dgm:fillClrLst meth="repeat">
      <a:schemeClr val="accent6"/>
    </dgm:fillClrLst>
    <dgm:linClrLst meth="repeat">
      <a:schemeClr val="accent6"/>
    </dgm:linClrLst>
    <dgm:effectClrLst/>
    <dgm:txLinClrLst/>
    <dgm:txFillClrLst/>
    <dgm:txEffectClrLst/>
  </dgm:styleLbl>
  <dgm:styleLbl name="lnNode1">
    <dgm:fillClrLst meth="repeat">
      <a:schemeClr val="accent6"/>
    </dgm:fillClrLst>
    <dgm:linClrLst meth="repeat">
      <a:schemeClr val="lt1"/>
    </dgm:linClrLst>
    <dgm:effectClrLst/>
    <dgm:txLinClrLst/>
    <dgm:txFillClrLst/>
    <dgm:txEffectClrLst/>
  </dgm:styleLbl>
  <dgm:styleLbl name="vennNode1">
    <dgm:fillClrLst meth="repeat">
      <a:schemeClr val="accent6">
        <a:alpha val="50000"/>
      </a:schemeClr>
    </dgm:fillClrLst>
    <dgm:linClrLst meth="repeat">
      <a:schemeClr val="lt1"/>
    </dgm:linClrLst>
    <dgm:effectClrLst/>
    <dgm:txLinClrLst/>
    <dgm:txFillClrLst/>
    <dgm:txEffectClrLst/>
  </dgm:styleLbl>
  <dgm:styleLbl name="node2">
    <dgm:fillClrLst meth="repeat">
      <a:schemeClr val="accent6"/>
    </dgm:fillClrLst>
    <dgm:linClrLst meth="repeat">
      <a:schemeClr val="lt1"/>
    </dgm:linClrLst>
    <dgm:effectClrLst/>
    <dgm:txLinClrLst/>
    <dgm:txFillClrLst/>
    <dgm:txEffectClrLst/>
  </dgm:styleLbl>
  <dgm:styleLbl name="node3">
    <dgm:fillClrLst meth="repeat">
      <a:schemeClr val="accent6"/>
    </dgm:fillClrLst>
    <dgm:linClrLst meth="repeat">
      <a:schemeClr val="lt1"/>
    </dgm:linClrLst>
    <dgm:effectClrLst/>
    <dgm:txLinClrLst/>
    <dgm:txFillClrLst/>
    <dgm:txEffectClrLst/>
  </dgm:styleLbl>
  <dgm:styleLbl name="node4">
    <dgm:fillClrLst meth="repeat">
      <a:schemeClr val="accent6"/>
    </dgm:fillClrLst>
    <dgm:linClrLst meth="repeat">
      <a:schemeClr val="lt1"/>
    </dgm:linClrLst>
    <dgm:effectClrLst/>
    <dgm:txLinClrLst/>
    <dgm:txFillClrLst/>
    <dgm:txEffectClrLst/>
  </dgm:styleLbl>
  <dgm:styleLbl name="fgImgPlace1">
    <dgm:fillClrLst meth="repeat">
      <a:schemeClr val="accent6">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6">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6">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6">
        <a:tint val="60000"/>
      </a:schemeClr>
    </dgm:fillClrLst>
    <dgm:linClrLst meth="repeat">
      <a:schemeClr val="accent6">
        <a:tint val="60000"/>
      </a:schemeClr>
    </dgm:linClrLst>
    <dgm:effectClrLst/>
    <dgm:txLinClrLst/>
    <dgm:txFillClrLst/>
    <dgm:txEffectClrLst/>
  </dgm:styleLbl>
  <dgm:styleLbl name="fgSibTrans2D1">
    <dgm:fillClrLst meth="repeat">
      <a:schemeClr val="accent6">
        <a:tint val="60000"/>
      </a:schemeClr>
    </dgm:fillClrLst>
    <dgm:linClrLst meth="repeat">
      <a:schemeClr val="accent6">
        <a:tint val="60000"/>
      </a:schemeClr>
    </dgm:linClrLst>
    <dgm:effectClrLst/>
    <dgm:txLinClrLst/>
    <dgm:txFillClrLst/>
    <dgm:txEffectClrLst/>
  </dgm:styleLbl>
  <dgm:styleLbl name="bgSibTrans2D1">
    <dgm:fillClrLst meth="repeat">
      <a:schemeClr val="accent6">
        <a:tint val="60000"/>
      </a:schemeClr>
    </dgm:fillClrLst>
    <dgm:linClrLst meth="repeat">
      <a:schemeClr val="accent6">
        <a:tint val="60000"/>
      </a:schemeClr>
    </dgm:linClrLst>
    <dgm:effectClrLst/>
    <dgm:txLinClrLst/>
    <dgm:txFillClrLst/>
    <dgm:txEffectClrLst/>
  </dgm:styleLbl>
  <dgm:styleLbl name="sibTrans1D1">
    <dgm:fillClrLst meth="repeat">
      <a:schemeClr val="accent6"/>
    </dgm:fillClrLst>
    <dgm:linClrLst meth="repeat">
      <a:schemeClr val="accent6"/>
    </dgm:linClrLst>
    <dgm:effectClrLst/>
    <dgm:txLinClrLst/>
    <dgm:txFillClrLst meth="repeat">
      <a:schemeClr val="tx1"/>
    </dgm:txFillClrLst>
    <dgm:txEffectClrLst/>
  </dgm:styleLbl>
  <dgm:styleLbl name="callout">
    <dgm:fillClrLst meth="repeat">
      <a:schemeClr val="accent6"/>
    </dgm:fillClrLst>
    <dgm:linClrLst meth="repeat">
      <a:schemeClr val="accent6">
        <a:tint val="50000"/>
      </a:schemeClr>
    </dgm:linClrLst>
    <dgm:effectClrLst/>
    <dgm:txLinClrLst/>
    <dgm:txFillClrLst meth="repeat">
      <a:schemeClr val="tx1"/>
    </dgm:txFillClrLst>
    <dgm:txEffectClrLst/>
  </dgm:styleLbl>
  <dgm:styleLbl name="asst0">
    <dgm:fillClrLst meth="repeat">
      <a:schemeClr val="accent6"/>
    </dgm:fillClrLst>
    <dgm:linClrLst meth="repeat">
      <a:schemeClr val="lt1"/>
    </dgm:linClrLst>
    <dgm:effectClrLst/>
    <dgm:txLinClrLst/>
    <dgm:txFillClrLst/>
    <dgm:txEffectClrLst/>
  </dgm:styleLbl>
  <dgm:styleLbl name="asst1">
    <dgm:fillClrLst meth="repeat">
      <a:schemeClr val="accent6"/>
    </dgm:fillClrLst>
    <dgm:linClrLst meth="repeat">
      <a:schemeClr val="lt1"/>
    </dgm:linClrLst>
    <dgm:effectClrLst/>
    <dgm:txLinClrLst/>
    <dgm:txFillClrLst/>
    <dgm:txEffectClrLst/>
  </dgm:styleLbl>
  <dgm:styleLbl name="asst2">
    <dgm:fillClrLst meth="repeat">
      <a:schemeClr val="accent6"/>
    </dgm:fillClrLst>
    <dgm:linClrLst meth="repeat">
      <a:schemeClr val="lt1"/>
    </dgm:linClrLst>
    <dgm:effectClrLst/>
    <dgm:txLinClrLst/>
    <dgm:txFillClrLst/>
    <dgm:txEffectClrLst/>
  </dgm:styleLbl>
  <dgm:styleLbl name="asst3">
    <dgm:fillClrLst meth="repeat">
      <a:schemeClr val="accent6"/>
    </dgm:fillClrLst>
    <dgm:linClrLst meth="repeat">
      <a:schemeClr val="lt1"/>
    </dgm:linClrLst>
    <dgm:effectClrLst/>
    <dgm:txLinClrLst/>
    <dgm:txFillClrLst/>
    <dgm:txEffectClrLst/>
  </dgm:styleLbl>
  <dgm:styleLbl name="asst4">
    <dgm:fillClrLst meth="repeat">
      <a:schemeClr val="accent6"/>
    </dgm:fillClrLst>
    <dgm:linClrLst meth="repeat">
      <a:schemeClr val="lt1"/>
    </dgm:linClrLst>
    <dgm:effectClrLst/>
    <dgm:txLinClrLst/>
    <dgm:txFillClrLst/>
    <dgm:txEffectClrLst/>
  </dgm:styleLbl>
  <dgm:styleLbl name="parChTrans2D1">
    <dgm:fillClrLst meth="repeat">
      <a:schemeClr val="accent6">
        <a:tint val="60000"/>
      </a:schemeClr>
    </dgm:fillClrLst>
    <dgm:linClrLst meth="repeat">
      <a:schemeClr val="accent6">
        <a:tint val="60000"/>
      </a:schemeClr>
    </dgm:linClrLst>
    <dgm:effectClrLst/>
    <dgm:txLinClrLst/>
    <dgm:txFillClrLst meth="repeat">
      <a:schemeClr val="lt1"/>
    </dgm:txFillClrLst>
    <dgm:txEffectClrLst/>
  </dgm:styleLbl>
  <dgm:styleLbl name="parChTrans2D2">
    <dgm:fillClrLst meth="repeat">
      <a:schemeClr val="accent6"/>
    </dgm:fillClrLst>
    <dgm:linClrLst meth="repeat">
      <a:schemeClr val="accent6"/>
    </dgm:linClrLst>
    <dgm:effectClrLst/>
    <dgm:txLinClrLst/>
    <dgm:txFillClrLst meth="repeat">
      <a:schemeClr val="lt1"/>
    </dgm:txFillClrLst>
    <dgm:txEffectClrLst/>
  </dgm:styleLbl>
  <dgm:styleLbl name="parChTrans2D3">
    <dgm:fillClrLst meth="repeat">
      <a:schemeClr val="accent6"/>
    </dgm:fillClrLst>
    <dgm:linClrLst meth="repeat">
      <a:schemeClr val="accent6"/>
    </dgm:linClrLst>
    <dgm:effectClrLst/>
    <dgm:txLinClrLst/>
    <dgm:txFillClrLst meth="repeat">
      <a:schemeClr val="lt1"/>
    </dgm:txFillClrLst>
    <dgm:txEffectClrLst/>
  </dgm:styleLbl>
  <dgm:styleLbl name="parChTrans2D4">
    <dgm:fillClrLst meth="repeat">
      <a:schemeClr val="accent6"/>
    </dgm:fillClrLst>
    <dgm:linClrLst meth="repeat">
      <a:schemeClr val="accent6"/>
    </dgm:linClrLst>
    <dgm:effectClrLst/>
    <dgm:txLinClrLst/>
    <dgm:txFillClrLst meth="repeat">
      <a:schemeClr val="lt1"/>
    </dgm:txFillClrLst>
    <dgm:txEffectClrLst/>
  </dgm:styleLbl>
  <dgm:styleLbl name="parChTrans1D1">
    <dgm:fillClrLst meth="repeat">
      <a:schemeClr val="accent6"/>
    </dgm:fillClrLst>
    <dgm:linClrLst meth="repeat">
      <a:schemeClr val="accent6">
        <a:shade val="60000"/>
      </a:schemeClr>
    </dgm:linClrLst>
    <dgm:effectClrLst/>
    <dgm:txLinClrLst/>
    <dgm:txFillClrLst meth="repeat">
      <a:schemeClr val="tx1"/>
    </dgm:txFillClrLst>
    <dgm:txEffectClrLst/>
  </dgm:styleLbl>
  <dgm:styleLbl name="parChTrans1D2">
    <dgm:fillClrLst meth="repeat">
      <a:schemeClr val="accent6"/>
    </dgm:fillClrLst>
    <dgm:linClrLst meth="repeat">
      <a:schemeClr val="accent6">
        <a:shade val="60000"/>
      </a:schemeClr>
    </dgm:linClrLst>
    <dgm:effectClrLst/>
    <dgm:txLinClrLst/>
    <dgm:txFillClrLst meth="repeat">
      <a:schemeClr val="tx1"/>
    </dgm:txFillClrLst>
    <dgm:txEffectClrLst/>
  </dgm:styleLbl>
  <dgm:styleLbl name="parChTrans1D3">
    <dgm:fillClrLst meth="repeat">
      <a:schemeClr val="accent6"/>
    </dgm:fillClrLst>
    <dgm:linClrLst meth="repeat">
      <a:schemeClr val="accent6">
        <a:shade val="80000"/>
      </a:schemeClr>
    </dgm:linClrLst>
    <dgm:effectClrLst/>
    <dgm:txLinClrLst/>
    <dgm:txFillClrLst meth="repeat">
      <a:schemeClr val="tx1"/>
    </dgm:txFillClrLst>
    <dgm:txEffectClrLst/>
  </dgm:styleLbl>
  <dgm:styleLbl name="parChTrans1D4">
    <dgm:fillClrLst meth="repeat">
      <a:schemeClr val="accent6"/>
    </dgm:fillClrLst>
    <dgm:linClrLst meth="repeat">
      <a:schemeClr val="accent6">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6"/>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6"/>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6"/>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6"/>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6"/>
    </dgm:linClrLst>
    <dgm:effectClrLst/>
    <dgm:txLinClrLst/>
    <dgm:txFillClrLst meth="repeat">
      <a:schemeClr val="dk1"/>
    </dgm:txFillClrLst>
    <dgm:txEffectClrLst/>
  </dgm:styleLbl>
  <dgm:styleLbl name="solidFgAcc1">
    <dgm:fillClrLst meth="repeat">
      <a:schemeClr val="lt1"/>
    </dgm:fillClrLst>
    <dgm:linClrLst meth="repeat">
      <a:schemeClr val="accent6"/>
    </dgm:linClrLst>
    <dgm:effectClrLst/>
    <dgm:txLinClrLst/>
    <dgm:txFillClrLst meth="repeat">
      <a:schemeClr val="dk1"/>
    </dgm:txFillClrLst>
    <dgm:txEffectClrLst/>
  </dgm:styleLbl>
  <dgm:styleLbl name="solidAlignAcc1">
    <dgm:fillClrLst meth="repeat">
      <a:schemeClr val="lt1"/>
    </dgm:fillClrLst>
    <dgm:linClrLst meth="repeat">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6"/>
    </dgm:linClrLst>
    <dgm:effectClrLst/>
    <dgm:txLinClrLst/>
    <dgm:txFillClrLst meth="repeat">
      <a:schemeClr val="dk1"/>
    </dgm:txFillClrLst>
    <dgm:txEffectClrLst/>
  </dgm:styleLbl>
  <dgm:styleLbl name="fgAccFollowNode1">
    <dgm:fillClrLst meth="repeat">
      <a:schemeClr val="accent6">
        <a:alpha val="9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alignAccFollowNode1">
    <dgm:fillClrLst meth="repeat">
      <a:schemeClr val="accent6">
        <a:alpha val="9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bgAccFollowNode1">
    <dgm:fillClrLst meth="repeat">
      <a:schemeClr val="accent6">
        <a:alpha val="9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6"/>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6"/>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6"/>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6"/>
    </dgm:linClrLst>
    <dgm:effectClrLst/>
    <dgm:txLinClrLst/>
    <dgm:txFillClrLst meth="repeat">
      <a:schemeClr val="dk1"/>
    </dgm:txFillClrLst>
    <dgm:txEffectClrLst/>
  </dgm:styleLbl>
  <dgm:styleLbl name="bgShp">
    <dgm:fillClrLst meth="repeat">
      <a:schemeClr val="accent6">
        <a:tint val="40000"/>
      </a:schemeClr>
    </dgm:fillClrLst>
    <dgm:linClrLst meth="repeat">
      <a:schemeClr val="accent6"/>
    </dgm:linClrLst>
    <dgm:effectClrLst/>
    <dgm:txLinClrLst/>
    <dgm:txFillClrLst meth="repeat">
      <a:schemeClr val="dk1"/>
    </dgm:txFillClrLst>
    <dgm:txEffectClrLst/>
  </dgm:styleLbl>
  <dgm:styleLbl name="dkBgShp">
    <dgm:fillClrLst meth="repeat">
      <a:schemeClr val="accent6">
        <a:shade val="80000"/>
      </a:schemeClr>
    </dgm:fillClrLst>
    <dgm:linClrLst meth="repeat">
      <a:schemeClr val="accent6"/>
    </dgm:linClrLst>
    <dgm:effectClrLst/>
    <dgm:txLinClrLst/>
    <dgm:txFillClrLst meth="repeat">
      <a:schemeClr val="lt1"/>
    </dgm:txFillClrLst>
    <dgm:txEffectClrLst/>
  </dgm:styleLbl>
  <dgm:styleLbl name="trBgShp">
    <dgm:fillClrLst meth="repeat">
      <a:schemeClr val="accent6">
        <a:tint val="50000"/>
        <a:alpha val="40000"/>
      </a:schemeClr>
    </dgm:fillClrLst>
    <dgm:linClrLst meth="repeat">
      <a:schemeClr val="accent6"/>
    </dgm:linClrLst>
    <dgm:effectClrLst/>
    <dgm:txLinClrLst/>
    <dgm:txFillClrLst meth="repeat">
      <a:schemeClr val="lt1"/>
    </dgm:txFillClrLst>
    <dgm:txEffectClrLst/>
  </dgm:styleLbl>
  <dgm:styleLbl name="fgShp">
    <dgm:fillClrLst meth="repeat">
      <a:schemeClr val="accent6">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D452F487-C894-4A4D-8287-1FC9718D3BC1}" type="doc">
      <dgm:prSet loTypeId="urn:microsoft.com/office/officeart/2005/8/layout/arrow2" loCatId="process" qsTypeId="urn:microsoft.com/office/officeart/2005/8/quickstyle/3d2" qsCatId="3D" csTypeId="urn:microsoft.com/office/officeart/2005/8/colors/accent5_4" csCatId="accent5" phldr="1"/>
      <dgm:spPr/>
    </dgm:pt>
    <dgm:pt modelId="{EF1261D1-C79E-4C7A-89D6-52D238F624B8}">
      <dgm:prSet phldrT="[Text]" custT="1"/>
      <dgm:spPr/>
      <dgm:t>
        <a:bodyPr/>
        <a:lstStyle/>
        <a:p>
          <a:endParaRPr lang="en-GB" sz="1800"/>
        </a:p>
        <a:p>
          <a:r>
            <a:rPr lang="en-GB" sz="1800"/>
            <a:t>increasing involvement from Execution Owner</a:t>
          </a:r>
        </a:p>
      </dgm:t>
    </dgm:pt>
    <dgm:pt modelId="{1AD81E34-0D44-4197-B2BD-E3FB5C9E8EE9}" type="parTrans" cxnId="{BFAB392C-5484-49A0-A1DB-E5CFC3731D3C}">
      <dgm:prSet/>
      <dgm:spPr/>
      <dgm:t>
        <a:bodyPr/>
        <a:lstStyle/>
        <a:p>
          <a:endParaRPr lang="en-GB"/>
        </a:p>
      </dgm:t>
    </dgm:pt>
    <dgm:pt modelId="{FE1BC656-D7DE-44B2-A15E-9555EDF9055E}" type="sibTrans" cxnId="{BFAB392C-5484-49A0-A1DB-E5CFC3731D3C}">
      <dgm:prSet/>
      <dgm:spPr/>
      <dgm:t>
        <a:bodyPr/>
        <a:lstStyle/>
        <a:p>
          <a:endParaRPr lang="en-GB"/>
        </a:p>
      </dgm:t>
    </dgm:pt>
    <dgm:pt modelId="{22B01E92-4A47-4110-BDFE-FA6513EF48CD}" type="pres">
      <dgm:prSet presAssocID="{D452F487-C894-4A4D-8287-1FC9718D3BC1}" presName="arrowDiagram" presStyleCnt="0">
        <dgm:presLayoutVars>
          <dgm:chMax val="5"/>
          <dgm:dir/>
          <dgm:resizeHandles val="exact"/>
        </dgm:presLayoutVars>
      </dgm:prSet>
      <dgm:spPr/>
    </dgm:pt>
    <dgm:pt modelId="{37598294-D50C-4E43-82E4-24FD9F7C4945}" type="pres">
      <dgm:prSet presAssocID="{D452F487-C894-4A4D-8287-1FC9718D3BC1}" presName="arrow" presStyleLbl="bgShp" presStyleIdx="0" presStyleCnt="1" custScaleX="544791" custLinFactX="-12500" custLinFactNeighborX="-100000" custLinFactNeighborY="-4167"/>
      <dgm:spPr>
        <a:solidFill>
          <a:schemeClr val="accent5"/>
        </a:solidFill>
      </dgm:spPr>
    </dgm:pt>
    <dgm:pt modelId="{E710B164-F07C-4B2D-9A7C-C04495EF6EA3}" type="pres">
      <dgm:prSet presAssocID="{D452F487-C894-4A4D-8287-1FC9718D3BC1}" presName="arrowDiagram1" presStyleCnt="0">
        <dgm:presLayoutVars>
          <dgm:bulletEnabled val="1"/>
        </dgm:presLayoutVars>
      </dgm:prSet>
      <dgm:spPr/>
    </dgm:pt>
    <dgm:pt modelId="{55419ABF-B8C8-492C-8AB1-2AEC4A0CA90E}" type="pres">
      <dgm:prSet presAssocID="{EF1261D1-C79E-4C7A-89D6-52D238F624B8}" presName="bullet1" presStyleLbl="node1" presStyleIdx="0" presStyleCnt="1"/>
      <dgm:spPr>
        <a:noFill/>
      </dgm:spPr>
    </dgm:pt>
    <dgm:pt modelId="{A1A97717-AF5A-434E-B1DE-1FC80255ACAA}" type="pres">
      <dgm:prSet presAssocID="{EF1261D1-C79E-4C7A-89D6-52D238F624B8}" presName="textBox1" presStyleLbl="revTx" presStyleIdx="0" presStyleCnt="1" custScaleX="1278127">
        <dgm:presLayoutVars>
          <dgm:bulletEnabled val="1"/>
        </dgm:presLayoutVars>
      </dgm:prSet>
      <dgm:spPr/>
    </dgm:pt>
  </dgm:ptLst>
  <dgm:cxnLst>
    <dgm:cxn modelId="{3924A321-AAC0-47FE-B03B-81CB008DA355}" type="presOf" srcId="{EF1261D1-C79E-4C7A-89D6-52D238F624B8}" destId="{A1A97717-AF5A-434E-B1DE-1FC80255ACAA}" srcOrd="0" destOrd="0" presId="urn:microsoft.com/office/officeart/2005/8/layout/arrow2"/>
    <dgm:cxn modelId="{BFAB392C-5484-49A0-A1DB-E5CFC3731D3C}" srcId="{D452F487-C894-4A4D-8287-1FC9718D3BC1}" destId="{EF1261D1-C79E-4C7A-89D6-52D238F624B8}" srcOrd="0" destOrd="0" parTransId="{1AD81E34-0D44-4197-B2BD-E3FB5C9E8EE9}" sibTransId="{FE1BC656-D7DE-44B2-A15E-9555EDF9055E}"/>
    <dgm:cxn modelId="{4BD51DC7-39F7-421A-B43C-58CE3D1999D7}" type="presOf" srcId="{D452F487-C894-4A4D-8287-1FC9718D3BC1}" destId="{22B01E92-4A47-4110-BDFE-FA6513EF48CD}" srcOrd="0" destOrd="0" presId="urn:microsoft.com/office/officeart/2005/8/layout/arrow2"/>
    <dgm:cxn modelId="{8BADD692-7B1F-4218-AF31-0BF7321F4829}" type="presParOf" srcId="{22B01E92-4A47-4110-BDFE-FA6513EF48CD}" destId="{37598294-D50C-4E43-82E4-24FD9F7C4945}" srcOrd="0" destOrd="0" presId="urn:microsoft.com/office/officeart/2005/8/layout/arrow2"/>
    <dgm:cxn modelId="{BDA3F23F-AF4E-4A0A-BC0F-B39EA4ADC67C}" type="presParOf" srcId="{22B01E92-4A47-4110-BDFE-FA6513EF48CD}" destId="{E710B164-F07C-4B2D-9A7C-C04495EF6EA3}" srcOrd="1" destOrd="0" presId="urn:microsoft.com/office/officeart/2005/8/layout/arrow2"/>
    <dgm:cxn modelId="{A1A3347D-DD71-4D3A-BD83-D085653BA23F}" type="presParOf" srcId="{E710B164-F07C-4B2D-9A7C-C04495EF6EA3}" destId="{55419ABF-B8C8-492C-8AB1-2AEC4A0CA90E}" srcOrd="0" destOrd="0" presId="urn:microsoft.com/office/officeart/2005/8/layout/arrow2"/>
    <dgm:cxn modelId="{BD2CC4B8-7862-4D16-A4DA-5EAC39E93BF6}" type="presParOf" srcId="{E710B164-F07C-4B2D-9A7C-C04495EF6EA3}" destId="{A1A97717-AF5A-434E-B1DE-1FC80255ACAA}" srcOrd="1" destOrd="0" presId="urn:microsoft.com/office/officeart/2005/8/layout/arrow2"/>
  </dgm:cxnLst>
  <dgm:bg/>
  <dgm:whole/>
  <dgm:extLst>
    <a:ext uri="http://schemas.microsoft.com/office/drawing/2008/diagram">
      <dsp:dataModelExt xmlns:dsp="http://schemas.microsoft.com/office/drawing/2008/diagram" relId="rId5" minVer="http://schemas.openxmlformats.org/drawingml/2006/diagram"/>
    </a:ext>
    <a:ext uri="{C62137D5-CB1D-491B-B009-E17868A290BF}">
      <dgm14:recolorImg xmlns:dgm14="http://schemas.microsoft.com/office/drawing/2010/diagram" val="1"/>
    </a:ext>
  </dgm:extLst>
</dgm:dataModel>
</file>

<file path=xl/diagrams/data2.xml><?xml version="1.0" encoding="utf-8"?>
<dgm:dataModel xmlns:dgm="http://schemas.openxmlformats.org/drawingml/2006/diagram" xmlns:a="http://schemas.openxmlformats.org/drawingml/2006/main">
  <dgm:ptLst>
    <dgm:pt modelId="{2F134520-321F-4F59-855D-AE27D969A473}" type="doc">
      <dgm:prSet loTypeId="urn:microsoft.com/office/officeart/2009/3/layout/DescendingProcess" loCatId="process" qsTypeId="urn:microsoft.com/office/officeart/2005/8/quickstyle/simple1" qsCatId="simple" csTypeId="urn:microsoft.com/office/officeart/2005/8/colors/accent6_2" csCatId="accent6" phldr="1"/>
      <dgm:spPr/>
      <dgm:t>
        <a:bodyPr/>
        <a:lstStyle/>
        <a:p>
          <a:endParaRPr lang="en-GB"/>
        </a:p>
      </dgm:t>
    </dgm:pt>
    <dgm:pt modelId="{B7A05C42-FC8A-41D8-8268-E0987EFEA79A}">
      <dgm:prSet phldrT="[Text]" custT="1"/>
      <dgm:spPr/>
      <dgm:t>
        <a:bodyPr/>
        <a:lstStyle/>
        <a:p>
          <a:r>
            <a:rPr lang="en-GB" sz="1800"/>
            <a:t>decreasing involvement from Asset Owner / User</a:t>
          </a:r>
        </a:p>
      </dgm:t>
    </dgm:pt>
    <dgm:pt modelId="{4C1F09B6-D63B-4E3C-9B7E-668772EE9E81}" type="parTrans" cxnId="{4115FADF-1D88-498C-8390-B90EDFF60283}">
      <dgm:prSet/>
      <dgm:spPr/>
      <dgm:t>
        <a:bodyPr/>
        <a:lstStyle/>
        <a:p>
          <a:endParaRPr lang="en-GB"/>
        </a:p>
      </dgm:t>
    </dgm:pt>
    <dgm:pt modelId="{D7266BBA-3F27-49C2-B39F-B423A1B55A13}" type="sibTrans" cxnId="{4115FADF-1D88-498C-8390-B90EDFF60283}">
      <dgm:prSet/>
      <dgm:spPr/>
      <dgm:t>
        <a:bodyPr/>
        <a:lstStyle/>
        <a:p>
          <a:endParaRPr lang="en-GB"/>
        </a:p>
      </dgm:t>
    </dgm:pt>
    <dgm:pt modelId="{24958DA1-8056-4AD0-BE1D-FDEB449A06CB}" type="pres">
      <dgm:prSet presAssocID="{2F134520-321F-4F59-855D-AE27D969A473}" presName="Name0" presStyleCnt="0">
        <dgm:presLayoutVars>
          <dgm:chMax val="7"/>
          <dgm:chPref val="5"/>
        </dgm:presLayoutVars>
      </dgm:prSet>
      <dgm:spPr/>
    </dgm:pt>
    <dgm:pt modelId="{59EF2D35-7783-4758-ADA3-1D09B8978055}" type="pres">
      <dgm:prSet presAssocID="{2F134520-321F-4F59-855D-AE27D969A473}" presName="arrowNode" presStyleLbl="node1" presStyleIdx="0" presStyleCnt="1" custAng="21117062" custFlipVert="1" custScaleX="124144" custScaleY="74902" custLinFactNeighborX="-63922" custLinFactNeighborY="-7326"/>
      <dgm:spPr/>
    </dgm:pt>
    <dgm:pt modelId="{C723982D-DD7E-4E0D-BF7A-EB413569CD48}" type="pres">
      <dgm:prSet presAssocID="{B7A05C42-FC8A-41D8-8268-E0987EFEA79A}" presName="txNode1" presStyleLbl="revTx" presStyleIdx="0" presStyleCnt="1" custScaleX="360513" custLinFactX="-100000" custLinFactY="100000" custLinFactNeighborX="-184922" custLinFactNeighborY="175270">
        <dgm:presLayoutVars>
          <dgm:bulletEnabled val="1"/>
        </dgm:presLayoutVars>
      </dgm:prSet>
      <dgm:spPr/>
    </dgm:pt>
  </dgm:ptLst>
  <dgm:cxnLst>
    <dgm:cxn modelId="{F6E69146-C7AE-4BAE-9F0A-F6A9EC8E9413}" type="presOf" srcId="{2F134520-321F-4F59-855D-AE27D969A473}" destId="{24958DA1-8056-4AD0-BE1D-FDEB449A06CB}" srcOrd="0" destOrd="0" presId="urn:microsoft.com/office/officeart/2009/3/layout/DescendingProcess"/>
    <dgm:cxn modelId="{4115FADF-1D88-498C-8390-B90EDFF60283}" srcId="{2F134520-321F-4F59-855D-AE27D969A473}" destId="{B7A05C42-FC8A-41D8-8268-E0987EFEA79A}" srcOrd="0" destOrd="0" parTransId="{4C1F09B6-D63B-4E3C-9B7E-668772EE9E81}" sibTransId="{D7266BBA-3F27-49C2-B39F-B423A1B55A13}"/>
    <dgm:cxn modelId="{7991EBE4-94F5-4900-9817-4CE43A4BCE4B}" type="presOf" srcId="{B7A05C42-FC8A-41D8-8268-E0987EFEA79A}" destId="{C723982D-DD7E-4E0D-BF7A-EB413569CD48}" srcOrd="0" destOrd="0" presId="urn:microsoft.com/office/officeart/2009/3/layout/DescendingProcess"/>
    <dgm:cxn modelId="{1B6F6238-EC67-4EFE-837F-F316809C4265}" type="presParOf" srcId="{24958DA1-8056-4AD0-BE1D-FDEB449A06CB}" destId="{59EF2D35-7783-4758-ADA3-1D09B8978055}" srcOrd="0" destOrd="0" presId="urn:microsoft.com/office/officeart/2009/3/layout/DescendingProcess"/>
    <dgm:cxn modelId="{69F9CCA3-5959-47EA-96FD-667EEB2B23C1}" type="presParOf" srcId="{24958DA1-8056-4AD0-BE1D-FDEB449A06CB}" destId="{C723982D-DD7E-4E0D-BF7A-EB413569CD48}" srcOrd="1" destOrd="0" presId="urn:microsoft.com/office/officeart/2009/3/layout/DescendingProcess"/>
  </dgm:cxnLst>
  <dgm:bg/>
  <dgm:whole/>
  <dgm:extLst>
    <a:ext uri="http://schemas.microsoft.com/office/drawing/2008/diagram">
      <dsp:dataModelExt xmlns:dsp="http://schemas.microsoft.com/office/drawing/2008/diagram" relId="rId10"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37598294-D50C-4E43-82E4-24FD9F7C4945}">
      <dsp:nvSpPr>
        <dsp:cNvPr id="0" name=""/>
        <dsp:cNvSpPr/>
      </dsp:nvSpPr>
      <dsp:spPr>
        <a:xfrm>
          <a:off x="-885834" y="0"/>
          <a:ext cx="8078204" cy="926755"/>
        </a:xfrm>
        <a:prstGeom prst="swooshArrow">
          <a:avLst>
            <a:gd name="adj1" fmla="val 25000"/>
            <a:gd name="adj2" fmla="val 25000"/>
          </a:avLst>
        </a:prstGeom>
        <a:solidFill>
          <a:schemeClr val="accent5"/>
        </a:solidFill>
        <a:ln>
          <a:noFill/>
        </a:ln>
        <a:effectLst/>
        <a:scene3d>
          <a:camera prst="orthographicFront"/>
          <a:lightRig rig="threePt" dir="t">
            <a:rot lat="0" lon="0" rev="7500000"/>
          </a:lightRig>
        </a:scene3d>
        <a:sp3d z="-152400" extrusionH="63500" prstMaterial="matte">
          <a:bevelT w="144450" h="6350" prst="relaxedInset"/>
          <a:contourClr>
            <a:schemeClr val="bg1"/>
          </a:contourClr>
        </a:sp3d>
      </dsp:spPr>
      <dsp:style>
        <a:lnRef idx="0">
          <a:scrgbClr r="0" g="0" b="0"/>
        </a:lnRef>
        <a:fillRef idx="3">
          <a:scrgbClr r="0" g="0" b="0"/>
        </a:fillRef>
        <a:effectRef idx="0">
          <a:scrgbClr r="0" g="0" b="0"/>
        </a:effectRef>
        <a:fontRef idx="minor"/>
      </dsp:style>
    </dsp:sp>
    <dsp:sp modelId="{55419ABF-B8C8-492C-8AB1-2AEC4A0CA90E}">
      <dsp:nvSpPr>
        <dsp:cNvPr id="0" name=""/>
        <dsp:cNvSpPr/>
      </dsp:nvSpPr>
      <dsp:spPr>
        <a:xfrm>
          <a:off x="3543246" y="187945"/>
          <a:ext cx="109727" cy="109727"/>
        </a:xfrm>
        <a:prstGeom prst="ellipse">
          <a:avLst/>
        </a:prstGeom>
        <a:noFill/>
        <a:ln>
          <a:noFill/>
        </a:ln>
        <a:effectLst>
          <a:outerShdw blurRad="40000" dist="23000" dir="5400000" rotWithShape="0">
            <a:srgbClr val="000000">
              <a:alpha val="35000"/>
            </a:srgbClr>
          </a:outerShdw>
        </a:effectLst>
        <a:scene3d>
          <a:camera prst="orthographicFront"/>
          <a:lightRig rig="threePt" dir="t">
            <a:rot lat="0" lon="0" rev="7500000"/>
          </a:lightRig>
        </a:scene3d>
        <a:sp3d prstMaterial="plastic">
          <a:bevelT w="127000" h="25400" prst="relaxedInset"/>
        </a:sp3d>
      </dsp:spPr>
      <dsp:style>
        <a:lnRef idx="0">
          <a:scrgbClr r="0" g="0" b="0"/>
        </a:lnRef>
        <a:fillRef idx="3">
          <a:scrgbClr r="0" g="0" b="0"/>
        </a:fillRef>
        <a:effectRef idx="2">
          <a:scrgbClr r="0" g="0" b="0"/>
        </a:effectRef>
        <a:fontRef idx="minor">
          <a:schemeClr val="lt1"/>
        </a:fontRef>
      </dsp:style>
    </dsp:sp>
    <dsp:sp modelId="{A1A97717-AF5A-434E-B1DE-1FC80255ACAA}">
      <dsp:nvSpPr>
        <dsp:cNvPr id="0" name=""/>
        <dsp:cNvSpPr/>
      </dsp:nvSpPr>
      <dsp:spPr>
        <a:xfrm>
          <a:off x="-488885" y="242809"/>
          <a:ext cx="7580867" cy="683945"/>
        </a:xfrm>
        <a:prstGeom prst="round2Diag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0" tIns="0" rIns="58142" bIns="0" numCol="1" spcCol="1270" anchor="t" anchorCtr="0">
          <a:noAutofit/>
        </a:bodyPr>
        <a:lstStyle/>
        <a:p>
          <a:pPr marL="0" lvl="0" indent="0" algn="r" defTabSz="800100">
            <a:lnSpc>
              <a:spcPct val="90000"/>
            </a:lnSpc>
            <a:spcBef>
              <a:spcPct val="0"/>
            </a:spcBef>
            <a:spcAft>
              <a:spcPct val="35000"/>
            </a:spcAft>
            <a:buNone/>
          </a:pPr>
          <a:endParaRPr lang="en-GB" sz="1800" kern="1200"/>
        </a:p>
        <a:p>
          <a:pPr marL="0" lvl="0" indent="0" algn="r" defTabSz="800100">
            <a:lnSpc>
              <a:spcPct val="90000"/>
            </a:lnSpc>
            <a:spcBef>
              <a:spcPct val="0"/>
            </a:spcBef>
            <a:spcAft>
              <a:spcPct val="35000"/>
            </a:spcAft>
            <a:buNone/>
          </a:pPr>
          <a:r>
            <a:rPr lang="en-GB" sz="1800" kern="1200"/>
            <a:t>increasing involvement from Execution Owner</a:t>
          </a:r>
        </a:p>
      </dsp:txBody>
      <dsp:txXfrm>
        <a:off x="-455498" y="276196"/>
        <a:ext cx="7514093" cy="617171"/>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59EF2D35-7783-4758-ADA3-1D09B8978055}">
      <dsp:nvSpPr>
        <dsp:cNvPr id="0" name=""/>
        <dsp:cNvSpPr/>
      </dsp:nvSpPr>
      <dsp:spPr>
        <a:xfrm rot="17686564" flipV="1">
          <a:off x="3537259" y="87558"/>
          <a:ext cx="1436589" cy="2601775"/>
        </a:xfrm>
        <a:prstGeom prst="swooshArrow">
          <a:avLst>
            <a:gd name="adj1" fmla="val 16310"/>
            <a:gd name="adj2" fmla="val 31370"/>
          </a:avLst>
        </a:prstGeom>
        <a:solidFill>
          <a:schemeClr val="accent6">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C723982D-DD7E-4E0D-BF7A-EB413569CD48}">
      <dsp:nvSpPr>
        <dsp:cNvPr id="0" name=""/>
        <dsp:cNvSpPr/>
      </dsp:nvSpPr>
      <dsp:spPr>
        <a:xfrm>
          <a:off x="0" y="1427284"/>
          <a:ext cx="4162028" cy="453847"/>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22860" tIns="22860" rIns="22860" bIns="22860" numCol="1" spcCol="1270" anchor="b" anchorCtr="0">
          <a:noAutofit/>
        </a:bodyPr>
        <a:lstStyle/>
        <a:p>
          <a:pPr marL="0" lvl="0" indent="0" algn="ctr" defTabSz="800100">
            <a:lnSpc>
              <a:spcPct val="90000"/>
            </a:lnSpc>
            <a:spcBef>
              <a:spcPct val="0"/>
            </a:spcBef>
            <a:spcAft>
              <a:spcPct val="35000"/>
            </a:spcAft>
            <a:buNone/>
          </a:pPr>
          <a:r>
            <a:rPr lang="en-GB" sz="1800" kern="1200"/>
            <a:t>decreasing involvement from Asset Owner / User</a:t>
          </a:r>
        </a:p>
      </dsp:txBody>
      <dsp:txXfrm>
        <a:off x="0" y="1427284"/>
        <a:ext cx="4162028" cy="453847"/>
      </dsp:txXfrm>
    </dsp:sp>
  </dsp:spTree>
</dsp:drawing>
</file>

<file path=xl/diagrams/layout1.xml><?xml version="1.0" encoding="utf-8"?>
<dgm:layoutDef xmlns:dgm="http://schemas.openxmlformats.org/drawingml/2006/diagram" xmlns:a="http://schemas.openxmlformats.org/drawingml/2006/main" uniqueId="urn:microsoft.com/office/officeart/2005/8/layout/arrow2">
  <dgm:title val=""/>
  <dgm:desc val=""/>
  <dgm:catLst>
    <dgm:cat type="process" pri="23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arrowDiagram">
    <dgm:varLst>
      <dgm:chMax val="5"/>
      <dgm:dir/>
      <dgm:resizeHandles val="exact"/>
    </dgm:varLst>
    <dgm:alg type="composite">
      <dgm:param type="ar" val="1.6"/>
    </dgm:alg>
    <dgm:shape xmlns:r="http://schemas.openxmlformats.org/officeDocument/2006/relationships" r:blip="">
      <dgm:adjLst/>
    </dgm:shape>
    <dgm:presOf/>
    <dgm:constrLst>
      <dgm:constr type="l" for="ch" forName="arrow"/>
      <dgm:constr type="t" for="ch" forName="arrow"/>
      <dgm:constr type="w" for="ch" forName="arrow" refType="w"/>
      <dgm:constr type="h" for="ch" forName="arrow" refType="h"/>
      <dgm:constr type="ctrX" for="ch" forName="arrowDiagram1" refType="w" fact="0.5"/>
      <dgm:constr type="ctrY" for="ch" forName="arrowDiagram1" refType="h" fact="0.5"/>
      <dgm:constr type="w" for="ch" forName="arrowDiagram1" refType="w"/>
      <dgm:constr type="h" for="ch" forName="arrowDiagram1" refType="h"/>
      <dgm:constr type="ctrX" for="ch" forName="arrowDiagram2" refType="w" fact="0.5"/>
      <dgm:constr type="ctrY" for="ch" forName="arrowDiagram2" refType="h" fact="0.5"/>
      <dgm:constr type="w" for="ch" forName="arrowDiagram2" refType="w"/>
      <dgm:constr type="h" for="ch" forName="arrowDiagram2" refType="h"/>
      <dgm:constr type="ctrX" for="ch" forName="arrowDiagram3" refType="w" fact="0.5"/>
      <dgm:constr type="ctrY" for="ch" forName="arrowDiagram3" refType="h" fact="0.5"/>
      <dgm:constr type="w" for="ch" forName="arrowDiagram3" refType="w"/>
      <dgm:constr type="h" for="ch" forName="arrowDiagram3" refType="h"/>
      <dgm:constr type="ctrX" for="ch" forName="arrowDiagram4" refType="w" fact="0.5"/>
      <dgm:constr type="ctrY" for="ch" forName="arrowDiagram4" refType="h" fact="0.5"/>
      <dgm:constr type="w" for="ch" forName="arrowDiagram4" refType="w"/>
      <dgm:constr type="h" for="ch" forName="arrowDiagram4" refType="h"/>
      <dgm:constr type="ctrX" for="ch" forName="arrowDiagram5" refType="w" fact="0.5"/>
      <dgm:constr type="ctrY" for="ch" forName="arrowDiagram5" refType="h" fact="0.5"/>
      <dgm:constr type="w" for="ch" forName="arrowDiagram5" refType="w"/>
      <dgm:constr type="h" for="ch" forName="arrowDiagram5" refType="h"/>
    </dgm:constrLst>
    <dgm:ruleLst/>
    <dgm:choose name="Name0">
      <dgm:if name="Name1" axis="ch" ptType="node" func="cnt" op="gte" val="1">
        <dgm:layoutNode name="arrow" styleLbl="bgShp">
          <dgm:alg type="sp"/>
          <dgm:shape xmlns:r="http://schemas.openxmlformats.org/officeDocument/2006/relationships" type="swooshArrow" r:blip="">
            <dgm:adjLst>
              <dgm:adj idx="2" val="0.25"/>
            </dgm:adjLst>
          </dgm:shape>
          <dgm:presOf/>
          <dgm:constrLst/>
          <dgm:ruleLst/>
        </dgm:layoutNode>
        <dgm:choose name="Name2">
          <dgm:if name="Name3" axis="ch" ptType="node" func="cnt" op="lt" val="1"/>
          <dgm:if name="Name4" axis="ch" ptType="node" func="cnt" op="equ" val="1">
            <dgm:layoutNode name="arrowDiagram1">
              <dgm:varLst>
                <dgm:bulletEnabled val="1"/>
              </dgm:varLst>
              <dgm:alg type="composite">
                <dgm:param type="vertAlign" val="none"/>
                <dgm:param type="horzAlign" val="none"/>
              </dgm:alg>
              <dgm:shape xmlns:r="http://schemas.openxmlformats.org/officeDocument/2006/relationships" r:blip="">
                <dgm:adjLst/>
              </dgm:shape>
              <dgm:presOf/>
              <dgm:constrLst>
                <dgm:constr type="ctrX" for="ch" forName="bullet1" refType="w" fact="0.8"/>
                <dgm:constr type="ctrY" for="ch" forName="bullet1" refType="h" fact="0.262"/>
                <dgm:constr type="w" for="ch" forName="bullet1" refType="w" fact="0.074"/>
                <dgm:constr type="h" for="ch" forName="bullet1" refType="w" refFor="ch" refForName="bullet1"/>
                <dgm:constr type="r" for="ch" forName="textBox1" refType="ctrX" refFor="ch" refForName="bullet1"/>
                <dgm:constr type="t" for="ch" forName="textBox1" refType="ctrY" refFor="ch" refForName="bullet1"/>
                <dgm:constr type="w" for="ch" forName="textBox1" refType="w" fact="0.4"/>
                <dgm:constr type="h" for="ch" forName="textBox1" refType="h" fact="0.738"/>
                <dgm:constr type="userA" refType="h" refFor="ch" refForName="bullet1" fact="0.53"/>
                <dgm:constr type="rMarg" for="ch" forName="textBox1" refType="userA" fact="2.834"/>
                <dgm:constr type="primFontSz" for="ch" ptType="node" op="equ" val="65"/>
              </dgm:constrLst>
              <dgm:ruleLst/>
              <dgm:forEach name="Name5" axis="ch" ptType="node" cnt="1">
                <dgm:layoutNode name="bullet1" styleLbl="node1">
                  <dgm:alg type="sp"/>
                  <dgm:shape xmlns:r="http://schemas.openxmlformats.org/officeDocument/2006/relationships" type="ellipse" r:blip="">
                    <dgm:adjLst/>
                  </dgm:shape>
                  <dgm:presOf/>
                  <dgm:constrLst/>
                  <dgm:ruleLst/>
                </dgm:layoutNode>
                <dgm:layoutNode name="textBox1" styleLbl="revTx">
                  <dgm:varLst>
                    <dgm:bulletEnabled val="1"/>
                  </dgm:varLst>
                  <dgm:alg type="tx">
                    <dgm:param type="txAnchorVert" val="t"/>
                    <dgm:param type="parTxLTRAlign" val="r"/>
                    <dgm:param type="parTxRTLAlign" val="r"/>
                  </dgm:alg>
                  <dgm:shape xmlns:r="http://schemas.openxmlformats.org/officeDocument/2006/relationships" type="round2DiagRect" r:blip="">
                    <dgm:adjLst/>
                  </dgm:shape>
                  <dgm:presOf axis="desOrSelf" ptType="node"/>
                  <dgm:constrLst>
                    <dgm:constr type="lMarg"/>
                    <dgm:constr type="tMarg"/>
                    <dgm:constr type="bMarg"/>
                  </dgm:constrLst>
                  <dgm:ruleLst>
                    <dgm:rule type="primFontSz" val="5" fact="NaN" max="NaN"/>
                  </dgm:ruleLst>
                </dgm:layoutNode>
              </dgm:forEach>
            </dgm:layoutNode>
          </dgm:if>
          <dgm:if name="Name6" axis="ch" ptType="node" func="cnt" op="equ" val="2">
            <dgm:layoutNode name="arrowDiagram2">
              <dgm:alg type="composite">
                <dgm:param type="vertAlign" val="none"/>
                <dgm:param type="horzAlign" val="none"/>
              </dgm:alg>
              <dgm:shape xmlns:r="http://schemas.openxmlformats.org/officeDocument/2006/relationships" r:blip="">
                <dgm:adjLst/>
              </dgm:shape>
              <dgm:presOf/>
              <dgm:choose name="Name7">
                <dgm:if name="Name8" func="var" arg="dir" op="equ" val="norm">
                  <dgm:constrLst>
                    <dgm:constr type="ctrX" for="ch" forName="bullet2a" refType="w" fact="0.25"/>
                    <dgm:constr type="ctrY" for="ch" forName="bullet2a" refType="h" fact="0.573"/>
                    <dgm:constr type="w" for="ch" forName="bullet2a" refType="w" fact="0.035"/>
                    <dgm:constr type="h" for="ch" forName="bullet2a" refType="w" refFor="ch" refForName="bullet2a"/>
                    <dgm:constr type="l" for="ch" forName="textBox2a" refType="ctrX" refFor="ch" refForName="bullet2a"/>
                    <dgm:constr type="t" for="ch" forName="textBox2a" refType="ctrY" refFor="ch" refForName="bullet2a"/>
                    <dgm:constr type="w" for="ch" forName="textBox2a" refType="w" fact="0.325"/>
                    <dgm:constr type="h" for="ch" forName="textBox2a" refType="h" fact="0.427"/>
                    <dgm:constr type="userA" refType="h" refFor="ch" refForName="bullet2a" fact="0.53"/>
                    <dgm:constr type="lMarg" for="ch" forName="textBox2a" refType="userA" fact="2.834"/>
                    <dgm:constr type="ctrX" for="ch" forName="bullet2b" refType="w" fact="0.585"/>
                    <dgm:constr type="ctrY" for="ch" forName="bullet2b" refType="h" fact="0.338"/>
                    <dgm:constr type="w" for="ch" forName="bullet2b" refType="w" fact="0.06"/>
                    <dgm:constr type="h" for="ch" forName="bullet2b" refType="w" refFor="ch" refForName="bullet2b"/>
                    <dgm:constr type="l" for="ch" forName="textBox2b" refType="ctrX" refFor="ch" refForName="bullet2b"/>
                    <dgm:constr type="t" for="ch" forName="textBox2b" refType="ctrY" refFor="ch" refForName="bullet2b"/>
                    <dgm:constr type="w" for="ch" forName="textBox2b" refType="w" fact="0.325"/>
                    <dgm:constr type="h" for="ch" forName="textBox2b" refType="h" fact="0.662"/>
                    <dgm:constr type="userB" refType="h" refFor="ch" refForName="bullet2b" fact="0.53"/>
                    <dgm:constr type="lMarg" for="ch" forName="textBox2b" refType="userB" fact="2.834"/>
                    <dgm:constr type="primFontSz" for="ch" ptType="node" op="equ" val="65"/>
                  </dgm:constrLst>
                </dgm:if>
                <dgm:else name="Name9">
                  <dgm:constrLst>
                    <dgm:constr type="ctrX" for="ch" forName="bullet2a" refType="w" fact="0.25"/>
                    <dgm:constr type="ctrY" for="ch" forName="bullet2a" refType="h" fact="0.573"/>
                    <dgm:constr type="w" for="ch" forName="bullet2a" refType="w" fact="0.035"/>
                    <dgm:constr type="h" for="ch" forName="bullet2a" refType="w" refFor="ch" refForName="bullet2a"/>
                    <dgm:constr type="r" for="ch" forName="textBox2a" refType="ctrX" refFor="ch" refForName="bullet2a"/>
                    <dgm:constr type="b" for="ch" forName="textBox2a" refType="ctrY" refFor="ch" refForName="bullet2a"/>
                    <dgm:constr type="w" for="ch" forName="textBox2a" refType="w" fact="0.25"/>
                    <dgm:constr type="h" for="ch" forName="textBox2a" refType="h" fact="0.573"/>
                    <dgm:constr type="userA" refType="h" refFor="ch" refForName="bullet2a" fact="0.53"/>
                    <dgm:constr type="rMarg" for="ch" forName="textBox2a" refType="userA" fact="2.834"/>
                    <dgm:constr type="ctrX" for="ch" forName="bullet2b" refType="w" fact="0.585"/>
                    <dgm:constr type="ctrY" for="ch" forName="bullet2b" refType="h" fact="0.338"/>
                    <dgm:constr type="w" for="ch" forName="bullet2b" refType="w" fact="0.06"/>
                    <dgm:constr type="h" for="ch" forName="bullet2b" refType="w" refFor="ch" refForName="bullet2b"/>
                    <dgm:constr type="r" for="ch" forName="textBox2b" refType="ctrX" refFor="ch" refForName="bullet2b"/>
                    <dgm:constr type="b" for="ch" forName="textBox2b" refType="ctrY" refFor="ch" refForName="bullet2b"/>
                    <dgm:constr type="w" for="ch" forName="textBox2b" refType="w" fact="0.28"/>
                    <dgm:constr type="h" for="ch" forName="textBox2b" refType="h" fact="0.338"/>
                    <dgm:constr type="userB" refType="h" refFor="ch" refForName="bullet2b" fact="0.53"/>
                    <dgm:constr type="rMarg" for="ch" forName="textBox2b" refType="userB" fact="2.834"/>
                    <dgm:constr type="primFontSz" for="ch" ptType="node" op="equ" val="65"/>
                  </dgm:constrLst>
                </dgm:else>
              </dgm:choose>
              <dgm:ruleLst/>
              <dgm:forEach name="Name10" axis="ch" ptType="node" cnt="1">
                <dgm:layoutNode name="bullet2a" styleLbl="node1">
                  <dgm:alg type="sp"/>
                  <dgm:shape xmlns:r="http://schemas.openxmlformats.org/officeDocument/2006/relationships" type="ellipse" r:blip="">
                    <dgm:adjLst/>
                  </dgm:shape>
                  <dgm:presOf/>
                  <dgm:constrLst/>
                  <dgm:ruleLst/>
                </dgm:layoutNode>
                <dgm:layoutNode name="textBox2a" styleLbl="revTx">
                  <dgm:varLst>
                    <dgm:bulletEnabled val="1"/>
                  </dgm:varLst>
                  <dgm:choose name="Name11">
                    <dgm:if name="Name12" func="var" arg="dir" op="equ" val="norm">
                      <dgm:choose name="Name13">
                        <dgm:if name="Name14" axis="root des" ptType="all node" func="maxDepth" op="gt" val="1">
                          <dgm:alg type="tx">
                            <dgm:param type="txAnchorVert" val="t"/>
                            <dgm:param type="parTxLTRAlign" val="l"/>
                            <dgm:param type="parTxRTLAlign" val="r"/>
                          </dgm:alg>
                        </dgm:if>
                        <dgm:else name="Name15">
                          <dgm:alg type="tx">
                            <dgm:param type="txAnchorVert" val="t"/>
                            <dgm:param type="parTxLTRAlign" val="l"/>
                            <dgm:param type="parTxRTLAlign" val="l"/>
                          </dgm:alg>
                        </dgm:else>
                      </dgm:choose>
                    </dgm:if>
                    <dgm:else name="Name16">
                      <dgm:choose name="Name17">
                        <dgm:if name="Name18" axis="root des" ptType="all node" func="maxDepth" op="gt" val="1">
                          <dgm:alg type="tx">
                            <dgm:param type="txAnchorVert" val="b"/>
                            <dgm:param type="txAnchorVertCh" val="b"/>
                            <dgm:param type="parTxLTRAlign" val="l"/>
                            <dgm:param type="parTxRTLAlign" val="r"/>
                          </dgm:alg>
                        </dgm:if>
                        <dgm:else name="Name19">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20">
                    <dgm:if name="Name21" func="var" arg="dir" op="equ" val="norm">
                      <dgm:constrLst>
                        <dgm:constr type="rMarg"/>
                        <dgm:constr type="tMarg"/>
                        <dgm:constr type="bMarg"/>
                      </dgm:constrLst>
                    </dgm:if>
                    <dgm:else name="Name22">
                      <dgm:constrLst>
                        <dgm:constr type="lMarg"/>
                        <dgm:constr type="tMarg"/>
                        <dgm:constr type="bMarg"/>
                      </dgm:constrLst>
                    </dgm:else>
                  </dgm:choose>
                  <dgm:ruleLst>
                    <dgm:rule type="primFontSz" val="5" fact="NaN" max="NaN"/>
                  </dgm:ruleLst>
                </dgm:layoutNode>
              </dgm:forEach>
              <dgm:forEach name="Name23" axis="ch" ptType="node" st="2" cnt="1">
                <dgm:layoutNode name="bullet2b" styleLbl="node1">
                  <dgm:alg type="sp"/>
                  <dgm:shape xmlns:r="http://schemas.openxmlformats.org/officeDocument/2006/relationships" type="ellipse" r:blip="">
                    <dgm:adjLst/>
                  </dgm:shape>
                  <dgm:presOf/>
                  <dgm:constrLst/>
                  <dgm:ruleLst/>
                </dgm:layoutNode>
                <dgm:layoutNode name="textBox2b" styleLbl="revTx">
                  <dgm:varLst>
                    <dgm:bulletEnabled val="1"/>
                  </dgm:varLst>
                  <dgm:choose name="Name24">
                    <dgm:if name="Name25" func="var" arg="dir" op="equ" val="norm">
                      <dgm:choose name="Name26">
                        <dgm:if name="Name27" axis="root des" ptType="all node" func="maxDepth" op="gt" val="1">
                          <dgm:alg type="tx">
                            <dgm:param type="txAnchorVert" val="t"/>
                            <dgm:param type="parTxLTRAlign" val="l"/>
                            <dgm:param type="parTxRTLAlign" val="r"/>
                          </dgm:alg>
                        </dgm:if>
                        <dgm:else name="Name28">
                          <dgm:alg type="tx">
                            <dgm:param type="txAnchorVert" val="t"/>
                            <dgm:param type="parTxLTRAlign" val="l"/>
                            <dgm:param type="parTxRTLAlign" val="l"/>
                          </dgm:alg>
                        </dgm:else>
                      </dgm:choose>
                    </dgm:if>
                    <dgm:else name="Name29">
                      <dgm:choose name="Name30">
                        <dgm:if name="Name31" axis="root des" ptType="all node" func="maxDepth" op="gt" val="1">
                          <dgm:alg type="tx">
                            <dgm:param type="txAnchorVert" val="b"/>
                            <dgm:param type="txAnchorVertCh" val="b"/>
                            <dgm:param type="parTxLTRAlign" val="l"/>
                            <dgm:param type="parTxRTLAlign" val="r"/>
                          </dgm:alg>
                        </dgm:if>
                        <dgm:else name="Name32">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33">
                    <dgm:if name="Name34" func="var" arg="dir" op="equ" val="norm">
                      <dgm:constrLst>
                        <dgm:constr type="rMarg"/>
                        <dgm:constr type="tMarg"/>
                        <dgm:constr type="bMarg"/>
                      </dgm:constrLst>
                    </dgm:if>
                    <dgm:else name="Name35">
                      <dgm:constrLst>
                        <dgm:constr type="lMarg"/>
                        <dgm:constr type="tMarg"/>
                        <dgm:constr type="bMarg"/>
                      </dgm:constrLst>
                    </dgm:else>
                  </dgm:choose>
                  <dgm:ruleLst>
                    <dgm:rule type="primFontSz" val="5" fact="NaN" max="NaN"/>
                  </dgm:ruleLst>
                </dgm:layoutNode>
              </dgm:forEach>
            </dgm:layoutNode>
          </dgm:if>
          <dgm:if name="Name36" axis="ch" ptType="node" func="cnt" op="equ" val="3">
            <dgm:layoutNode name="arrowDiagram3">
              <dgm:alg type="composite">
                <dgm:param type="vertAlign" val="none"/>
                <dgm:param type="horzAlign" val="none"/>
              </dgm:alg>
              <dgm:shape xmlns:r="http://schemas.openxmlformats.org/officeDocument/2006/relationships" r:blip="">
                <dgm:adjLst/>
              </dgm:shape>
              <dgm:presOf/>
              <dgm:choose name="Name37">
                <dgm:if name="Name38" func="var" arg="dir" op="equ" val="norm">
                  <dgm:constrLst>
                    <dgm:constr type="ctrX" for="ch" forName="bullet3a" refType="w" fact="0.14"/>
                    <dgm:constr type="ctrY" for="ch" forName="bullet3a" refType="h" fact="0.711"/>
                    <dgm:constr type="w" for="ch" forName="bullet3a" refType="w" fact="0.026"/>
                    <dgm:constr type="h" for="ch" forName="bullet3a" refType="w" refFor="ch" refForName="bullet3a"/>
                    <dgm:constr type="l" for="ch" forName="textBox3a" refType="ctrX" refFor="ch" refForName="bullet3a"/>
                    <dgm:constr type="t" for="ch" forName="textBox3a" refType="ctrY" refFor="ch" refForName="bullet3a"/>
                    <dgm:constr type="w" for="ch" forName="textBox3a" refType="w" fact="0.233"/>
                    <dgm:constr type="h" for="ch" forName="textBox3a" refType="h" fact="0.289"/>
                    <dgm:constr type="userA" refType="h" refFor="ch" refForName="bullet3a" fact="0.53"/>
                    <dgm:constr type="lMarg" for="ch" forName="textBox3a" refType="userA" fact="2.834"/>
                    <dgm:constr type="ctrX" for="ch" forName="bullet3b" refType="w" fact="0.38"/>
                    <dgm:constr type="ctrY" for="ch" forName="bullet3b" refType="h" fact="0.456"/>
                    <dgm:constr type="w" for="ch" forName="bullet3b" refType="w" fact="0.047"/>
                    <dgm:constr type="h" for="ch" forName="bullet3b" refType="w" refFor="ch" refForName="bullet3b"/>
                    <dgm:constr type="l" for="ch" forName="textBox3b" refType="ctrX" refFor="ch" refForName="bullet3b"/>
                    <dgm:constr type="t" for="ch" forName="textBox3b" refType="ctrY" refFor="ch" refForName="bullet3b"/>
                    <dgm:constr type="w" for="ch" forName="textBox3b" refType="w" fact="0.24"/>
                    <dgm:constr type="h" for="ch" forName="textBox3b" refType="h" fact="0.544"/>
                    <dgm:constr type="userB" refType="h" refFor="ch" refForName="bullet3b" fact="0.53"/>
                    <dgm:constr type="lMarg" for="ch" forName="textBox3b" refType="userB" fact="2.834"/>
                    <dgm:constr type="ctrX" for="ch" forName="bullet3c" refType="w" fact="0.665"/>
                    <dgm:constr type="ctrY" for="ch" forName="bullet3c" refType="h" fact="0.305"/>
                    <dgm:constr type="w" for="ch" forName="bullet3c" refType="w" fact="0.065"/>
                    <dgm:constr type="h" for="ch" forName="bullet3c" refType="w" refFor="ch" refForName="bullet3c"/>
                    <dgm:constr type="l" for="ch" forName="textBox3c" refType="ctrX" refFor="ch" refForName="bullet3c"/>
                    <dgm:constr type="t" for="ch" forName="textBox3c" refType="ctrY" refFor="ch" refForName="bullet3c"/>
                    <dgm:constr type="w" for="ch" forName="textBox3c" refType="w" fact="0.24"/>
                    <dgm:constr type="h" for="ch" forName="textBox3c" refType="h" fact="0.695"/>
                    <dgm:constr type="userC" refType="h" refFor="ch" refForName="bullet3c" fact="0.53"/>
                    <dgm:constr type="lMarg" for="ch" forName="textBox3c" refType="userC" fact="2.834"/>
                    <dgm:constr type="primFontSz" for="ch" ptType="node" op="equ" val="65"/>
                  </dgm:constrLst>
                </dgm:if>
                <dgm:else name="Name39">
                  <dgm:constrLst>
                    <dgm:constr type="ctrX" for="ch" forName="bullet3a" refType="w" fact="0.14"/>
                    <dgm:constr type="ctrY" for="ch" forName="bullet3a" refType="h" fact="0.711"/>
                    <dgm:constr type="w" for="ch" forName="bullet3a" refType="w" fact="0.026"/>
                    <dgm:constr type="h" for="ch" forName="bullet3a" refType="w" refFor="ch" refForName="bullet3a"/>
                    <dgm:constr type="r" for="ch" forName="textBox3a" refType="ctrX" refFor="ch" refForName="bullet3a"/>
                    <dgm:constr type="b" for="ch" forName="textBox3a" refType="ctrY" refFor="ch" refForName="bullet3a"/>
                    <dgm:constr type="w" for="ch" forName="textBox3a" refType="w" fact="0.14"/>
                    <dgm:constr type="h" for="ch" forName="textBox3a" refType="h" fact="0.711"/>
                    <dgm:constr type="userA" refType="h" refFor="ch" refForName="bullet3a" fact="0.53"/>
                    <dgm:constr type="rMarg" for="ch" forName="textBox3a" refType="userA" fact="2.834"/>
                    <dgm:constr type="ctrX" for="ch" forName="bullet3b" refType="w" fact="0.38"/>
                    <dgm:constr type="ctrY" for="ch" forName="bullet3b" refType="h" fact="0.456"/>
                    <dgm:constr type="w" for="ch" forName="bullet3b" refType="w" fact="0.047"/>
                    <dgm:constr type="h" for="ch" forName="bullet3b" refType="w" refFor="ch" refForName="bullet3b"/>
                    <dgm:constr type="r" for="ch" forName="textBox3b" refType="ctrX" refFor="ch" refForName="bullet3b"/>
                    <dgm:constr type="b" for="ch" forName="textBox3b" refType="ctrY" refFor="ch" refForName="bullet3b"/>
                    <dgm:constr type="w" for="ch" forName="textBox3b" refType="w" fact="0.24"/>
                    <dgm:constr type="h" for="ch" forName="textBox3b" refType="h" fact="0.456"/>
                    <dgm:constr type="userB" refType="h" refFor="ch" refForName="bullet3b" fact="0.53"/>
                    <dgm:constr type="rMarg" for="ch" forName="textBox3b" refType="userB" fact="2.834"/>
                    <dgm:constr type="ctrX" for="ch" forName="bullet3c" refType="w" fact="0.665"/>
                    <dgm:constr type="ctrY" for="ch" forName="bullet3c" refType="h" fact="0.305"/>
                    <dgm:constr type="w" for="ch" forName="bullet3c" refType="w" fact="0.065"/>
                    <dgm:constr type="h" for="ch" forName="bullet3c" refType="w" refFor="ch" refForName="bullet3c"/>
                    <dgm:constr type="r" for="ch" forName="textBox3c" refType="ctrX" refFor="ch" refForName="bullet3c"/>
                    <dgm:constr type="b" for="ch" forName="textBox3c" refType="ctrY" refFor="ch" refForName="bullet3c"/>
                    <dgm:constr type="w" for="ch" forName="textBox3c" refType="w" fact="0.24"/>
                    <dgm:constr type="h" for="ch" forName="textBox3c" refType="h" fact="0.305"/>
                    <dgm:constr type="userC" refType="h" refFor="ch" refForName="bullet3c" fact="0.53"/>
                    <dgm:constr type="rMarg" for="ch" forName="textBox3c" refType="userC" fact="2.834"/>
                    <dgm:constr type="primFontSz" for="ch" ptType="node" op="equ" val="65"/>
                  </dgm:constrLst>
                </dgm:else>
              </dgm:choose>
              <dgm:ruleLst/>
              <dgm:forEach name="Name40" axis="ch" ptType="node" cnt="1">
                <dgm:layoutNode name="bullet3a" styleLbl="node1">
                  <dgm:alg type="sp"/>
                  <dgm:shape xmlns:r="http://schemas.openxmlformats.org/officeDocument/2006/relationships" type="ellipse" r:blip="">
                    <dgm:adjLst/>
                  </dgm:shape>
                  <dgm:presOf/>
                  <dgm:constrLst/>
                  <dgm:ruleLst/>
                </dgm:layoutNode>
                <dgm:layoutNode name="textBox3a" styleLbl="revTx">
                  <dgm:varLst>
                    <dgm:bulletEnabled val="1"/>
                  </dgm:varLst>
                  <dgm:choose name="Name41">
                    <dgm:if name="Name42" func="var" arg="dir" op="equ" val="norm">
                      <dgm:choose name="Name43">
                        <dgm:if name="Name44" axis="root des" ptType="all node" func="maxDepth" op="gt" val="1">
                          <dgm:alg type="tx">
                            <dgm:param type="txAnchorVert" val="t"/>
                            <dgm:param type="parTxLTRAlign" val="l"/>
                            <dgm:param type="parTxRTLAlign" val="r"/>
                          </dgm:alg>
                        </dgm:if>
                        <dgm:else name="Name45">
                          <dgm:alg type="tx">
                            <dgm:param type="txAnchorVert" val="t"/>
                            <dgm:param type="parTxLTRAlign" val="l"/>
                            <dgm:param type="parTxRTLAlign" val="l"/>
                          </dgm:alg>
                        </dgm:else>
                      </dgm:choose>
                    </dgm:if>
                    <dgm:else name="Name46">
                      <dgm:choose name="Name47">
                        <dgm:if name="Name48" axis="root des" ptType="all node" func="maxDepth" op="gt" val="1">
                          <dgm:alg type="tx">
                            <dgm:param type="txAnchorVert" val="b"/>
                            <dgm:param type="txAnchorVertCh" val="b"/>
                            <dgm:param type="parTxLTRAlign" val="l"/>
                            <dgm:param type="parTxRTLAlign" val="r"/>
                          </dgm:alg>
                        </dgm:if>
                        <dgm:else name="Name49">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50">
                    <dgm:if name="Name51" func="var" arg="dir" op="equ" val="norm">
                      <dgm:constrLst>
                        <dgm:constr type="rMarg"/>
                        <dgm:constr type="tMarg"/>
                        <dgm:constr type="bMarg"/>
                      </dgm:constrLst>
                    </dgm:if>
                    <dgm:else name="Name52">
                      <dgm:constrLst>
                        <dgm:constr type="lMarg"/>
                        <dgm:constr type="tMarg"/>
                        <dgm:constr type="bMarg"/>
                      </dgm:constrLst>
                    </dgm:else>
                  </dgm:choose>
                  <dgm:ruleLst>
                    <dgm:rule type="primFontSz" val="5" fact="NaN" max="NaN"/>
                  </dgm:ruleLst>
                </dgm:layoutNode>
              </dgm:forEach>
              <dgm:forEach name="Name53" axis="ch" ptType="node" st="2" cnt="1">
                <dgm:layoutNode name="bullet3b" styleLbl="node1">
                  <dgm:alg type="sp"/>
                  <dgm:shape xmlns:r="http://schemas.openxmlformats.org/officeDocument/2006/relationships" type="ellipse" r:blip="">
                    <dgm:adjLst/>
                  </dgm:shape>
                  <dgm:presOf/>
                  <dgm:constrLst/>
                  <dgm:ruleLst/>
                </dgm:layoutNode>
                <dgm:layoutNode name="textBox3b" styleLbl="revTx">
                  <dgm:varLst>
                    <dgm:bulletEnabled val="1"/>
                  </dgm:varLst>
                  <dgm:choose name="Name54">
                    <dgm:if name="Name55" func="var" arg="dir" op="equ" val="norm">
                      <dgm:choose name="Name56">
                        <dgm:if name="Name57" axis="root des" ptType="all node" func="maxDepth" op="gt" val="1">
                          <dgm:alg type="tx">
                            <dgm:param type="txAnchorVert" val="t"/>
                            <dgm:param type="parTxLTRAlign" val="l"/>
                            <dgm:param type="parTxRTLAlign" val="r"/>
                          </dgm:alg>
                        </dgm:if>
                        <dgm:else name="Name58">
                          <dgm:alg type="tx">
                            <dgm:param type="txAnchorVert" val="t"/>
                            <dgm:param type="parTxLTRAlign" val="l"/>
                            <dgm:param type="parTxRTLAlign" val="l"/>
                          </dgm:alg>
                        </dgm:else>
                      </dgm:choose>
                    </dgm:if>
                    <dgm:else name="Name59">
                      <dgm:choose name="Name60">
                        <dgm:if name="Name61" axis="root des" ptType="all node" func="maxDepth" op="gt" val="1">
                          <dgm:alg type="tx">
                            <dgm:param type="txAnchorVert" val="b"/>
                            <dgm:param type="txAnchorVertCh" val="b"/>
                            <dgm:param type="parTxLTRAlign" val="l"/>
                            <dgm:param type="parTxRTLAlign" val="r"/>
                          </dgm:alg>
                        </dgm:if>
                        <dgm:else name="Name62">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63">
                    <dgm:if name="Name64" func="var" arg="dir" op="equ" val="norm">
                      <dgm:constrLst>
                        <dgm:constr type="rMarg"/>
                        <dgm:constr type="tMarg"/>
                        <dgm:constr type="bMarg"/>
                      </dgm:constrLst>
                    </dgm:if>
                    <dgm:else name="Name65">
                      <dgm:constrLst>
                        <dgm:constr type="lMarg"/>
                        <dgm:constr type="tMarg"/>
                        <dgm:constr type="bMarg"/>
                      </dgm:constrLst>
                    </dgm:else>
                  </dgm:choose>
                  <dgm:ruleLst>
                    <dgm:rule type="primFontSz" val="5" fact="NaN" max="NaN"/>
                  </dgm:ruleLst>
                </dgm:layoutNode>
              </dgm:forEach>
              <dgm:forEach name="Name66" axis="ch" ptType="node" st="3" cnt="1">
                <dgm:layoutNode name="bullet3c" styleLbl="node1">
                  <dgm:alg type="sp"/>
                  <dgm:shape xmlns:r="http://schemas.openxmlformats.org/officeDocument/2006/relationships" type="ellipse" r:blip="">
                    <dgm:adjLst/>
                  </dgm:shape>
                  <dgm:presOf/>
                  <dgm:constrLst/>
                  <dgm:ruleLst/>
                </dgm:layoutNode>
                <dgm:layoutNode name="textBox3c" styleLbl="revTx">
                  <dgm:varLst>
                    <dgm:bulletEnabled val="1"/>
                  </dgm:varLst>
                  <dgm:choose name="Name67">
                    <dgm:if name="Name68" func="var" arg="dir" op="equ" val="norm">
                      <dgm:choose name="Name69">
                        <dgm:if name="Name70" axis="root des" ptType="all node" func="maxDepth" op="gt" val="1">
                          <dgm:alg type="tx">
                            <dgm:param type="txAnchorVert" val="t"/>
                            <dgm:param type="parTxLTRAlign" val="l"/>
                            <dgm:param type="parTxRTLAlign" val="r"/>
                          </dgm:alg>
                        </dgm:if>
                        <dgm:else name="Name71">
                          <dgm:alg type="tx">
                            <dgm:param type="txAnchorVert" val="t"/>
                            <dgm:param type="parTxLTRAlign" val="l"/>
                            <dgm:param type="parTxRTLAlign" val="l"/>
                          </dgm:alg>
                        </dgm:else>
                      </dgm:choose>
                    </dgm:if>
                    <dgm:else name="Name72">
                      <dgm:choose name="Name73">
                        <dgm:if name="Name74" axis="root des" ptType="all node" func="maxDepth" op="gt" val="1">
                          <dgm:alg type="tx">
                            <dgm:param type="txAnchorVert" val="b"/>
                            <dgm:param type="txAnchorVertCh" val="b"/>
                            <dgm:param type="parTxLTRAlign" val="l"/>
                            <dgm:param type="parTxRTLAlign" val="r"/>
                          </dgm:alg>
                        </dgm:if>
                        <dgm:else name="Name75">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76">
                    <dgm:if name="Name77" func="var" arg="dir" op="equ" val="norm">
                      <dgm:constrLst>
                        <dgm:constr type="rMarg"/>
                        <dgm:constr type="tMarg"/>
                        <dgm:constr type="bMarg"/>
                      </dgm:constrLst>
                    </dgm:if>
                    <dgm:else name="Name78">
                      <dgm:constrLst>
                        <dgm:constr type="lMarg"/>
                        <dgm:constr type="tMarg"/>
                        <dgm:constr type="bMarg"/>
                      </dgm:constrLst>
                    </dgm:else>
                  </dgm:choose>
                  <dgm:ruleLst>
                    <dgm:rule type="primFontSz" val="5" fact="NaN" max="NaN"/>
                  </dgm:ruleLst>
                </dgm:layoutNode>
              </dgm:forEach>
            </dgm:layoutNode>
          </dgm:if>
          <dgm:if name="Name79" axis="ch" ptType="node" func="cnt" op="equ" val="4">
            <dgm:layoutNode name="arrowDiagram4">
              <dgm:alg type="composite">
                <dgm:param type="vertAlign" val="none"/>
                <dgm:param type="horzAlign" val="none"/>
              </dgm:alg>
              <dgm:shape xmlns:r="http://schemas.openxmlformats.org/officeDocument/2006/relationships" r:blip="">
                <dgm:adjLst/>
              </dgm:shape>
              <dgm:presOf/>
              <dgm:choose name="Name80">
                <dgm:if name="Name81" func="var" arg="dir" op="equ" val="norm">
                  <dgm:constrLst>
                    <dgm:constr type="ctrX" for="ch" forName="bullet4a" refType="w" fact="0.11"/>
                    <dgm:constr type="ctrY" for="ch" forName="bullet4a" refType="h" fact="0.762"/>
                    <dgm:constr type="w" for="ch" forName="bullet4a" refType="w" fact="0.023"/>
                    <dgm:constr type="h" for="ch" forName="bullet4a" refType="w" refFor="ch" refForName="bullet4a"/>
                    <dgm:constr type="l" for="ch" forName="textBox4a" refType="ctrX" refFor="ch" refForName="bullet4a"/>
                    <dgm:constr type="t" for="ch" forName="textBox4a" refType="ctrY" refFor="ch" refForName="bullet4a"/>
                    <dgm:constr type="w" for="ch" forName="textBox4a" refType="w" fact="0.171"/>
                    <dgm:constr type="h" for="ch" forName="textBox4a" refType="h" fact="0.238"/>
                    <dgm:constr type="userA" refType="h" refFor="ch" refForName="bullet4a" fact="0.53"/>
                    <dgm:constr type="lMarg" for="ch" forName="textBox4a" refType="userA" fact="2.834"/>
                    <dgm:constr type="ctrX" for="ch" forName="bullet4b" refType="w" fact="0.281"/>
                    <dgm:constr type="ctrY" for="ch" forName="bullet4b" refType="h" fact="0.543"/>
                    <dgm:constr type="w" for="ch" forName="bullet4b" refType="w" fact="0.04"/>
                    <dgm:constr type="h" for="ch" forName="bullet4b" refType="w" refFor="ch" refForName="bullet4b"/>
                    <dgm:constr type="l" for="ch" forName="textBox4b" refType="ctrX" refFor="ch" refForName="bullet4b"/>
                    <dgm:constr type="t" for="ch" forName="textBox4b" refType="ctrY" refFor="ch" refForName="bullet4b"/>
                    <dgm:constr type="w" for="ch" forName="textBox4b" refType="w" fact="0.21"/>
                    <dgm:constr type="h" for="ch" forName="textBox4b" refType="h" fact="0.457"/>
                    <dgm:constr type="userB" refType="h" refFor="ch" refForName="bullet4b" fact="0.53"/>
                    <dgm:constr type="lMarg" for="ch" forName="textBox4b" refType="userB" fact="2.834"/>
                    <dgm:constr type="ctrX" for="ch" forName="bullet4c" refType="w" fact="0.495"/>
                    <dgm:constr type="ctrY" for="ch" forName="bullet4c" refType="h" fact="0.382"/>
                    <dgm:constr type="w" for="ch" forName="bullet4c" refType="w" fact="0.053"/>
                    <dgm:constr type="h" for="ch" forName="bullet4c" refType="w" refFor="ch" refForName="bullet4c"/>
                    <dgm:constr type="l" for="ch" forName="textBox4c" refType="ctrX" refFor="ch" refForName="bullet4c"/>
                    <dgm:constr type="t" for="ch" forName="textBox4c" refType="ctrY" refFor="ch" refForName="bullet4c"/>
                    <dgm:constr type="w" for="ch" forName="textBox4c" refType="w" fact="0.21"/>
                    <dgm:constr type="h" for="ch" forName="textBox4c" refType="h" fact="0.618"/>
                    <dgm:constr type="userC" refType="h" refFor="ch" refForName="bullet4c" fact="0.53"/>
                    <dgm:constr type="lMarg" for="ch" forName="textBox4c" refType="userC" fact="2.834"/>
                    <dgm:constr type="ctrX" for="ch" forName="bullet4d" refType="w" fact="0.73"/>
                    <dgm:constr type="ctrY" for="ch" forName="bullet4d" refType="h" fact="0.283"/>
                    <dgm:constr type="w" for="ch" forName="bullet4d" refType="w" fact="0.071"/>
                    <dgm:constr type="h" for="ch" forName="bullet4d" refType="w" refFor="ch" refForName="bullet4d"/>
                    <dgm:constr type="l" for="ch" forName="textBox4d" refType="ctrX" refFor="ch" refForName="bullet4d"/>
                    <dgm:constr type="t" for="ch" forName="textBox4d" refType="ctrY" refFor="ch" refForName="bullet4d"/>
                    <dgm:constr type="w" for="ch" forName="textBox4d" refType="w" fact="0.21"/>
                    <dgm:constr type="h" for="ch" forName="textBox4d" refType="h" fact="0.717"/>
                    <dgm:constr type="userD" refType="h" refFor="ch" refForName="bullet4d" fact="0.53"/>
                    <dgm:constr type="lMarg" for="ch" forName="textBox4d" refType="userD" fact="2.834"/>
                    <dgm:constr type="primFontSz" for="ch" ptType="node" op="equ" val="65"/>
                  </dgm:constrLst>
                </dgm:if>
                <dgm:else name="Name82">
                  <dgm:constrLst>
                    <dgm:constr type="ctrX" for="ch" forName="bullet4a" refType="w" fact="0.11"/>
                    <dgm:constr type="ctrY" for="ch" forName="bullet4a" refType="h" fact="0.762"/>
                    <dgm:constr type="w" for="ch" forName="bullet4a" refType="w" fact="0.023"/>
                    <dgm:constr type="h" for="ch" forName="bullet4a" refType="w" refFor="ch" refForName="bullet4a"/>
                    <dgm:constr type="r" for="ch" forName="textBox4a" refType="ctrX" refFor="ch" refForName="bullet4a"/>
                    <dgm:constr type="b" for="ch" forName="textBox4a" refType="ctrY" refFor="ch" refForName="bullet4a"/>
                    <dgm:constr type="w" for="ch" forName="textBox4a" refType="w" fact="0.11"/>
                    <dgm:constr type="h" for="ch" forName="textBox4a" refType="h" fact="0.762"/>
                    <dgm:constr type="userA" refType="h" refFor="ch" refForName="bullet4a" fact="0.53"/>
                    <dgm:constr type="rMarg" for="ch" forName="textBox4a" refType="userA" fact="2.834"/>
                    <dgm:constr type="ctrX" for="ch" forName="bullet4b" refType="w" fact="0.281"/>
                    <dgm:constr type="ctrY" for="ch" forName="bullet4b" refType="h" fact="0.543"/>
                    <dgm:constr type="w" for="ch" forName="bullet4b" refType="w" fact="0.04"/>
                    <dgm:constr type="h" for="ch" forName="bullet4b" refType="w" refFor="ch" refForName="bullet4b"/>
                    <dgm:constr type="r" for="ch" forName="textBox4b" refType="ctrX" refFor="ch" refForName="bullet4b"/>
                    <dgm:constr type="b" for="ch" forName="textBox4b" refType="ctrY" refFor="ch" refForName="bullet4b"/>
                    <dgm:constr type="w" for="ch" forName="textBox4b" refType="w" fact="0.171"/>
                    <dgm:constr type="h" for="ch" forName="textBox4b" refType="h" fact="0.543"/>
                    <dgm:constr type="userB" refType="h" refFor="ch" refForName="bullet4b" fact="0.53"/>
                    <dgm:constr type="rMarg" for="ch" forName="textBox4b" refType="userB" fact="2.834"/>
                    <dgm:constr type="ctrX" for="ch" forName="bullet4c" refType="w" fact="0.495"/>
                    <dgm:constr type="ctrY" for="ch" forName="bullet4c" refType="h" fact="0.382"/>
                    <dgm:constr type="w" for="ch" forName="bullet4c" refType="w" fact="0.053"/>
                    <dgm:constr type="h" for="ch" forName="bullet4c" refType="w" refFor="ch" refForName="bullet4c"/>
                    <dgm:constr type="r" for="ch" forName="textBox4c" refType="ctrX" refFor="ch" refForName="bullet4c"/>
                    <dgm:constr type="b" for="ch" forName="textBox4c" refType="ctrY" refFor="ch" refForName="bullet4c"/>
                    <dgm:constr type="w" for="ch" forName="textBox4c" refType="w" fact="0.21"/>
                    <dgm:constr type="h" for="ch" forName="textBox4c" refType="h" fact="0.382"/>
                    <dgm:constr type="userC" refType="h" refFor="ch" refForName="bullet4c" fact="0.53"/>
                    <dgm:constr type="rMarg" for="ch" forName="textBox4c" refType="userC" fact="2.834"/>
                    <dgm:constr type="ctrX" for="ch" forName="bullet4d" refType="w" fact="0.73"/>
                    <dgm:constr type="ctrY" for="ch" forName="bullet4d" refType="h" fact="0.283"/>
                    <dgm:constr type="w" for="ch" forName="bullet4d" refType="w" fact="0.071"/>
                    <dgm:constr type="h" for="ch" forName="bullet4d" refType="w" refFor="ch" refForName="bullet4d"/>
                    <dgm:constr type="r" for="ch" forName="textBox4d" refType="ctrX" refFor="ch" refForName="bullet4d"/>
                    <dgm:constr type="b" for="ch" forName="textBox4d" refType="ctrY" refFor="ch" refForName="bullet4d"/>
                    <dgm:constr type="w" for="ch" forName="textBox4d" refType="w" fact="0.21"/>
                    <dgm:constr type="h" for="ch" forName="textBox4d" refType="h" fact="0.283"/>
                    <dgm:constr type="userD" refType="h" refFor="ch" refForName="bullet4d" fact="0.53"/>
                    <dgm:constr type="rMarg" for="ch" forName="textBox4d" refType="userD" fact="2.834"/>
                    <dgm:constr type="primFontSz" for="ch" ptType="node" op="equ" val="65"/>
                  </dgm:constrLst>
                </dgm:else>
              </dgm:choose>
              <dgm:ruleLst/>
              <dgm:forEach name="Name83" axis="ch" ptType="node" cnt="1">
                <dgm:layoutNode name="bullet4a" styleLbl="node1">
                  <dgm:alg type="sp"/>
                  <dgm:shape xmlns:r="http://schemas.openxmlformats.org/officeDocument/2006/relationships" type="ellipse" r:blip="">
                    <dgm:adjLst/>
                  </dgm:shape>
                  <dgm:presOf/>
                  <dgm:constrLst/>
                  <dgm:ruleLst/>
                </dgm:layoutNode>
                <dgm:layoutNode name="textBox4a" styleLbl="revTx">
                  <dgm:varLst>
                    <dgm:bulletEnabled val="1"/>
                  </dgm:varLst>
                  <dgm:choose name="Name84">
                    <dgm:if name="Name85" func="var" arg="dir" op="equ" val="norm">
                      <dgm:choose name="Name86">
                        <dgm:if name="Name87" axis="root des" ptType="all node" func="maxDepth" op="gt" val="1">
                          <dgm:alg type="tx">
                            <dgm:param type="txAnchorVert" val="t"/>
                            <dgm:param type="parTxLTRAlign" val="l"/>
                            <dgm:param type="parTxRTLAlign" val="r"/>
                          </dgm:alg>
                        </dgm:if>
                        <dgm:else name="Name88">
                          <dgm:alg type="tx">
                            <dgm:param type="txAnchorVert" val="t"/>
                            <dgm:param type="parTxLTRAlign" val="l"/>
                            <dgm:param type="parTxRTLAlign" val="l"/>
                          </dgm:alg>
                        </dgm:else>
                      </dgm:choose>
                    </dgm:if>
                    <dgm:else name="Name89">
                      <dgm:choose name="Name90">
                        <dgm:if name="Name91" axis="root des" ptType="all node" func="maxDepth" op="gt" val="1">
                          <dgm:alg type="tx">
                            <dgm:param type="txAnchorVert" val="b"/>
                            <dgm:param type="txAnchorVertCh" val="b"/>
                            <dgm:param type="parTxLTRAlign" val="l"/>
                            <dgm:param type="parTxRTLAlign" val="r"/>
                          </dgm:alg>
                        </dgm:if>
                        <dgm:else name="Name92">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93">
                    <dgm:if name="Name94" func="var" arg="dir" op="equ" val="norm">
                      <dgm:constrLst>
                        <dgm:constr type="rMarg"/>
                        <dgm:constr type="tMarg"/>
                        <dgm:constr type="bMarg"/>
                      </dgm:constrLst>
                    </dgm:if>
                    <dgm:else name="Name95">
                      <dgm:constrLst>
                        <dgm:constr type="lMarg"/>
                        <dgm:constr type="tMarg"/>
                        <dgm:constr type="bMarg"/>
                      </dgm:constrLst>
                    </dgm:else>
                  </dgm:choose>
                  <dgm:ruleLst>
                    <dgm:rule type="primFontSz" val="5" fact="NaN" max="NaN"/>
                  </dgm:ruleLst>
                </dgm:layoutNode>
              </dgm:forEach>
              <dgm:forEach name="Name96" axis="ch" ptType="node" st="2" cnt="1">
                <dgm:layoutNode name="bullet4b" styleLbl="node1">
                  <dgm:alg type="sp"/>
                  <dgm:shape xmlns:r="http://schemas.openxmlformats.org/officeDocument/2006/relationships" type="ellipse" r:blip="">
                    <dgm:adjLst/>
                  </dgm:shape>
                  <dgm:presOf/>
                  <dgm:constrLst/>
                  <dgm:ruleLst/>
                </dgm:layoutNode>
                <dgm:layoutNode name="textBox4b" styleLbl="revTx">
                  <dgm:varLst>
                    <dgm:bulletEnabled val="1"/>
                  </dgm:varLst>
                  <dgm:choose name="Name97">
                    <dgm:if name="Name98" func="var" arg="dir" op="equ" val="norm">
                      <dgm:choose name="Name99">
                        <dgm:if name="Name100" axis="root des" ptType="all node" func="maxDepth" op="gt" val="1">
                          <dgm:alg type="tx">
                            <dgm:param type="txAnchorVert" val="t"/>
                            <dgm:param type="parTxLTRAlign" val="l"/>
                            <dgm:param type="parTxRTLAlign" val="r"/>
                          </dgm:alg>
                        </dgm:if>
                        <dgm:else name="Name101">
                          <dgm:alg type="tx">
                            <dgm:param type="txAnchorVert" val="t"/>
                            <dgm:param type="parTxLTRAlign" val="l"/>
                            <dgm:param type="parTxRTLAlign" val="l"/>
                          </dgm:alg>
                        </dgm:else>
                      </dgm:choose>
                    </dgm:if>
                    <dgm:else name="Name102">
                      <dgm:choose name="Name103">
                        <dgm:if name="Name104" axis="root des" ptType="all node" func="maxDepth" op="gt" val="1">
                          <dgm:alg type="tx">
                            <dgm:param type="txAnchorVert" val="b"/>
                            <dgm:param type="txAnchorVertCh" val="b"/>
                            <dgm:param type="parTxLTRAlign" val="l"/>
                            <dgm:param type="parTxRTLAlign" val="r"/>
                          </dgm:alg>
                        </dgm:if>
                        <dgm:else name="Name105">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106">
                    <dgm:if name="Name107" func="var" arg="dir" op="equ" val="norm">
                      <dgm:constrLst>
                        <dgm:constr type="rMarg"/>
                        <dgm:constr type="tMarg"/>
                        <dgm:constr type="bMarg"/>
                      </dgm:constrLst>
                    </dgm:if>
                    <dgm:else name="Name108">
                      <dgm:constrLst>
                        <dgm:constr type="lMarg"/>
                        <dgm:constr type="tMarg"/>
                        <dgm:constr type="bMarg"/>
                      </dgm:constrLst>
                    </dgm:else>
                  </dgm:choose>
                  <dgm:ruleLst>
                    <dgm:rule type="primFontSz" val="5" fact="NaN" max="NaN"/>
                  </dgm:ruleLst>
                </dgm:layoutNode>
              </dgm:forEach>
              <dgm:forEach name="Name109" axis="ch" ptType="node" st="3" cnt="1">
                <dgm:layoutNode name="bullet4c" styleLbl="node1">
                  <dgm:alg type="sp"/>
                  <dgm:shape xmlns:r="http://schemas.openxmlformats.org/officeDocument/2006/relationships" type="ellipse" r:blip="">
                    <dgm:adjLst/>
                  </dgm:shape>
                  <dgm:presOf/>
                  <dgm:constrLst/>
                  <dgm:ruleLst/>
                </dgm:layoutNode>
                <dgm:layoutNode name="textBox4c" styleLbl="revTx">
                  <dgm:varLst>
                    <dgm:bulletEnabled val="1"/>
                  </dgm:varLst>
                  <dgm:choose name="Name110">
                    <dgm:if name="Name111" func="var" arg="dir" op="equ" val="norm">
                      <dgm:choose name="Name112">
                        <dgm:if name="Name113" axis="root des" ptType="all node" func="maxDepth" op="gt" val="1">
                          <dgm:alg type="tx">
                            <dgm:param type="txAnchorVert" val="t"/>
                            <dgm:param type="parTxLTRAlign" val="l"/>
                            <dgm:param type="parTxRTLAlign" val="r"/>
                          </dgm:alg>
                        </dgm:if>
                        <dgm:else name="Name114">
                          <dgm:alg type="tx">
                            <dgm:param type="txAnchorVert" val="t"/>
                            <dgm:param type="parTxLTRAlign" val="l"/>
                            <dgm:param type="parTxRTLAlign" val="l"/>
                          </dgm:alg>
                        </dgm:else>
                      </dgm:choose>
                    </dgm:if>
                    <dgm:else name="Name115">
                      <dgm:choose name="Name116">
                        <dgm:if name="Name117" axis="root des" ptType="all node" func="maxDepth" op="gt" val="1">
                          <dgm:alg type="tx">
                            <dgm:param type="txAnchorVert" val="b"/>
                            <dgm:param type="txAnchorVertCh" val="b"/>
                            <dgm:param type="parTxLTRAlign" val="l"/>
                            <dgm:param type="parTxRTLAlign" val="r"/>
                          </dgm:alg>
                        </dgm:if>
                        <dgm:else name="Name118">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119">
                    <dgm:if name="Name120" func="var" arg="dir" op="equ" val="norm">
                      <dgm:constrLst>
                        <dgm:constr type="rMarg"/>
                        <dgm:constr type="tMarg"/>
                        <dgm:constr type="bMarg"/>
                      </dgm:constrLst>
                    </dgm:if>
                    <dgm:else name="Name121">
                      <dgm:constrLst>
                        <dgm:constr type="lMarg"/>
                        <dgm:constr type="tMarg"/>
                        <dgm:constr type="bMarg"/>
                      </dgm:constrLst>
                    </dgm:else>
                  </dgm:choose>
                  <dgm:ruleLst>
                    <dgm:rule type="primFontSz" val="5" fact="NaN" max="NaN"/>
                  </dgm:ruleLst>
                </dgm:layoutNode>
              </dgm:forEach>
              <dgm:forEach name="Name122" axis="ch" ptType="node" st="4" cnt="1">
                <dgm:layoutNode name="bullet4d" styleLbl="node1">
                  <dgm:alg type="sp"/>
                  <dgm:shape xmlns:r="http://schemas.openxmlformats.org/officeDocument/2006/relationships" type="ellipse" r:blip="">
                    <dgm:adjLst/>
                  </dgm:shape>
                  <dgm:presOf/>
                  <dgm:constrLst/>
                  <dgm:ruleLst/>
                </dgm:layoutNode>
                <dgm:layoutNode name="textBox4d" styleLbl="revTx">
                  <dgm:varLst>
                    <dgm:bulletEnabled val="1"/>
                  </dgm:varLst>
                  <dgm:choose name="Name123">
                    <dgm:if name="Name124" func="var" arg="dir" op="equ" val="norm">
                      <dgm:choose name="Name125">
                        <dgm:if name="Name126" axis="root des" ptType="all node" func="maxDepth" op="gt" val="1">
                          <dgm:alg type="tx">
                            <dgm:param type="txAnchorVert" val="t"/>
                            <dgm:param type="parTxLTRAlign" val="l"/>
                            <dgm:param type="parTxRTLAlign" val="r"/>
                          </dgm:alg>
                        </dgm:if>
                        <dgm:else name="Name127">
                          <dgm:alg type="tx">
                            <dgm:param type="txAnchorVert" val="t"/>
                            <dgm:param type="parTxLTRAlign" val="l"/>
                            <dgm:param type="parTxRTLAlign" val="l"/>
                          </dgm:alg>
                        </dgm:else>
                      </dgm:choose>
                    </dgm:if>
                    <dgm:else name="Name128">
                      <dgm:choose name="Name129">
                        <dgm:if name="Name130" axis="root des" ptType="all node" func="maxDepth" op="gt" val="1">
                          <dgm:alg type="tx">
                            <dgm:param type="txAnchorVert" val="b"/>
                            <dgm:param type="txAnchorVertCh" val="b"/>
                            <dgm:param type="parTxLTRAlign" val="l"/>
                            <dgm:param type="parTxRTLAlign" val="r"/>
                          </dgm:alg>
                        </dgm:if>
                        <dgm:else name="Name131">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132">
                    <dgm:if name="Name133" func="var" arg="dir" op="equ" val="norm">
                      <dgm:constrLst>
                        <dgm:constr type="rMarg"/>
                        <dgm:constr type="tMarg"/>
                        <dgm:constr type="bMarg"/>
                      </dgm:constrLst>
                    </dgm:if>
                    <dgm:else name="Name134">
                      <dgm:constrLst>
                        <dgm:constr type="lMarg"/>
                        <dgm:constr type="tMarg"/>
                        <dgm:constr type="bMarg"/>
                      </dgm:constrLst>
                    </dgm:else>
                  </dgm:choose>
                  <dgm:ruleLst>
                    <dgm:rule type="primFontSz" val="5" fact="NaN" max="NaN"/>
                  </dgm:ruleLst>
                </dgm:layoutNode>
              </dgm:forEach>
            </dgm:layoutNode>
          </dgm:if>
          <dgm:else name="Name135">
            <dgm:layoutNode name="arrowDiagram5">
              <dgm:alg type="composite">
                <dgm:param type="vertAlign" val="none"/>
                <dgm:param type="horzAlign" val="none"/>
              </dgm:alg>
              <dgm:shape xmlns:r="http://schemas.openxmlformats.org/officeDocument/2006/relationships" r:blip="">
                <dgm:adjLst/>
              </dgm:shape>
              <dgm:presOf/>
              <dgm:choose name="Name136">
                <dgm:if name="Name137" func="var" arg="dir" op="equ" val="norm">
                  <dgm:constrLst>
                    <dgm:constr type="ctrX" for="ch" forName="bullet5a" refType="w" fact="0.11"/>
                    <dgm:constr type="ctrY" for="ch" forName="bullet5a" refType="h" fact="0.762"/>
                    <dgm:constr type="w" for="ch" forName="bullet5a" refType="w" fact="0.023"/>
                    <dgm:constr type="h" for="ch" forName="bullet5a" refType="w" refFor="ch" refForName="bullet5a"/>
                    <dgm:constr type="l" for="ch" forName="textBox5a" refType="ctrX" refFor="ch" refForName="bullet5a"/>
                    <dgm:constr type="t" for="ch" forName="textBox5a" refType="ctrY" refFor="ch" refForName="bullet5a"/>
                    <dgm:constr type="w" for="ch" forName="textBox5a" refType="w" fact="0.131"/>
                    <dgm:constr type="h" for="ch" forName="textBox5a" refType="h" fact="0.238"/>
                    <dgm:constr type="userA" refType="h" refFor="ch" refForName="bullet5a" fact="0.53"/>
                    <dgm:constr type="lMarg" for="ch" forName="textBox5a" refType="userA" fact="2.834"/>
                    <dgm:constr type="ctrX" for="ch" forName="bullet5b" refType="w" fact="0.241"/>
                    <dgm:constr type="ctrY" for="ch" forName="bullet5b" refType="h" fact="0.581"/>
                    <dgm:constr type="w" for="ch" forName="bullet5b" refType="w" fact="0.036"/>
                    <dgm:constr type="h" for="ch" forName="bullet5b" refType="w" refFor="ch" refForName="bullet5b"/>
                    <dgm:constr type="l" for="ch" forName="textBox5b" refType="ctrX" refFor="ch" refForName="bullet5b"/>
                    <dgm:constr type="t" for="ch" forName="textBox5b" refType="ctrY" refFor="ch" refForName="bullet5b"/>
                    <dgm:constr type="w" for="ch" forName="textBox5b" refType="w" fact="0.166"/>
                    <dgm:constr type="h" for="ch" forName="textBox5b" refType="h" fact="0.419"/>
                    <dgm:constr type="userB" refType="h" refFor="ch" refForName="bullet5b" fact="0.53"/>
                    <dgm:constr type="lMarg" for="ch" forName="textBox5b" refType="userB" fact="2.834"/>
                    <dgm:constr type="ctrX" for="ch" forName="bullet5c" refType="w" fact="0.407"/>
                    <dgm:constr type="ctrY" for="ch" forName="bullet5c" refType="h" fact="0.438"/>
                    <dgm:constr type="w" for="ch" forName="bullet5c" refType="w" fact="0.048"/>
                    <dgm:constr type="h" for="ch" forName="bullet5c" refType="w" refFor="ch" refForName="bullet5c"/>
                    <dgm:constr type="l" for="ch" forName="textBox5c" refType="ctrX" refFor="ch" refForName="bullet5c"/>
                    <dgm:constr type="t" for="ch" forName="textBox5c" refType="ctrY" refFor="ch" refForName="bullet5c"/>
                    <dgm:constr type="w" for="ch" forName="textBox5c" refType="w" fact="0.193"/>
                    <dgm:constr type="h" for="ch" forName="textBox5c" refType="h" fact="0.562"/>
                    <dgm:constr type="userC" refType="h" refFor="ch" refForName="bullet5c" fact="0.53"/>
                    <dgm:constr type="lMarg" for="ch" forName="textBox5c" refType="userC" fact="2.834"/>
                    <dgm:constr type="ctrX" for="ch" forName="bullet5d" refType="w" fact="0.6"/>
                    <dgm:constr type="ctrY" for="ch" forName="bullet5d" refType="h" fact="0.33"/>
                    <dgm:constr type="w" for="ch" forName="bullet5d" refType="w" fact="0.062"/>
                    <dgm:constr type="h" for="ch" forName="bullet5d" refType="w" refFor="ch" refForName="bullet5d"/>
                    <dgm:constr type="l" for="ch" forName="textBox5d" refType="ctrX" refFor="ch" refForName="bullet5d"/>
                    <dgm:constr type="t" for="ch" forName="textBox5d" refType="ctrY" refFor="ch" refForName="bullet5d"/>
                    <dgm:constr type="w" for="ch" forName="textBox5d" refType="w" fact="0.2"/>
                    <dgm:constr type="h" for="ch" forName="textBox5d" refType="h" fact="0.67"/>
                    <dgm:constr type="userD" refType="h" refFor="ch" refForName="bullet5d" fact="0.53"/>
                    <dgm:constr type="lMarg" for="ch" forName="textBox5d" refType="userD" fact="2.834"/>
                    <dgm:constr type="ctrX" for="ch" forName="bullet5e" refType="w" fact="0.8"/>
                    <dgm:constr type="ctrY" for="ch" forName="bullet5e" refType="h" fact="0.264"/>
                    <dgm:constr type="w" for="ch" forName="bullet5e" refType="w" fact="0.079"/>
                    <dgm:constr type="h" for="ch" forName="bullet5e" refType="w" refFor="ch" refForName="bullet5e"/>
                    <dgm:constr type="l" for="ch" forName="textBox5e" refType="ctrX" refFor="ch" refForName="bullet5e"/>
                    <dgm:constr type="t" for="ch" forName="textBox5e" refType="ctrY" refFor="ch" refForName="bullet5e"/>
                    <dgm:constr type="w" for="ch" forName="textBox5e" refType="w" fact="0.2"/>
                    <dgm:constr type="h" for="ch" forName="textBox5e" refType="h" fact="0.736"/>
                    <dgm:constr type="userE" refType="h" refFor="ch" refForName="bullet5e" fact="0.53"/>
                    <dgm:constr type="lMarg" for="ch" forName="textBox5e" refType="userE" fact="2.834"/>
                    <dgm:constr type="primFontSz" for="ch" ptType="node" op="equ" val="65"/>
                  </dgm:constrLst>
                </dgm:if>
                <dgm:else name="Name138">
                  <dgm:constrLst>
                    <dgm:constr type="ctrX" for="ch" forName="bullet5a" refType="w" fact="0.11"/>
                    <dgm:constr type="ctrY" for="ch" forName="bullet5a" refType="h" fact="0.762"/>
                    <dgm:constr type="w" for="ch" forName="bullet5a" refType="w" fact="0.023"/>
                    <dgm:constr type="h" for="ch" forName="bullet5a" refType="w" refFor="ch" refForName="bullet5a"/>
                    <dgm:constr type="r" for="ch" forName="textBox5a" refType="ctrX" refFor="ch" refForName="bullet5a"/>
                    <dgm:constr type="b" for="ch" forName="textBox5a" refType="ctrY" refFor="ch" refForName="bullet5a"/>
                    <dgm:constr type="w" for="ch" forName="textBox5a" refType="w" fact="0.11"/>
                    <dgm:constr type="h" for="ch" forName="textBox5a" refType="h" fact="0.762"/>
                    <dgm:constr type="userA" refType="h" refFor="ch" refForName="bullet5a" fact="0.53"/>
                    <dgm:constr type="rMarg" for="ch" forName="textBox5a" refType="userA" fact="2.834"/>
                    <dgm:constr type="ctrX" for="ch" forName="bullet5b" refType="w" fact="0.241"/>
                    <dgm:constr type="ctrY" for="ch" forName="bullet5b" refType="h" fact="0.581"/>
                    <dgm:constr type="w" for="ch" forName="bullet5b" refType="w" fact="0.036"/>
                    <dgm:constr type="h" for="ch" forName="bullet5b" refType="w" refFor="ch" refForName="bullet5b"/>
                    <dgm:constr type="r" for="ch" forName="textBox5b" refType="ctrX" refFor="ch" refForName="bullet5b"/>
                    <dgm:constr type="b" for="ch" forName="textBox5b" refType="ctrY" refFor="ch" refForName="bullet5b"/>
                    <dgm:constr type="w" for="ch" forName="textBox5b" refType="w" fact="0.131"/>
                    <dgm:constr type="h" for="ch" forName="textBox5b" refType="h" fact="0.581"/>
                    <dgm:constr type="userB" refType="h" refFor="ch" refForName="bullet5b" fact="0.53"/>
                    <dgm:constr type="rMarg" for="ch" forName="textBox5b" refType="userB" fact="2.834"/>
                    <dgm:constr type="ctrX" for="ch" forName="bullet5c" refType="w" fact="0.407"/>
                    <dgm:constr type="ctrY" for="ch" forName="bullet5c" refType="h" fact="0.438"/>
                    <dgm:constr type="w" for="ch" forName="bullet5c" refType="w" fact="0.048"/>
                    <dgm:constr type="h" for="ch" forName="bullet5c" refType="w" refFor="ch" refForName="bullet5c"/>
                    <dgm:constr type="r" for="ch" forName="textBox5c" refType="ctrX" refFor="ch" refForName="bullet5c"/>
                    <dgm:constr type="b" for="ch" forName="textBox5c" refType="ctrY" refFor="ch" refForName="bullet5c"/>
                    <dgm:constr type="w" for="ch" forName="textBox5c" refType="w" fact="0.166"/>
                    <dgm:constr type="h" for="ch" forName="textBox5c" refType="h" fact="0.438"/>
                    <dgm:constr type="userC" refType="h" refFor="ch" refForName="bullet5c" fact="0.53"/>
                    <dgm:constr type="rMarg" for="ch" forName="textBox5c" refType="userC" fact="2.834"/>
                    <dgm:constr type="ctrX" for="ch" forName="bullet5d" refType="w" fact="0.6"/>
                    <dgm:constr type="ctrY" for="ch" forName="bullet5d" refType="h" fact="0.33"/>
                    <dgm:constr type="w" for="ch" forName="bullet5d" refType="w" fact="0.062"/>
                    <dgm:constr type="h" for="ch" forName="bullet5d" refType="w" refFor="ch" refForName="bullet5d"/>
                    <dgm:constr type="r" for="ch" forName="textBox5d" refType="ctrX" refFor="ch" refForName="bullet5d"/>
                    <dgm:constr type="b" for="ch" forName="textBox5d" refType="ctrY" refFor="ch" refForName="bullet5d"/>
                    <dgm:constr type="w" for="ch" forName="textBox5d" refType="w" fact="0.193"/>
                    <dgm:constr type="h" for="ch" forName="textBox5d" refType="h" fact="0.33"/>
                    <dgm:constr type="userD" refType="h" refFor="ch" refForName="bullet5d" fact="0.53"/>
                    <dgm:constr type="rMarg" for="ch" forName="textBox5d" refType="userD" fact="2.834"/>
                    <dgm:constr type="ctrX" for="ch" forName="bullet5e" refType="w" fact="0.8"/>
                    <dgm:constr type="ctrY" for="ch" forName="bullet5e" refType="h" fact="0.264"/>
                    <dgm:constr type="w" for="ch" forName="bullet5e" refType="w" fact="0.079"/>
                    <dgm:constr type="h" for="ch" forName="bullet5e" refType="w" refFor="ch" refForName="bullet5e"/>
                    <dgm:constr type="r" for="ch" forName="textBox5e" refType="ctrX" refFor="ch" refForName="bullet5e"/>
                    <dgm:constr type="b" for="ch" forName="textBox5e" refType="ctrY" refFor="ch" refForName="bullet5e"/>
                    <dgm:constr type="w" for="ch" forName="textBox5e" refType="w" fact="0.2"/>
                    <dgm:constr type="h" for="ch" forName="textBox5e" refType="h" fact="0.264"/>
                    <dgm:constr type="userE" refType="h" refFor="ch" refForName="bullet5e" fact="0.53"/>
                    <dgm:constr type="rMarg" for="ch" forName="textBox5e" refType="userE" fact="2.834"/>
                    <dgm:constr type="primFontSz" for="ch" ptType="node" op="equ" val="65"/>
                  </dgm:constrLst>
                </dgm:else>
              </dgm:choose>
              <dgm:ruleLst/>
              <dgm:forEach name="Name139" axis="ch" ptType="node" cnt="1">
                <dgm:layoutNode name="bullet5a" styleLbl="node1">
                  <dgm:alg type="sp"/>
                  <dgm:shape xmlns:r="http://schemas.openxmlformats.org/officeDocument/2006/relationships" type="ellipse" r:blip="">
                    <dgm:adjLst/>
                  </dgm:shape>
                  <dgm:presOf/>
                  <dgm:constrLst/>
                  <dgm:ruleLst/>
                </dgm:layoutNode>
                <dgm:layoutNode name="textBox5a" styleLbl="revTx">
                  <dgm:varLst>
                    <dgm:bulletEnabled val="1"/>
                  </dgm:varLst>
                  <dgm:choose name="Name140">
                    <dgm:if name="Name141" func="var" arg="dir" op="equ" val="norm">
                      <dgm:choose name="Name142">
                        <dgm:if name="Name143" axis="root des" ptType="all node" func="maxDepth" op="gt" val="1">
                          <dgm:alg type="tx">
                            <dgm:param type="txAnchorVert" val="t"/>
                            <dgm:param type="parTxLTRAlign" val="l"/>
                            <dgm:param type="parTxRTLAlign" val="r"/>
                          </dgm:alg>
                        </dgm:if>
                        <dgm:else name="Name144">
                          <dgm:alg type="tx">
                            <dgm:param type="txAnchorVert" val="t"/>
                            <dgm:param type="parTxLTRAlign" val="l"/>
                            <dgm:param type="parTxRTLAlign" val="l"/>
                          </dgm:alg>
                        </dgm:else>
                      </dgm:choose>
                    </dgm:if>
                    <dgm:else name="Name145">
                      <dgm:choose name="Name146">
                        <dgm:if name="Name147" axis="root des" ptType="all node" func="maxDepth" op="gt" val="1">
                          <dgm:alg type="tx">
                            <dgm:param type="txAnchorVert" val="b"/>
                            <dgm:param type="txAnchorVertCh" val="b"/>
                            <dgm:param type="parTxLTRAlign" val="l"/>
                            <dgm:param type="parTxRTLAlign" val="r"/>
                          </dgm:alg>
                        </dgm:if>
                        <dgm:else name="Name148">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149">
                    <dgm:if name="Name150" func="var" arg="dir" op="equ" val="norm">
                      <dgm:constrLst>
                        <dgm:constr type="rMarg"/>
                        <dgm:constr type="tMarg"/>
                        <dgm:constr type="bMarg"/>
                      </dgm:constrLst>
                    </dgm:if>
                    <dgm:else name="Name151">
                      <dgm:constrLst>
                        <dgm:constr type="lMarg"/>
                        <dgm:constr type="tMarg"/>
                        <dgm:constr type="bMarg"/>
                      </dgm:constrLst>
                    </dgm:else>
                  </dgm:choose>
                  <dgm:ruleLst>
                    <dgm:rule type="primFontSz" val="5" fact="NaN" max="NaN"/>
                  </dgm:ruleLst>
                </dgm:layoutNode>
              </dgm:forEach>
              <dgm:forEach name="Name152" axis="ch" ptType="node" st="2" cnt="1">
                <dgm:layoutNode name="bullet5b" styleLbl="node1">
                  <dgm:alg type="sp"/>
                  <dgm:shape xmlns:r="http://schemas.openxmlformats.org/officeDocument/2006/relationships" type="ellipse" r:blip="">
                    <dgm:adjLst/>
                  </dgm:shape>
                  <dgm:presOf/>
                  <dgm:constrLst/>
                  <dgm:ruleLst/>
                </dgm:layoutNode>
                <dgm:layoutNode name="textBox5b" styleLbl="revTx">
                  <dgm:varLst>
                    <dgm:bulletEnabled val="1"/>
                  </dgm:varLst>
                  <dgm:choose name="Name153">
                    <dgm:if name="Name154" func="var" arg="dir" op="equ" val="norm">
                      <dgm:choose name="Name155">
                        <dgm:if name="Name156" axis="root des" ptType="all node" func="maxDepth" op="gt" val="1">
                          <dgm:alg type="tx">
                            <dgm:param type="txAnchorVert" val="t"/>
                            <dgm:param type="parTxLTRAlign" val="l"/>
                            <dgm:param type="parTxRTLAlign" val="r"/>
                          </dgm:alg>
                        </dgm:if>
                        <dgm:else name="Name157">
                          <dgm:alg type="tx">
                            <dgm:param type="txAnchorVert" val="t"/>
                            <dgm:param type="parTxLTRAlign" val="l"/>
                            <dgm:param type="parTxRTLAlign" val="l"/>
                          </dgm:alg>
                        </dgm:else>
                      </dgm:choose>
                    </dgm:if>
                    <dgm:else name="Name158">
                      <dgm:choose name="Name159">
                        <dgm:if name="Name160" axis="root des" ptType="all node" func="maxDepth" op="gt" val="1">
                          <dgm:alg type="tx">
                            <dgm:param type="txAnchorVert" val="b"/>
                            <dgm:param type="txAnchorVertCh" val="b"/>
                            <dgm:param type="parTxLTRAlign" val="l"/>
                            <dgm:param type="parTxRTLAlign" val="r"/>
                          </dgm:alg>
                        </dgm:if>
                        <dgm:else name="Name161">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162">
                    <dgm:if name="Name163" func="var" arg="dir" op="equ" val="norm">
                      <dgm:constrLst>
                        <dgm:constr type="rMarg"/>
                        <dgm:constr type="tMarg"/>
                        <dgm:constr type="bMarg"/>
                      </dgm:constrLst>
                    </dgm:if>
                    <dgm:else name="Name164">
                      <dgm:constrLst>
                        <dgm:constr type="lMarg"/>
                        <dgm:constr type="tMarg"/>
                        <dgm:constr type="bMarg"/>
                      </dgm:constrLst>
                    </dgm:else>
                  </dgm:choose>
                  <dgm:ruleLst>
                    <dgm:rule type="primFontSz" val="5" fact="NaN" max="NaN"/>
                  </dgm:ruleLst>
                </dgm:layoutNode>
              </dgm:forEach>
              <dgm:forEach name="Name165" axis="ch" ptType="node" st="3" cnt="1">
                <dgm:layoutNode name="bullet5c" styleLbl="node1">
                  <dgm:alg type="sp"/>
                  <dgm:shape xmlns:r="http://schemas.openxmlformats.org/officeDocument/2006/relationships" type="ellipse" r:blip="">
                    <dgm:adjLst/>
                  </dgm:shape>
                  <dgm:presOf/>
                  <dgm:constrLst/>
                  <dgm:ruleLst/>
                </dgm:layoutNode>
                <dgm:layoutNode name="textBox5c" styleLbl="revTx">
                  <dgm:varLst>
                    <dgm:bulletEnabled val="1"/>
                  </dgm:varLst>
                  <dgm:choose name="Name166">
                    <dgm:if name="Name167" func="var" arg="dir" op="equ" val="norm">
                      <dgm:choose name="Name168">
                        <dgm:if name="Name169" axis="root des" ptType="all node" func="maxDepth" op="gt" val="1">
                          <dgm:alg type="tx">
                            <dgm:param type="txAnchorVert" val="t"/>
                            <dgm:param type="parTxLTRAlign" val="l"/>
                            <dgm:param type="parTxRTLAlign" val="r"/>
                          </dgm:alg>
                        </dgm:if>
                        <dgm:else name="Name170">
                          <dgm:alg type="tx">
                            <dgm:param type="txAnchorVert" val="t"/>
                            <dgm:param type="parTxLTRAlign" val="l"/>
                            <dgm:param type="parTxRTLAlign" val="l"/>
                          </dgm:alg>
                        </dgm:else>
                      </dgm:choose>
                    </dgm:if>
                    <dgm:else name="Name171">
                      <dgm:choose name="Name172">
                        <dgm:if name="Name173" axis="root des" ptType="all node" func="maxDepth" op="gt" val="1">
                          <dgm:alg type="tx">
                            <dgm:param type="txAnchorVert" val="b"/>
                            <dgm:param type="txAnchorVertCh" val="b"/>
                            <dgm:param type="parTxLTRAlign" val="l"/>
                            <dgm:param type="parTxRTLAlign" val="r"/>
                          </dgm:alg>
                        </dgm:if>
                        <dgm:else name="Name174">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175">
                    <dgm:if name="Name176" func="var" arg="dir" op="equ" val="norm">
                      <dgm:constrLst>
                        <dgm:constr type="rMarg"/>
                        <dgm:constr type="tMarg"/>
                        <dgm:constr type="bMarg"/>
                      </dgm:constrLst>
                    </dgm:if>
                    <dgm:else name="Name177">
                      <dgm:constrLst>
                        <dgm:constr type="lMarg"/>
                        <dgm:constr type="tMarg"/>
                        <dgm:constr type="bMarg"/>
                      </dgm:constrLst>
                    </dgm:else>
                  </dgm:choose>
                  <dgm:ruleLst>
                    <dgm:rule type="primFontSz" val="5" fact="NaN" max="NaN"/>
                  </dgm:ruleLst>
                </dgm:layoutNode>
              </dgm:forEach>
              <dgm:forEach name="Name178" axis="ch" ptType="node" st="4" cnt="1">
                <dgm:layoutNode name="bullet5d" styleLbl="node1">
                  <dgm:alg type="sp"/>
                  <dgm:shape xmlns:r="http://schemas.openxmlformats.org/officeDocument/2006/relationships" type="ellipse" r:blip="">
                    <dgm:adjLst/>
                  </dgm:shape>
                  <dgm:presOf/>
                  <dgm:constrLst/>
                  <dgm:ruleLst/>
                </dgm:layoutNode>
                <dgm:layoutNode name="textBox5d" styleLbl="revTx">
                  <dgm:varLst>
                    <dgm:bulletEnabled val="1"/>
                  </dgm:varLst>
                  <dgm:choose name="Name179">
                    <dgm:if name="Name180" func="var" arg="dir" op="equ" val="norm">
                      <dgm:choose name="Name181">
                        <dgm:if name="Name182" axis="root des" ptType="all node" func="maxDepth" op="gt" val="1">
                          <dgm:alg type="tx">
                            <dgm:param type="txAnchorVert" val="t"/>
                            <dgm:param type="parTxLTRAlign" val="l"/>
                            <dgm:param type="parTxRTLAlign" val="r"/>
                          </dgm:alg>
                        </dgm:if>
                        <dgm:else name="Name183">
                          <dgm:alg type="tx">
                            <dgm:param type="txAnchorVert" val="t"/>
                            <dgm:param type="parTxLTRAlign" val="l"/>
                            <dgm:param type="parTxRTLAlign" val="l"/>
                          </dgm:alg>
                        </dgm:else>
                      </dgm:choose>
                    </dgm:if>
                    <dgm:else name="Name184">
                      <dgm:choose name="Name185">
                        <dgm:if name="Name186" axis="root des" ptType="all node" func="maxDepth" op="gt" val="1">
                          <dgm:alg type="tx">
                            <dgm:param type="txAnchorVert" val="b"/>
                            <dgm:param type="txAnchorVertCh" val="b"/>
                            <dgm:param type="parTxLTRAlign" val="l"/>
                            <dgm:param type="parTxRTLAlign" val="r"/>
                          </dgm:alg>
                        </dgm:if>
                        <dgm:else name="Name187">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188">
                    <dgm:if name="Name189" func="var" arg="dir" op="equ" val="norm">
                      <dgm:constrLst>
                        <dgm:constr type="rMarg"/>
                        <dgm:constr type="tMarg"/>
                        <dgm:constr type="bMarg"/>
                      </dgm:constrLst>
                    </dgm:if>
                    <dgm:else name="Name190">
                      <dgm:constrLst>
                        <dgm:constr type="lMarg"/>
                        <dgm:constr type="tMarg"/>
                        <dgm:constr type="bMarg"/>
                      </dgm:constrLst>
                    </dgm:else>
                  </dgm:choose>
                  <dgm:ruleLst>
                    <dgm:rule type="primFontSz" val="5" fact="NaN" max="NaN"/>
                  </dgm:ruleLst>
                </dgm:layoutNode>
              </dgm:forEach>
              <dgm:forEach name="Name191" axis="ch" ptType="node" st="5" cnt="1">
                <dgm:layoutNode name="bullet5e" styleLbl="node1">
                  <dgm:alg type="sp"/>
                  <dgm:shape xmlns:r="http://schemas.openxmlformats.org/officeDocument/2006/relationships" type="ellipse" r:blip="">
                    <dgm:adjLst/>
                  </dgm:shape>
                  <dgm:presOf/>
                  <dgm:constrLst/>
                  <dgm:ruleLst/>
                </dgm:layoutNode>
                <dgm:layoutNode name="textBox5e" styleLbl="revTx">
                  <dgm:varLst>
                    <dgm:bulletEnabled val="1"/>
                  </dgm:varLst>
                  <dgm:choose name="Name192">
                    <dgm:if name="Name193" func="var" arg="dir" op="equ" val="norm">
                      <dgm:choose name="Name194">
                        <dgm:if name="Name195" axis="root des" ptType="all node" func="maxDepth" op="gt" val="1">
                          <dgm:alg type="tx">
                            <dgm:param type="txAnchorVert" val="t"/>
                            <dgm:param type="parTxLTRAlign" val="l"/>
                            <dgm:param type="parTxRTLAlign" val="r"/>
                          </dgm:alg>
                        </dgm:if>
                        <dgm:else name="Name196">
                          <dgm:alg type="tx">
                            <dgm:param type="txAnchorVert" val="t"/>
                            <dgm:param type="parTxLTRAlign" val="l"/>
                            <dgm:param type="parTxRTLAlign" val="l"/>
                          </dgm:alg>
                        </dgm:else>
                      </dgm:choose>
                    </dgm:if>
                    <dgm:else name="Name197">
                      <dgm:choose name="Name198">
                        <dgm:if name="Name199" axis="root des" ptType="all node" func="maxDepth" op="gt" val="1">
                          <dgm:alg type="tx">
                            <dgm:param type="txAnchorVert" val="b"/>
                            <dgm:param type="txAnchorVertCh" val="b"/>
                            <dgm:param type="parTxLTRAlign" val="l"/>
                            <dgm:param type="parTxRTLAlign" val="r"/>
                          </dgm:alg>
                        </dgm:if>
                        <dgm:else name="Name200">
                          <dgm:alg type="tx">
                            <dgm:param type="txAnchorVert" val="b"/>
                            <dgm:param type="parTxLTRAlign" val="r"/>
                            <dgm:param type="parTxRTLAlign" val="r"/>
                          </dgm:alg>
                        </dgm:else>
                      </dgm:choose>
                    </dgm:else>
                  </dgm:choose>
                  <dgm:shape xmlns:r="http://schemas.openxmlformats.org/officeDocument/2006/relationships" type="rect" r:blip="">
                    <dgm:adjLst/>
                  </dgm:shape>
                  <dgm:presOf axis="desOrSelf" ptType="node"/>
                  <dgm:choose name="Name201">
                    <dgm:if name="Name202" func="var" arg="dir" op="equ" val="norm">
                      <dgm:constrLst>
                        <dgm:constr type="rMarg"/>
                        <dgm:constr type="tMarg"/>
                        <dgm:constr type="bMarg"/>
                      </dgm:constrLst>
                    </dgm:if>
                    <dgm:else name="Name203">
                      <dgm:constrLst>
                        <dgm:constr type="lMarg"/>
                        <dgm:constr type="tMarg"/>
                        <dgm:constr type="bMarg"/>
                      </dgm:constrLst>
                    </dgm:else>
                  </dgm:choose>
                  <dgm:ruleLst>
                    <dgm:rule type="primFontSz" val="5" fact="NaN" max="NaN"/>
                  </dgm:ruleLst>
                </dgm:layoutNode>
              </dgm:forEach>
            </dgm:layoutNode>
          </dgm:else>
        </dgm:choose>
      </dgm:if>
      <dgm:else name="Name204"/>
    </dgm:choose>
  </dgm:layoutNode>
</dgm:layoutDef>
</file>

<file path=xl/diagrams/layout2.xml><?xml version="1.0" encoding="utf-8"?>
<dgm:layoutDef xmlns:dgm="http://schemas.openxmlformats.org/drawingml/2006/diagram" xmlns:a="http://schemas.openxmlformats.org/drawingml/2006/main" uniqueId="urn:microsoft.com/office/officeart/2009/3/layout/DescendingProcess">
  <dgm:title val=""/>
  <dgm:desc val=""/>
  <dgm:catLst>
    <dgm:cat type="process" pri="23500"/>
  </dgm:catLst>
  <dgm:sampData>
    <dgm:dataModel>
      <dgm:ptLst>
        <dgm:pt modelId="0" type="doc"/>
        <dgm:pt modelId="1">
          <dgm:prSet phldr="1"/>
        </dgm:pt>
        <dgm:pt modelId="2">
          <dgm:prSet phldr="1"/>
        </dgm:pt>
        <dgm:pt modelId="3">
          <dgm:prSet phldr="1"/>
        </dgm:pt>
        <dgm:pt modelId="4">
          <dgm:prSet phldr="1"/>
        </dgm:pt>
        <dgm:pt modelId="5">
          <dgm:prSet phldr="1"/>
        </dgm:pt>
      </dgm:ptLst>
      <dgm:cxnLst>
        <dgm:cxn modelId="6" srcId="0" destId="1" srcOrd="0" destOrd="0"/>
        <dgm:cxn modelId="7" srcId="0" destId="2" srcOrd="1" destOrd="0"/>
        <dgm:cxn modelId="8" srcId="0" destId="3" srcOrd="2" destOrd="0"/>
        <dgm:cxn modelId="9" srcId="0" destId="4" srcOrd="3" destOrd="0"/>
        <dgm:cxn modelId="10" srcId="0" destId="5" srcOrd="4" destOrd="0"/>
      </dgm:cxnLst>
      <dgm:bg/>
      <dgm:whole/>
    </dgm:dataModel>
  </dgm:sampData>
  <dgm:styleData>
    <dgm:dataModel>
      <dgm:ptLst>
        <dgm:pt modelId="0" type="doc"/>
        <dgm:pt modelId="1">
          <dgm:prSet phldr="1"/>
        </dgm:pt>
        <dgm:pt modelId="2">
          <dgm:prSet phldr="1"/>
        </dgm:pt>
        <dgm:pt modelId="3">
          <dgm:prSet phldr="1"/>
        </dgm:pt>
      </dgm:ptLst>
      <dgm:cxnLst>
        <dgm:cxn modelId="4" srcId="0" destId="1" srcOrd="0" destOrd="0"/>
        <dgm:cxn modelId="5" srcId="0" destId="2" srcOrd="1" destOrd="0"/>
        <dgm:cxn modelId="6" srcId="0" destId="3" srcOrd="2" destOrd="0"/>
      </dgm:cxnLst>
      <dgm:bg/>
      <dgm:whole/>
    </dgm:dataModel>
  </dgm:styleData>
  <dgm:clrData>
    <dgm:dataModel>
      <dgm:ptLst>
        <dgm:pt modelId="0" type="doc"/>
        <dgm:pt modelId="1">
          <dgm:prSet phldr="1"/>
        </dgm:pt>
        <dgm:pt modelId="2">
          <dgm:prSet phldr="1"/>
        </dgm:pt>
        <dgm:pt modelId="3">
          <dgm:prSet phldr="1"/>
        </dgm:pt>
      </dgm:ptLst>
      <dgm:cxnLst>
        <dgm:cxn modelId="4" srcId="0" destId="1" srcOrd="0" destOrd="0"/>
        <dgm:cxn modelId="5" srcId="0" destId="2" srcOrd="1" destOrd="0"/>
        <dgm:cxn modelId="6" srcId="0" destId="3" srcOrd="2" destOrd="0"/>
      </dgm:cxnLst>
      <dgm:bg/>
      <dgm:whole/>
    </dgm:dataModel>
  </dgm:clrData>
  <dgm:layoutNode name="Name0">
    <dgm:varLst>
      <dgm:chMax val="7"/>
      <dgm:chPref val="5"/>
    </dgm:varLst>
    <dgm:alg type="composite">
      <dgm:param type="ar" val="1.1"/>
    </dgm:alg>
    <dgm:shape xmlns:r="http://schemas.openxmlformats.org/officeDocument/2006/relationships" r:blip="">
      <dgm:adjLst/>
    </dgm:shape>
    <dgm:choose name="Name1">
      <dgm:if name="Name2" axis="ch" ptType="node" func="cnt" op="equ" val="1">
        <dgm:constrLst>
          <dgm:constr type="primFontSz" for="ch" ptType="node" op="equ" val="65"/>
          <dgm:constr type="w" for="ch" forName="arrowNode" refType="w" fact="0.75"/>
          <dgm:constr type="h" for="ch" forName="arrowNode" refType="h"/>
          <dgm:constr type="l" for="ch" forName="arrowNode" refType="w" fact="0.07"/>
          <dgm:constr type="t" for="ch" forName="arrowNode"/>
          <dgm:constr type="l" for="ch" forName="txNode1" refType="w" fact="0"/>
          <dgm:constr type="t" for="ch" forName="txNode1" refType="h" fact="0"/>
          <dgm:constr type="r" for="ch" forName="txNode1" refType="w" fact="0.37"/>
          <dgm:constr type="h" for="ch" forName="txNode1" refType="h" fact="0.16"/>
        </dgm:constrLst>
      </dgm:if>
      <dgm:if name="Name3" axis="ch" ptType="node" func="cnt" op="equ" val="2">
        <dgm:constrLst>
          <dgm:constr type="primFontSz" for="ch" ptType="node" op="equ" val="65"/>
          <dgm:constr type="w" for="ch" forName="arrowNode" refType="w" fact="0.75"/>
          <dgm:constr type="h" for="ch" forName="arrowNode" refType="h"/>
          <dgm:constr type="l" for="ch" forName="arrowNode" refType="w" fact="0.07"/>
          <dgm:constr type="t" for="ch" forName="arrowNode"/>
          <dgm:constr type="l" for="ch" forName="txNode1" refType="w" fact="0"/>
          <dgm:constr type="t" for="ch" forName="txNode1" refType="h" fact="0"/>
          <dgm:constr type="r" for="ch" forName="txNode1" refType="w" fact="0.37"/>
          <dgm:constr type="h" for="ch" forName="txNode1" refType="h" fact="0.16"/>
          <dgm:constr type="l" for="ch" forName="txNode2" refType="w" fact="0.5"/>
          <dgm:constr type="b" for="ch" forName="txNode2" refType="h"/>
          <dgm:constr type="r" for="ch" forName="txNode2" refType="w"/>
          <dgm:constr type="h" for="ch" forName="txNode2" refType="h" fact="0.16"/>
        </dgm:constrLst>
      </dgm:if>
      <dgm:if name="Name4" axis="ch" ptType="node" func="cnt" op="equ" val="3">
        <dgm:constrLst>
          <dgm:constr type="primFontSz" for="ch" ptType="node" op="equ" val="65"/>
          <dgm:constr type="w" for="ch" forName="arrowNode" refType="w" fact="0.75"/>
          <dgm:constr type="h" for="ch" forName="arrowNode" refType="h"/>
          <dgm:constr type="l" for="ch" forName="arrowNode" refType="w" fact="0.07"/>
          <dgm:constr type="t" for="ch" forName="arrowNode"/>
          <dgm:constr type="l" for="ch" forName="txNode1" refType="w" fact="0"/>
          <dgm:constr type="t" for="ch" forName="txNode1" refType="h" fact="0"/>
          <dgm:constr type="r" for="ch" forName="txNode1" refType="w" fact="0.37"/>
          <dgm:constr type="h" for="ch" forName="txNode1" refType="h" fact="0.16"/>
          <dgm:constr type="l" for="ch" forName="txNode2" refType="w" fact="0.56"/>
          <dgm:constr type="ctrY" for="ch" forName="txNode2" refType="h" fact="0.3992"/>
          <dgm:constr type="r" for="ch" forName="txNode2" refType="w"/>
          <dgm:constr type="h" for="ch" forName="txNode2" refType="h" fact="0.16"/>
          <dgm:constr type="l" for="ch" forName="txNode3" refType="w" fact="0.5"/>
          <dgm:constr type="b" for="ch" forName="txNode3" refType="h"/>
          <dgm:constr type="r" for="ch" forName="txNode3" refType="w"/>
          <dgm:constr type="h" for="ch" forName="txNode3" refType="h" fact="0.16"/>
          <dgm:constr type="ctrX" for="ch" forName="dotNode2" refType="w" fact="0.4782"/>
          <dgm:constr type="ctrY" for="ch" forName="dotNode2" refType="h" fact="0.3992"/>
          <dgm:constr type="h" for="ch" forName="dotNode2" refType="h" fact="0.0218"/>
          <dgm:constr type="w" for="ch" forName="dotNode2" refType="h" refFor="ch" refForName="dotNode2"/>
        </dgm:constrLst>
      </dgm:if>
      <dgm:if name="Name5" axis="ch" ptType="node" func="cnt" op="equ" val="4">
        <dgm:constrLst>
          <dgm:constr type="primFontSz" for="ch" ptType="node" op="equ" val="65"/>
          <dgm:constr type="w" for="ch" forName="arrowNode" refType="w" fact="0.75"/>
          <dgm:constr type="h" for="ch" forName="arrowNode" refType="h"/>
          <dgm:constr type="l" for="ch" forName="arrowNode" refType="w" fact="0.07"/>
          <dgm:constr type="t" for="ch" forName="arrowNode"/>
          <dgm:constr type="l" for="ch" forName="txNode1" refType="w" fact="0"/>
          <dgm:constr type="t" for="ch" forName="txNode1" refType="h" fact="0"/>
          <dgm:constr type="r" for="ch" forName="txNode1" refType="w" fact="0.37"/>
          <dgm:constr type="h" for="ch" forName="txNode1" refType="h" fact="0.16"/>
          <dgm:constr type="l" for="ch" forName="txNode2" refType="w" fact="0.49"/>
          <dgm:constr type="ctrY" for="ch" forName="txNode2" refType="h" fact="0.3153"/>
          <dgm:constr type="r" for="ch" forName="txNode2" refType="w"/>
          <dgm:constr type="h" for="ch" forName="txNode2" refType="h" fact="0.16"/>
          <dgm:constr type="l" for="ch" forName="txNode3" refType="w" fact="0"/>
          <dgm:constr type="ctrY" for="ch" forName="txNode3" refType="h" fact="0.5004"/>
          <dgm:constr type="r" for="ch" forName="txNode3" refType="w" fact="0.5"/>
          <dgm:constr type="h" for="ch" forName="txNode3" refType="h" fact="0.16"/>
          <dgm:constr type="l" for="ch" forName="txNode4" refType="w" fact="0.5"/>
          <dgm:constr type="b" for="ch" forName="txNode4" refType="h"/>
          <dgm:constr type="r" for="ch" forName="txNode4" refType="w"/>
          <dgm:constr type="h" for="ch" forName="txNode4" refType="h" fact="0.16"/>
          <dgm:constr type="ctrX" for="ch" forName="dotNode2" refType="w" fact="0.39"/>
          <dgm:constr type="ctrY" for="ch" forName="dotNode2" refType="h" fact="0.3153"/>
          <dgm:constr type="h" for="ch" forName="dotNode2" refType="h" fact="0.0218"/>
          <dgm:constr type="w" for="ch" forName="dotNode2" refType="h" refFor="ch" refForName="dotNode2"/>
          <dgm:constr type="ctrX" for="ch" forName="dotNode3" refType="w" fact="0.5626"/>
          <dgm:constr type="ctrY" for="ch" forName="dotNode3" refType="h" fact="0.5004"/>
          <dgm:constr type="h" for="ch" forName="dotNode3" refType="h" fact="0.0218"/>
          <dgm:constr type="w" for="ch" forName="dotNode3" refType="h" refFor="ch" refForName="dotNode3"/>
        </dgm:constrLst>
      </dgm:if>
      <dgm:if name="Name6" axis="ch" ptType="node" func="cnt" op="equ" val="5">
        <dgm:constrLst>
          <dgm:constr type="primFontSz" for="ch" ptType="node" op="equ" val="65"/>
          <dgm:constr type="w" for="ch" forName="arrowNode" refType="w" fact="0.75"/>
          <dgm:constr type="h" for="ch" forName="arrowNode" refType="h"/>
          <dgm:constr type="l" for="ch" forName="arrowNode" refType="w" fact="0.07"/>
          <dgm:constr type="t" for="ch" forName="arrowNode"/>
          <dgm:constr type="l" for="ch" forName="txNode1" refType="w" fact="0"/>
          <dgm:constr type="t" for="ch" forName="txNode1" refType="h" fact="0"/>
          <dgm:constr type="r" for="ch" forName="txNode1" refType="w" fact="0.37"/>
          <dgm:constr type="h" for="ch" forName="txNode1" refType="h" fact="0.16"/>
          <dgm:constr type="l" for="ch" forName="txNode2" refType="w" fact="0.46"/>
          <dgm:constr type="ctrY" for="ch" forName="txNode2" refType="h" fact="0.2885"/>
          <dgm:constr type="r" for="ch" forName="txNode2" refType="w"/>
          <dgm:constr type="h" for="ch" forName="txNode2" refType="h" fact="0.16"/>
          <dgm:constr type="l" for="ch" forName="txNode3" refType="w" fact="0"/>
          <dgm:constr type="ctrY" for="ch" forName="txNode3" refType="h" fact="0.4089"/>
          <dgm:constr type="r" for="ch" forName="txNode3" refType="w" fact="0.43"/>
          <dgm:constr type="h" for="ch" forName="txNode3" refType="h" fact="0.16"/>
          <dgm:constr type="l" for="ch" forName="txNode4" refType="w" fact="0.67"/>
          <dgm:constr type="ctrY" for="ch" forName="txNode4" refType="h" fact="0.5497"/>
          <dgm:constr type="r" for="ch" forName="txNode4" refType="w"/>
          <dgm:constr type="h" for="ch" forName="txNode4" refType="h" fact="0.16"/>
          <dgm:constr type="l" for="ch" forName="txNode5" refType="w" fact="0.5"/>
          <dgm:constr type="b" for="ch" forName="txNode5" refType="h"/>
          <dgm:constr type="r" for="ch" forName="txNode5" refType="w"/>
          <dgm:constr type="h" for="ch" forName="txNode5" refType="h" fact="0.16"/>
          <dgm:constr type="ctrX" for="ch" forName="dotNode2" refType="w" fact="0.3565"/>
          <dgm:constr type="ctrY" for="ch" forName="dotNode2" refType="h" fact="0.2885"/>
          <dgm:constr type="h" for="ch" forName="dotNode2" refType="h" fact="0.0218"/>
          <dgm:constr type="w" for="ch" forName="dotNode2" refType="h" refFor="ch" refForName="dotNode2"/>
          <dgm:constr type="ctrX" for="ch" forName="dotNode3" refType="w" fact="0.4922"/>
          <dgm:constr type="ctrY" for="ch" forName="dotNode3" refType="h" fact="0.4089"/>
          <dgm:constr type="h" for="ch" forName="dotNode3" refType="h" fact="0.0218"/>
          <dgm:constr type="w" for="ch" forName="dotNode3" refType="h" refFor="ch" refForName="dotNode3"/>
          <dgm:constr type="ctrX" for="ch" forName="dotNode4" refType="w" fact="0.5939"/>
          <dgm:constr type="ctrY" for="ch" forName="dotNode4" refType="h" fact="0.5497"/>
          <dgm:constr type="h" for="ch" forName="dotNode4" refType="h" fact="0.0218"/>
          <dgm:constr type="w" for="ch" forName="dotNode4" refType="h" refFor="ch" refForName="dotNode4"/>
        </dgm:constrLst>
      </dgm:if>
      <dgm:if name="Name7" axis="ch" ptType="node" func="cnt" op="equ" val="6">
        <dgm:constrLst>
          <dgm:constr type="primFontSz" for="ch" ptType="node" op="equ" val="65"/>
          <dgm:constr type="w" for="ch" forName="arrowNode" refType="w" fact="0.75"/>
          <dgm:constr type="h" for="ch" forName="arrowNode" refType="h"/>
          <dgm:constr type="l" for="ch" forName="arrowNode" refType="w" fact="0.07"/>
          <dgm:constr type="t" for="ch" forName="arrowNode"/>
          <dgm:constr type="l" for="ch" forName="txNode1" refType="w" fact="0"/>
          <dgm:constr type="t" for="ch" forName="txNode1" refType="h" fact="0"/>
          <dgm:constr type="r" for="ch" forName="txNode1" refType="w" fact="0.37"/>
          <dgm:constr type="h" for="ch" forName="txNode1" refType="h" fact="0.16"/>
          <dgm:constr type="l" for="ch" forName="txNode2" refType="w" fact="0.45"/>
          <dgm:constr type="ctrY" for="ch" forName="txNode2" refType="h" fact="0.2693"/>
          <dgm:constr type="r" for="ch" forName="txNode2" refType="w"/>
          <dgm:constr type="h" for="ch" forName="txNode2" refType="h" fact="0.16"/>
          <dgm:constr type="l" for="ch" forName="txNode3" refType="w" fact="0"/>
          <dgm:constr type="ctrY" for="ch" forName="txNode3" refType="h" fact="0.3638"/>
          <dgm:constr type="r" for="ch" forName="txNode3" refType="w" fact="0.37"/>
          <dgm:constr type="h" for="ch" forName="txNode3" refType="h" fact="0.16"/>
          <dgm:constr type="l" for="ch" forName="txNode4" refType="w" fact="0.63"/>
          <dgm:constr type="ctrY" for="ch" forName="txNode4" refType="h" fact="0.4744"/>
          <dgm:constr type="r" for="ch" forName="txNode4" refType="w"/>
          <dgm:constr type="h" for="ch" forName="txNode4" refType="h" fact="0.16"/>
          <dgm:constr type="l" for="ch" forName="txNode5" refType="w" fact="0"/>
          <dgm:constr type="ctrY" for="ch" forName="txNode5" refType="h" fact="0.5961"/>
          <dgm:constr type="r" for="ch" forName="txNode5" refType="w" fact="0.55"/>
          <dgm:constr type="h" for="ch" forName="txNode5" refType="h" fact="0.16"/>
          <dgm:constr type="l" for="ch" forName="txNode6" refType="w" fact="0.5"/>
          <dgm:constr type="b" for="ch" forName="txNode6" refType="h"/>
          <dgm:constr type="r" for="ch" forName="txNode6" refType="w"/>
          <dgm:constr type="h" for="ch" forName="txNode6" refType="h" fact="0.16"/>
          <dgm:constr type="ctrX" for="ch" forName="dotNode2" refType="w" fact="0.33"/>
          <dgm:constr type="ctrY" for="ch" forName="dotNode2" refType="h" fact="0.2693"/>
          <dgm:constr type="h" for="ch" forName="dotNode2" refType="h" fact="0.0218"/>
          <dgm:constr type="w" for="ch" forName="dotNode2" refType="h" refFor="ch" refForName="dotNode2"/>
          <dgm:constr type="ctrX" for="ch" forName="dotNode3" refType="w" fact="0.4419"/>
          <dgm:constr type="ctrY" for="ch" forName="dotNode3" refType="h" fact="0.3638"/>
          <dgm:constr type="h" for="ch" forName="dotNode3" refType="h" fact="0.0218"/>
          <dgm:constr type="w" for="ch" forName="dotNode3" refType="h" refFor="ch" refForName="dotNode3"/>
          <dgm:constr type="ctrX" for="ch" forName="dotNode4" refType="w" fact="0.5425"/>
          <dgm:constr type="ctrY" for="ch" forName="dotNode4" refType="h" fact="0.4744"/>
          <dgm:constr type="h" for="ch" forName="dotNode4" refType="h" fact="0.0218"/>
          <dgm:constr type="w" for="ch" forName="dotNode4" refType="h" refFor="ch" refForName="dotNode4"/>
          <dgm:constr type="ctrX" for="ch" forName="dotNode5" refType="w" fact="0.6153"/>
          <dgm:constr type="ctrY" for="ch" forName="dotNode5" refType="h" fact="0.5961"/>
          <dgm:constr type="h" for="ch" forName="dotNode5" refType="h" fact="0.0218"/>
          <dgm:constr type="w" for="ch" forName="dotNode5" refType="h" refFor="ch" refForName="dotNode5"/>
        </dgm:constrLst>
      </dgm:if>
      <dgm:else name="Name8">
        <dgm:constrLst>
          <dgm:constr type="primFontSz" for="ch" ptType="node" op="equ" val="65"/>
          <dgm:constr type="w" for="ch" forName="arrowNode" refType="w" fact="0.75"/>
          <dgm:constr type="h" for="ch" forName="arrowNode" refType="h"/>
          <dgm:constr type="l" for="ch" forName="arrowNode" refType="w" fact="0.07"/>
          <dgm:constr type="t" for="ch" forName="arrowNode"/>
          <dgm:constr type="l" for="ch" forName="txNode1" refType="w" fact="0"/>
          <dgm:constr type="t" for="ch" forName="txNode1" refType="h" fact="0"/>
          <dgm:constr type="r" for="ch" forName="txNode1" refType="w" fact="0.37"/>
          <dgm:constr type="h" for="ch" forName="txNode1" refType="h" fact="0.16"/>
          <dgm:constr type="l" for="ch" forName="txNode2" refType="w" fact="0.44"/>
          <dgm:constr type="ctrY" for="ch" forName="txNode2" refType="h" fact="0.2693"/>
          <dgm:constr type="r" for="ch" forName="txNode2" refType="w"/>
          <dgm:constr type="h" for="ch" forName="txNode2" refType="h" fact="0.16"/>
          <dgm:constr type="l" for="ch" forName="txNode3" refType="w" fact="0"/>
          <dgm:constr type="ctrY" for="ch" forName="txNode3" refType="h" fact="0.3424"/>
          <dgm:constr type="r" for="ch" forName="txNode3" refType="w" fact="0.33"/>
          <dgm:constr type="h" for="ch" forName="txNode3" refType="h" fact="0.16"/>
          <dgm:constr type="l" for="ch" forName="txNode4" refType="w" fact="0.61"/>
          <dgm:constr type="ctrY" for="ch" forName="txNode4" refType="h" fact="0.4276"/>
          <dgm:constr type="r" for="ch" forName="txNode4" refType="w"/>
          <dgm:constr type="h" for="ch" forName="txNode4" refType="h" fact="0.16"/>
          <dgm:constr type="l" for="ch" forName="txNode5" refType="w" fact="0"/>
          <dgm:constr type="ctrY" for="ch" forName="txNode5" refType="h" fact="0.5218"/>
          <dgm:constr type="r" for="ch" forName="txNode5" refType="w" fact="0.5"/>
          <dgm:constr type="h" for="ch" forName="txNode5" refType="h" fact="0.16"/>
          <dgm:constr type="l" for="ch" forName="txNode6" refType="w" fact="0.71"/>
          <dgm:constr type="ctrY" for="ch" forName="txNode6" refType="h" fact="0.6179"/>
          <dgm:constr type="r" for="ch" forName="txNode6" refType="w"/>
          <dgm:constr type="h" for="ch" forName="txNode6" refType="h" fact="0.16"/>
          <dgm:constr type="l" for="ch" forName="txNode7" refType="w" fact="0.5"/>
          <dgm:constr type="b" for="ch" forName="txNode7" refType="h"/>
          <dgm:constr type="r" for="ch" forName="txNode7" refType="w"/>
          <dgm:constr type="h" for="ch" forName="txNode7" refType="h" fact="0.16"/>
          <dgm:constr type="ctrX" for="ch" forName="dotNode2" refType="w" fact="0.33"/>
          <dgm:constr type="ctrY" for="ch" forName="dotNode2" refType="h" fact="0.2693"/>
          <dgm:constr type="h" for="ch" forName="dotNode2" refType="h" fact="0.0218"/>
          <dgm:constr type="w" for="ch" forName="dotNode2" refType="h" refFor="ch" refForName="dotNode2"/>
          <dgm:constr type="ctrX" for="ch" forName="dotNode3" refType="w" fact="0.425"/>
          <dgm:constr type="ctrY" for="ch" forName="dotNode3" refType="h" fact="0.3424"/>
          <dgm:constr type="h" for="ch" forName="dotNode3" refType="h" fact="0.0218"/>
          <dgm:constr type="w" for="ch" forName="dotNode3" refType="h" refFor="ch" refForName="dotNode3"/>
          <dgm:constr type="ctrX" for="ch" forName="dotNode4" refType="w" fact="0.505"/>
          <dgm:constr type="ctrY" for="ch" forName="dotNode4" refType="h" fact="0.4276"/>
          <dgm:constr type="h" for="ch" forName="dotNode4" refType="h" fact="0.0218"/>
          <dgm:constr type="w" for="ch" forName="dotNode4" refType="h" refFor="ch" refForName="dotNode4"/>
          <dgm:constr type="ctrX" for="ch" forName="dotNode5" refType="w" fact="0.5742"/>
          <dgm:constr type="ctrY" for="ch" forName="dotNode5" refType="h" fact="0.5218"/>
          <dgm:constr type="h" for="ch" forName="dotNode5" refType="h" fact="0.0218"/>
          <dgm:constr type="w" for="ch" forName="dotNode5" refType="h" refFor="ch" refForName="dotNode5"/>
          <dgm:constr type="ctrX" for="ch" forName="dotNode6" refType="w" fact="0.63"/>
          <dgm:constr type="ctrY" for="ch" forName="dotNode6" refType="h" fact="0.6179"/>
          <dgm:constr type="h" for="ch" forName="dotNode6" refType="h" fact="0.0218"/>
          <dgm:constr type="w" for="ch" forName="dotNode6" refType="h" refFor="ch" refForName="dotNode6"/>
        </dgm:constrLst>
      </dgm:else>
    </dgm:choose>
    <dgm:forEach name="Name9" axis="self" ptType="parTrans">
      <dgm:forEach name="Name10" axis="self" ptType="sibTrans" st="2">
        <dgm:forEach name="dotRepeat" axis="self">
          <dgm:layoutNode name="dotRepeatNode" styleLbl="fgShp">
            <dgm:alg type="sp"/>
            <dgm:shape xmlns:r="http://schemas.openxmlformats.org/officeDocument/2006/relationships" type="ellipse" r:blip="">
              <dgm:adjLst/>
            </dgm:shape>
            <dgm:presOf axis="self"/>
          </dgm:layoutNode>
        </dgm:forEach>
      </dgm:forEach>
    </dgm:forEach>
    <dgm:choose name="Name11">
      <dgm:if name="Name12" axis="ch" ptType="node" func="cnt" op="gte" val="1">
        <dgm:layoutNode name="arrowNode" styleLbl="node1">
          <dgm:alg type="sp"/>
          <dgm:shape xmlns:r="http://schemas.openxmlformats.org/officeDocument/2006/relationships" rot="73.2729" type="swooshArrow" r:blip="">
            <dgm:adjLst>
              <dgm:adj idx="1" val="0.1631"/>
              <dgm:adj idx="2" val="0.3137"/>
            </dgm:adjLst>
          </dgm:shape>
          <dgm:presOf/>
        </dgm:layoutNode>
      </dgm:if>
      <dgm:else name="Name13"/>
    </dgm:choose>
    <dgm:forEach name="Name14" axis="ch" ptType="node" cnt="1">
      <dgm:layoutNode name="txNode1" styleLbl="revTx">
        <dgm:varLst>
          <dgm:bulletEnabled val="1"/>
        </dgm:varLst>
        <dgm:alg type="tx">
          <dgm:param type="txAnchorVert" val="b"/>
        </dgm:alg>
        <dgm:shape xmlns:r="http://schemas.openxmlformats.org/officeDocument/2006/relationships" type="rect" r:blip="" zOrderOff="10">
          <dgm:adjLst/>
        </dgm:shape>
        <dgm:presOf axis="desOrSelf" ptType="node"/>
        <dgm:constrLst>
          <dgm:constr type="lMarg" refType="primFontSz" fact="0.1"/>
          <dgm:constr type="rMarg" refType="primFontSz" fact="0.1"/>
          <dgm:constr type="tMarg" refType="primFontSz" fact="0.1"/>
          <dgm:constr type="bMarg" refType="primFontSz" fact="0.1"/>
        </dgm:constrLst>
        <dgm:ruleLst>
          <dgm:rule type="primFontSz" val="5" fact="NaN" max="NaN"/>
        </dgm:ruleLst>
      </dgm:layoutNode>
    </dgm:forEach>
    <dgm:forEach name="Name15" axis="ch" ptType="node" st="2" cnt="1">
      <dgm:layoutNode name="txNode2" styleLbl="revTx">
        <dgm:varLst>
          <dgm:bulletEnabled val="1"/>
        </dgm:varLst>
        <dgm:choose name="Name16">
          <dgm:if name="Name17" axis="self" ptType="node" func="revPos" op="equ" val="1">
            <dgm:alg type="tx">
              <dgm:param type="txAnchorVert" val="t"/>
            </dgm:alg>
          </dgm:if>
          <dgm:if name="Name18" axis="self" ptType="node" func="posOdd" op="equ" val="1">
            <dgm:alg type="tx">
              <dgm:param type="parTxLTRAlign" val="r"/>
              <dgm:param type="parTxRTLAlign" val="r"/>
            </dgm:alg>
          </dgm:if>
          <dgm:else name="Name19">
            <dgm:alg type="tx">
              <dgm:param type="parTxLTRAlign" val="l"/>
              <dgm:param type="parTxRTLAlign" val="l"/>
            </dgm:alg>
          </dgm:else>
        </dgm:choose>
        <dgm:shape xmlns:r="http://schemas.openxmlformats.org/officeDocument/2006/relationships" type="rect" r:blip="" zOrderOff="10">
          <dgm:adjLst/>
        </dgm:shape>
        <dgm:presOf axis="desOrSelf" ptType="node"/>
        <dgm:constrLst>
          <dgm:constr type="lMarg" refType="primFontSz" fact="0.1"/>
          <dgm:constr type="rMarg" refType="primFontSz" fact="0.1"/>
          <dgm:constr type="tMarg" refType="primFontSz" fact="0.1"/>
          <dgm:constr type="bMarg" refType="primFontSz" fact="0.1"/>
        </dgm:constrLst>
        <dgm:ruleLst>
          <dgm:rule type="primFontSz" val="5" fact="NaN" max="NaN"/>
        </dgm:ruleLst>
      </dgm:layoutNode>
      <dgm:choose name="Name20">
        <dgm:if name="Name21" axis="par ch" ptType="all node" func="cnt" op="neq" val="2">
          <dgm:forEach name="Name22" axis="follow" ptType="sibTrans" cnt="1">
            <dgm:layoutNode name="dotNode2">
              <dgm:alg type="sp"/>
              <dgm:shape xmlns:r="http://schemas.openxmlformats.org/officeDocument/2006/relationships" r:blip="">
                <dgm:adjLst/>
              </dgm:shape>
              <dgm:presOf/>
              <dgm:forEach name="Name23" ref="dotRepeat"/>
            </dgm:layoutNode>
          </dgm:forEach>
        </dgm:if>
        <dgm:else name="Name24"/>
      </dgm:choose>
    </dgm:forEach>
    <dgm:forEach name="Name25" axis="ch" ptType="node" st="3" cnt="1">
      <dgm:layoutNode name="txNode3" styleLbl="revTx">
        <dgm:varLst>
          <dgm:bulletEnabled val="1"/>
        </dgm:varLst>
        <dgm:choose name="Name26">
          <dgm:if name="Name27" axis="self" ptType="node" func="revPos" op="equ" val="1">
            <dgm:alg type="tx">
              <dgm:param type="txAnchorVert" val="t"/>
            </dgm:alg>
          </dgm:if>
          <dgm:if name="Name28" axis="self" ptType="node" func="posOdd" op="equ" val="1">
            <dgm:alg type="tx">
              <dgm:param type="parTxLTRAlign" val="r"/>
              <dgm:param type="parTxRTLAlign" val="r"/>
            </dgm:alg>
          </dgm:if>
          <dgm:else name="Name29">
            <dgm:alg type="tx">
              <dgm:param type="parTxLTRAlign" val="l"/>
              <dgm:param type="parTxRTLAlign" val="l"/>
            </dgm:alg>
          </dgm:else>
        </dgm:choose>
        <dgm:shape xmlns:r="http://schemas.openxmlformats.org/officeDocument/2006/relationships" type="rect" r:blip="" zOrderOff="10">
          <dgm:adjLst/>
        </dgm:shape>
        <dgm:presOf axis="desOrSelf" ptType="node"/>
        <dgm:constrLst>
          <dgm:constr type="lMarg" refType="primFontSz" fact="0.1"/>
          <dgm:constr type="rMarg" refType="primFontSz" fact="0.1"/>
          <dgm:constr type="tMarg" refType="primFontSz" fact="0.1"/>
          <dgm:constr type="bMarg" refType="primFontSz" fact="0.1"/>
        </dgm:constrLst>
        <dgm:ruleLst>
          <dgm:rule type="primFontSz" val="5" fact="NaN" max="NaN"/>
        </dgm:ruleLst>
      </dgm:layoutNode>
      <dgm:choose name="Name30">
        <dgm:if name="Name31" axis="par ch" ptType="all node" func="cnt" op="neq" val="3">
          <dgm:forEach name="Name32" axis="follow" ptType="sibTrans" cnt="1">
            <dgm:layoutNode name="dotNode3">
              <dgm:alg type="sp"/>
              <dgm:shape xmlns:r="http://schemas.openxmlformats.org/officeDocument/2006/relationships" r:blip="">
                <dgm:adjLst/>
              </dgm:shape>
              <dgm:presOf/>
              <dgm:forEach name="Name33" ref="dotRepeat"/>
            </dgm:layoutNode>
          </dgm:forEach>
        </dgm:if>
        <dgm:else name="Name34"/>
      </dgm:choose>
    </dgm:forEach>
    <dgm:forEach name="Name35" axis="ch" ptType="node" st="4" cnt="1">
      <dgm:layoutNode name="txNode4" styleLbl="revTx">
        <dgm:varLst>
          <dgm:bulletEnabled val="1"/>
        </dgm:varLst>
        <dgm:choose name="Name36">
          <dgm:if name="Name37" axis="self" ptType="node" func="revPos" op="equ" val="1">
            <dgm:alg type="tx">
              <dgm:param type="txAnchorVert" val="t"/>
            </dgm:alg>
          </dgm:if>
          <dgm:if name="Name38" axis="self" ptType="node" func="posOdd" op="equ" val="1">
            <dgm:alg type="tx">
              <dgm:param type="parTxLTRAlign" val="r"/>
              <dgm:param type="parTxRTLAlign" val="r"/>
            </dgm:alg>
          </dgm:if>
          <dgm:else name="Name39">
            <dgm:alg type="tx">
              <dgm:param type="parTxLTRAlign" val="l"/>
              <dgm:param type="parTxRTLAlign" val="l"/>
            </dgm:alg>
          </dgm:else>
        </dgm:choose>
        <dgm:shape xmlns:r="http://schemas.openxmlformats.org/officeDocument/2006/relationships" type="rect" r:blip="" zOrderOff="10">
          <dgm:adjLst/>
        </dgm:shape>
        <dgm:presOf axis="desOrSelf" ptType="node"/>
        <dgm:constrLst>
          <dgm:constr type="lMarg" refType="primFontSz" fact="0.1"/>
          <dgm:constr type="rMarg" refType="primFontSz" fact="0.1"/>
          <dgm:constr type="tMarg" refType="primFontSz" fact="0.1"/>
          <dgm:constr type="bMarg" refType="primFontSz" fact="0.1"/>
        </dgm:constrLst>
        <dgm:ruleLst>
          <dgm:rule type="primFontSz" val="5" fact="NaN" max="NaN"/>
        </dgm:ruleLst>
      </dgm:layoutNode>
      <dgm:choose name="Name40">
        <dgm:if name="Name41" axis="par ch" ptType="all node" func="cnt" op="neq" val="4">
          <dgm:forEach name="Name42" axis="follow" ptType="sibTrans" cnt="1">
            <dgm:layoutNode name="dotNode4">
              <dgm:alg type="sp"/>
              <dgm:shape xmlns:r="http://schemas.openxmlformats.org/officeDocument/2006/relationships" r:blip="">
                <dgm:adjLst/>
              </dgm:shape>
              <dgm:presOf/>
              <dgm:forEach name="Name43" ref="dotRepeat"/>
            </dgm:layoutNode>
          </dgm:forEach>
        </dgm:if>
        <dgm:else name="Name44"/>
      </dgm:choose>
    </dgm:forEach>
    <dgm:forEach name="Name45" axis="ch" ptType="node" st="5" cnt="1">
      <dgm:layoutNode name="txNode5" styleLbl="revTx">
        <dgm:varLst>
          <dgm:bulletEnabled val="1"/>
        </dgm:varLst>
        <dgm:choose name="Name46">
          <dgm:if name="Name47" axis="self" ptType="node" func="revPos" op="equ" val="1">
            <dgm:alg type="tx">
              <dgm:param type="txAnchorVert" val="t"/>
            </dgm:alg>
          </dgm:if>
          <dgm:if name="Name48" axis="self" ptType="node" func="posOdd" op="equ" val="1">
            <dgm:alg type="tx">
              <dgm:param type="parTxLTRAlign" val="r"/>
              <dgm:param type="parTxRTLAlign" val="r"/>
            </dgm:alg>
          </dgm:if>
          <dgm:else name="Name49">
            <dgm:alg type="tx">
              <dgm:param type="parTxLTRAlign" val="l"/>
              <dgm:param type="parTxRTLAlign" val="l"/>
            </dgm:alg>
          </dgm:else>
        </dgm:choose>
        <dgm:shape xmlns:r="http://schemas.openxmlformats.org/officeDocument/2006/relationships" type="rect" r:blip="" zOrderOff="10">
          <dgm:adjLst/>
        </dgm:shape>
        <dgm:presOf axis="desOrSelf" ptType="node"/>
        <dgm:constrLst>
          <dgm:constr type="lMarg" refType="primFontSz" fact="0.1"/>
          <dgm:constr type="rMarg" refType="primFontSz" fact="0.1"/>
          <dgm:constr type="tMarg" refType="primFontSz" fact="0.1"/>
          <dgm:constr type="bMarg" refType="primFontSz" fact="0.1"/>
        </dgm:constrLst>
        <dgm:ruleLst>
          <dgm:rule type="primFontSz" val="5" fact="NaN" max="NaN"/>
        </dgm:ruleLst>
      </dgm:layoutNode>
      <dgm:choose name="Name50">
        <dgm:if name="Name51" axis="par ch" ptType="all node" func="cnt" op="neq" val="5">
          <dgm:forEach name="Name52" axis="follow" ptType="sibTrans" cnt="1">
            <dgm:layoutNode name="dotNode5">
              <dgm:alg type="sp"/>
              <dgm:shape xmlns:r="http://schemas.openxmlformats.org/officeDocument/2006/relationships" r:blip="">
                <dgm:adjLst/>
              </dgm:shape>
              <dgm:presOf/>
              <dgm:forEach name="Name53" ref="dotRepeat"/>
            </dgm:layoutNode>
          </dgm:forEach>
        </dgm:if>
        <dgm:else name="Name54"/>
      </dgm:choose>
    </dgm:forEach>
    <dgm:forEach name="Name55" axis="ch" ptType="node" st="6" cnt="1">
      <dgm:layoutNode name="txNode6" styleLbl="revTx">
        <dgm:varLst>
          <dgm:bulletEnabled val="1"/>
        </dgm:varLst>
        <dgm:choose name="Name56">
          <dgm:if name="Name57" axis="self" ptType="node" func="revPos" op="equ" val="1">
            <dgm:alg type="tx">
              <dgm:param type="txAnchorVert" val="t"/>
            </dgm:alg>
          </dgm:if>
          <dgm:if name="Name58" axis="self" ptType="node" func="posOdd" op="equ" val="1">
            <dgm:alg type="tx">
              <dgm:param type="parTxLTRAlign" val="r"/>
              <dgm:param type="parTxRTLAlign" val="r"/>
            </dgm:alg>
          </dgm:if>
          <dgm:else name="Name59">
            <dgm:alg type="tx">
              <dgm:param type="parTxLTRAlign" val="l"/>
              <dgm:param type="parTxRTLAlign" val="l"/>
            </dgm:alg>
          </dgm:else>
        </dgm:choose>
        <dgm:shape xmlns:r="http://schemas.openxmlformats.org/officeDocument/2006/relationships" type="rect" r:blip="" zOrderOff="10">
          <dgm:adjLst/>
        </dgm:shape>
        <dgm:presOf axis="desOrSelf" ptType="node"/>
        <dgm:constrLst>
          <dgm:constr type="lMarg" refType="primFontSz" fact="0.1"/>
          <dgm:constr type="rMarg" refType="primFontSz" fact="0.1"/>
          <dgm:constr type="tMarg" refType="primFontSz" fact="0.1"/>
          <dgm:constr type="bMarg" refType="primFontSz" fact="0.1"/>
        </dgm:constrLst>
        <dgm:ruleLst>
          <dgm:rule type="primFontSz" val="5" fact="NaN" max="NaN"/>
        </dgm:ruleLst>
      </dgm:layoutNode>
      <dgm:choose name="Name60">
        <dgm:if name="Name61" axis="par ch" ptType="all node" func="cnt" op="neq" val="6">
          <dgm:forEach name="Name62" axis="follow" ptType="sibTrans" cnt="1">
            <dgm:layoutNode name="dotNode6">
              <dgm:alg type="sp"/>
              <dgm:shape xmlns:r="http://schemas.openxmlformats.org/officeDocument/2006/relationships" r:blip="">
                <dgm:adjLst/>
              </dgm:shape>
              <dgm:presOf/>
              <dgm:forEach name="Name63" ref="dotRepeat"/>
            </dgm:layoutNode>
          </dgm:forEach>
        </dgm:if>
        <dgm:else name="Name64"/>
      </dgm:choose>
    </dgm:forEach>
    <dgm:forEach name="Name65" axis="ch" ptType="node" st="7" cnt="1">
      <dgm:layoutNode name="txNode7" styleLbl="revTx">
        <dgm:varLst>
          <dgm:bulletEnabled val="1"/>
        </dgm:varLst>
        <dgm:alg type="tx">
          <dgm:param type="txAnchorVert" val="t"/>
        </dgm:alg>
        <dgm:shape xmlns:r="http://schemas.openxmlformats.org/officeDocument/2006/relationships" type="rect" r:blip="" zOrderOff="10">
          <dgm:adjLst/>
        </dgm:shape>
        <dgm:presOf axis="desOrSelf" ptType="node"/>
        <dgm:constrLst>
          <dgm:constr type="lMarg" refType="primFontSz" fact="0.1"/>
          <dgm:constr type="rMarg" refType="primFontSz" fact="0.1"/>
          <dgm:constr type="tMarg" refType="primFontSz" fact="0.1"/>
          <dgm:constr type="bMarg" refType="primFontSz" fact="0.1"/>
        </dgm:constrLst>
        <dgm:ruleLst>
          <dgm:rule type="primFontSz" val="5" fact="NaN" max="NaN"/>
        </dgm:ruleLst>
      </dgm:layoutNode>
    </dgm:forEach>
  </dgm:layoutNode>
</dgm:layoutDef>
</file>

<file path=xl/diagrams/quickStyle1.xml><?xml version="1.0" encoding="utf-8"?>
<dgm:styleDef xmlns:dgm="http://schemas.openxmlformats.org/drawingml/2006/diagram" xmlns:a="http://schemas.openxmlformats.org/drawingml/2006/main" uniqueId="urn:microsoft.com/office/officeart/2005/8/quickstyle/3d2">
  <dgm:title val=""/>
  <dgm:desc val=""/>
  <dgm:catLst>
    <dgm:cat type="3D" pri="11200"/>
  </dgm:catLst>
  <dgm:scene3d>
    <a:camera prst="orthographicFront"/>
    <a:lightRig rig="threePt" dir="t"/>
  </dgm:scene3d>
  <dgm:styleLbl name="node0">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lnNode1">
    <dgm:scene3d>
      <a:camera prst="orthographicFront"/>
      <a:lightRig rig="threePt" dir="t">
        <a:rot lat="0" lon="0" rev="7500000"/>
      </a:lightRig>
    </dgm:scene3d>
    <dgm:sp3d prstMaterial="plastic">
      <a:bevelT w="127000" h="25400" prst="relaxedInset"/>
    </dgm:sp3d>
    <dgm:txPr/>
    <dgm:style>
      <a:lnRef idx="1">
        <a:scrgbClr r="0" g="0" b="0"/>
      </a:lnRef>
      <a:fillRef idx="3">
        <a:scrgbClr r="0" g="0" b="0"/>
      </a:fillRef>
      <a:effectRef idx="2">
        <a:scrgbClr r="0" g="0" b="0"/>
      </a:effectRef>
      <a:fontRef idx="minor">
        <a:schemeClr val="lt1"/>
      </a:fontRef>
    </dgm:style>
  </dgm:styleLbl>
  <dgm:styleLbl name="venn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tx1"/>
      </a:fontRef>
    </dgm:style>
  </dgm:styleLbl>
  <dgm:styleLbl name="aling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2">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3">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4">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fgImgPlace1">
    <dgm:scene3d>
      <a:camera prst="orthographicFront"/>
      <a:lightRig rig="threePt" dir="t">
        <a:rot lat="0" lon="0" rev="7500000"/>
      </a:lightRig>
    </dgm:scene3d>
    <dgm:sp3d z="152400" extrusionH="63500" prstMaterial="matte">
      <a:bevelT w="50800" h="19050" prst="relaxedInset"/>
      <a:contourClr>
        <a:schemeClr val="bg1"/>
      </a:contourClr>
    </dgm:sp3d>
    <dgm:txPr/>
    <dgm:style>
      <a:lnRef idx="0">
        <a:scrgbClr r="0" g="0" b="0"/>
      </a:lnRef>
      <a:fillRef idx="1">
        <a:scrgbClr r="0" g="0" b="0"/>
      </a:fillRef>
      <a:effectRef idx="0">
        <a:scrgbClr r="0" g="0" b="0"/>
      </a:effectRef>
      <a:fontRef idx="minor"/>
    </dgm:style>
  </dgm:styleLbl>
  <dgm:styleLbl name="alignImgPlace1">
    <dgm:scene3d>
      <a:camera prst="orthographicFront"/>
      <a:lightRig rig="threePt" dir="t">
        <a:rot lat="0" lon="0" rev="7500000"/>
      </a:lightRig>
    </dgm:scene3d>
    <dgm:sp3d z="254000" extrusionH="63500" contourW="12700" prstMaterial="matte">
      <a:contourClr>
        <a:schemeClr val="lt1"/>
      </a:contourClr>
    </dgm:sp3d>
    <dgm:txPr/>
    <dgm:style>
      <a:lnRef idx="0">
        <a:scrgbClr r="0" g="0" b="0"/>
      </a:lnRef>
      <a:fillRef idx="1">
        <a:scrgbClr r="0" g="0" b="0"/>
      </a:fillRef>
      <a:effectRef idx="0">
        <a:scrgbClr r="0" g="0" b="0"/>
      </a:effectRef>
      <a:fontRef idx="minor"/>
    </dgm:style>
  </dgm:styleLbl>
  <dgm:styleLbl name="bgImgPlace1">
    <dgm:scene3d>
      <a:camera prst="orthographicFront"/>
      <a:lightRig rig="threePt" dir="t">
        <a:rot lat="0" lon="0" rev="7500000"/>
      </a:lightRig>
    </dgm:scene3d>
    <dgm:sp3d z="-152400" extrusionH="63500" contourW="12700" prstMaterial="matte">
      <a:contourClr>
        <a:schemeClr val="lt1"/>
      </a:contourClr>
    </dgm:sp3d>
    <dgm:txPr/>
    <dgm:style>
      <a:lnRef idx="0">
        <a:scrgbClr r="0" g="0" b="0"/>
      </a:lnRef>
      <a:fillRef idx="1">
        <a:scrgbClr r="0" g="0" b="0"/>
      </a:fillRef>
      <a:effectRef idx="0">
        <a:scrgbClr r="0" g="0" b="0"/>
      </a:effectRef>
      <a:fontRef idx="minor"/>
    </dgm:style>
  </dgm:styleLbl>
  <dgm:styleLbl name="sibTrans2D1">
    <dgm:scene3d>
      <a:camera prst="orthographicFront"/>
      <a:lightRig rig="threePt" dir="t">
        <a:rot lat="0" lon="0" rev="7500000"/>
      </a:lightRig>
    </dgm:scene3d>
    <dgm:sp3d z="-700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fgSibTrans2D1">
    <dgm:scene3d>
      <a:camera prst="orthographicFront"/>
      <a:lightRig rig="threePt" dir="t">
        <a:rot lat="0" lon="0" rev="7500000"/>
      </a:lightRig>
    </dgm:scene3d>
    <dgm:sp3d z="1524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bgSibTrans2D1">
    <dgm:scene3d>
      <a:camera prst="orthographicFront"/>
      <a:lightRig rig="threePt" dir="t">
        <a:rot lat="0" lon="0" rev="7500000"/>
      </a:lightRig>
    </dgm:scene3d>
    <dgm:sp3d z="-1524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sibTrans1D1">
    <dgm:scene3d>
      <a:camera prst="orthographicFront"/>
      <a:lightRig rig="threePt" dir="t">
        <a:rot lat="0" lon="0" rev="7500000"/>
      </a:lightRig>
    </dgm:scene3d>
    <dgm:sp3d z="-40000" prstMaterial="matte"/>
    <dgm:txPr/>
    <dgm:style>
      <a:lnRef idx="1">
        <a:scrgbClr r="0" g="0" b="0"/>
      </a:lnRef>
      <a:fillRef idx="0">
        <a:scrgbClr r="0" g="0" b="0"/>
      </a:fillRef>
      <a:effectRef idx="0">
        <a:scrgbClr r="0" g="0" b="0"/>
      </a:effectRef>
      <a:fontRef idx="minor"/>
    </dgm:style>
  </dgm:styleLbl>
  <dgm:styleLbl name="callout">
    <dgm:scene3d>
      <a:camera prst="orthographicFront"/>
      <a:lightRig rig="threePt" dir="t">
        <a:rot lat="0" lon="0" rev="7500000"/>
      </a:lightRig>
    </dgm:scene3d>
    <dgm:sp3d z="127000" prstMaterial="matte"/>
    <dgm:txPr/>
    <dgm:style>
      <a:lnRef idx="2">
        <a:scrgbClr r="0" g="0" b="0"/>
      </a:lnRef>
      <a:fillRef idx="1">
        <a:scrgbClr r="0" g="0" b="0"/>
      </a:fillRef>
      <a:effectRef idx="0">
        <a:scrgbClr r="0" g="0" b="0"/>
      </a:effectRef>
      <a:fontRef idx="minor"/>
    </dgm:style>
  </dgm:styleLbl>
  <dgm:styleLbl name="asst0">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2">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3">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parChTrans2D1">
    <dgm:scene3d>
      <a:camera prst="orthographicFront"/>
      <a:lightRig rig="threePt" dir="t">
        <a:rot lat="0" lon="0" rev="7500000"/>
      </a:lightRig>
    </dgm:scene3d>
    <dgm:sp3d extrusionH="63500" prstMaterial="matte">
      <a:bevelT w="50800" h="190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parChTrans2D2">
    <dgm:scene3d>
      <a:camera prst="orthographicFront"/>
      <a:lightRig rig="threePt" dir="t">
        <a:rot lat="0" lon="0" rev="7500000"/>
      </a:lightRig>
    </dgm:scene3d>
    <dgm:sp3d extrusionH="63500" prstMaterial="matte">
      <a:bevelT w="50800" h="19050" prst="relaxedInset"/>
      <a:contourClr>
        <a:schemeClr val="bg1"/>
      </a:contourClr>
    </dgm:sp3d>
    <dgm:txPr/>
    <dgm:style>
      <a:lnRef idx="0">
        <a:scrgbClr r="0" g="0" b="0"/>
      </a:lnRef>
      <a:fillRef idx="1">
        <a:scrgbClr r="0" g="0" b="0"/>
      </a:fillRef>
      <a:effectRef idx="0">
        <a:scrgbClr r="0" g="0" b="0"/>
      </a:effectRef>
      <a:fontRef idx="minor">
        <a:schemeClr val="lt1"/>
      </a:fontRef>
    </dgm:style>
  </dgm:styleLbl>
  <dgm:styleLbl name="parChTrans2D3">
    <dgm:scene3d>
      <a:camera prst="orthographicFront"/>
      <a:lightRig rig="threePt" dir="t">
        <a:rot lat="0" lon="0" rev="7500000"/>
      </a:lightRig>
    </dgm:scene3d>
    <dgm:sp3d z="60000" prstMaterial="flat">
      <a:bevelT w="120900" h="88900"/>
    </dgm:sp3d>
    <dgm:txPr/>
    <dgm:style>
      <a:lnRef idx="0">
        <a:scrgbClr r="0" g="0" b="0"/>
      </a:lnRef>
      <a:fillRef idx="3">
        <a:scrgbClr r="0" g="0" b="0"/>
      </a:fillRef>
      <a:effectRef idx="1">
        <a:scrgbClr r="0" g="0" b="0"/>
      </a:effectRef>
      <a:fontRef idx="minor">
        <a:schemeClr val="lt1"/>
      </a:fontRef>
    </dgm:style>
  </dgm:styleLbl>
  <dgm:styleLbl name="parChTrans2D4">
    <dgm:scene3d>
      <a:camera prst="orthographicFront"/>
      <a:lightRig rig="threePt" dir="t">
        <a:rot lat="0" lon="0" rev="7500000"/>
      </a:lightRig>
    </dgm:scene3d>
    <dgm:sp3d z="60000" prstMaterial="flat">
      <a:bevelT w="120900" h="88900"/>
    </dgm:sp3d>
    <dgm:txPr/>
    <dgm:style>
      <a:lnRef idx="0">
        <a:scrgbClr r="0" g="0" b="0"/>
      </a:lnRef>
      <a:fillRef idx="3">
        <a:scrgbClr r="0" g="0" b="0"/>
      </a:fillRef>
      <a:effectRef idx="1">
        <a:scrgbClr r="0" g="0" b="0"/>
      </a:effectRef>
      <a:fontRef idx="minor">
        <a:schemeClr val="lt1"/>
      </a:fontRef>
    </dgm:style>
  </dgm:styleLbl>
  <dgm:styleLbl name="parChTrans1D1">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fgAcc1">
    <dgm:scene3d>
      <a:camera prst="orthographicFront"/>
      <a:lightRig rig="threePt" dir="t">
        <a:rot lat="0" lon="0" rev="7500000"/>
      </a:lightRig>
    </dgm:scene3d>
    <dgm:sp3d z="152400" extrusionH="63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conFgAcc1">
    <dgm:scene3d>
      <a:camera prst="orthographicFront"/>
      <a:lightRig rig="threePt" dir="t">
        <a:rot lat="0" lon="0" rev="7500000"/>
      </a:lightRig>
    </dgm:scene3d>
    <dgm:sp3d z="152400" extrusionH="63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alignAcc1">
    <dgm:scene3d>
      <a:camera prst="orthographicFront"/>
      <a:lightRig rig="threePt" dir="t">
        <a:rot lat="0" lon="0" rev="7500000"/>
      </a:lightRig>
    </dgm:scene3d>
    <dgm:sp3d extrusionH="190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trAlignAcc1">
    <dgm:scene3d>
      <a:camera prst="orthographicFront"/>
      <a:lightRig rig="threePt" dir="t">
        <a:rot lat="0" lon="0" rev="7500000"/>
      </a:lightRig>
    </dgm:scene3d>
    <dgm:sp3d prstMaterial="plastic">
      <a:bevelT w="127000" h="35400"/>
    </dgm:sp3d>
    <dgm:txPr/>
    <dgm:style>
      <a:lnRef idx="1">
        <a:scrgbClr r="0" g="0" b="0"/>
      </a:lnRef>
      <a:fillRef idx="1">
        <a:scrgbClr r="0" g="0" b="0"/>
      </a:fillRef>
      <a:effectRef idx="2">
        <a:scrgbClr r="0" g="0" b="0"/>
      </a:effectRef>
      <a:fontRef idx="minor">
        <a:schemeClr val="lt1"/>
      </a:fontRef>
    </dgm:style>
  </dgm:styleLbl>
  <dgm:styleLbl name="bgAcc1">
    <dgm:scene3d>
      <a:camera prst="orthographicFront"/>
      <a:lightRig rig="threePt" dir="t">
        <a:rot lat="0" lon="0" rev="7500000"/>
      </a:lightRig>
    </dgm:scene3d>
    <dgm:sp3d z="-152400" extrusionH="63500" prstMaterial="dkEdge">
      <a:bevelT w="124450" h="16350" prst="relaxedInset"/>
      <a:contourClr>
        <a:schemeClr val="bg1"/>
      </a:contourClr>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a:rot lat="0" lon="0" rev="7500000"/>
      </a:lightRig>
    </dgm:scene3d>
    <dgm:sp3d z="152400" extrusionH="63500" prstMaterial="dkEdge">
      <a:bevelT w="120800" h="19050" prst="relaxedInset"/>
      <a:contourClr>
        <a:schemeClr val="bg1"/>
      </a:contourClr>
    </dgm:sp3d>
    <dgm:txPr/>
    <dgm:style>
      <a:lnRef idx="1">
        <a:scrgbClr r="0" g="0" b="0"/>
      </a:lnRef>
      <a:fillRef idx="1">
        <a:scrgbClr r="0" g="0" b="0"/>
      </a:fillRef>
      <a:effectRef idx="2">
        <a:scrgbClr r="0" g="0" b="0"/>
      </a:effectRef>
      <a:fontRef idx="minor"/>
    </dgm:style>
  </dgm:styleLbl>
  <dgm:styleLbl name="solidAlignAcc1">
    <dgm:scene3d>
      <a:camera prst="orthographicFront"/>
      <a:lightRig rig="threePt" dir="t">
        <a:rot lat="0" lon="0" rev="7500000"/>
      </a:lightRig>
    </dgm:scene3d>
    <dgm:sp3d extrusionH="190500" prstMaterial="dkEdge">
      <a:bevelT w="120650" h="38100" prst="relaxedInset"/>
      <a:contourClr>
        <a:schemeClr val="bg1"/>
      </a:contourClr>
    </dgm:sp3d>
    <dgm:txPr/>
    <dgm:style>
      <a:lnRef idx="1">
        <a:scrgbClr r="0" g="0" b="0"/>
      </a:lnRef>
      <a:fillRef idx="1">
        <a:scrgbClr r="0" g="0" b="0"/>
      </a:fillRef>
      <a:effectRef idx="2">
        <a:scrgbClr r="0" g="0" b="0"/>
      </a:effectRef>
      <a:fontRef idx="minor"/>
    </dgm:style>
  </dgm:styleLbl>
  <dgm:styleLbl name="solidBgAcc1">
    <dgm:scene3d>
      <a:camera prst="orthographicFront"/>
      <a:lightRig rig="threePt" dir="t">
        <a:rot lat="0" lon="0" rev="7500000"/>
      </a:lightRig>
    </dgm:scene3d>
    <dgm:sp3d z="-152400" extrusionH="63500" prstMaterial="dkEdge">
      <a:bevelT w="144450" h="36350" prst="relaxedInset"/>
      <a:contourClr>
        <a:schemeClr val="bg1"/>
      </a:contourClr>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a:rot lat="0" lon="0" rev="7500000"/>
      </a:lightRig>
    </dgm:scene3d>
    <dgm:sp3d extrusionH="190500" prstMaterial="dkEdge">
      <a:bevelT w="120650" h="38100" prst="relaxedInset"/>
      <a:bevelB w="120650" h="57150" prst="relaxedInset"/>
      <a:contourClr>
        <a:schemeClr val="bg1"/>
      </a:contourClr>
    </dgm:sp3d>
    <dgm:txPr/>
    <dgm:style>
      <a:lnRef idx="1">
        <a:scrgbClr r="0" g="0" b="0"/>
      </a:lnRef>
      <a:fillRef idx="1">
        <a:scrgbClr r="0" g="0" b="0"/>
      </a:fillRef>
      <a:effectRef idx="2">
        <a:scrgbClr r="0" g="0" b="0"/>
      </a:effectRef>
      <a:fontRef idx="minor"/>
    </dgm:style>
  </dgm:styleLbl>
  <dgm:styleLbl name="bgAccFollowNode1">
    <dgm:scene3d>
      <a:camera prst="orthographicFront"/>
      <a:lightRig rig="threePt" dir="t">
        <a:rot lat="0" lon="0" rev="7500000"/>
      </a:lightRig>
    </dgm:scene3d>
    <dgm:sp3d z="-152400" extrusionH="63500" prstMaterial="dkEdge">
      <a:bevelT w="144450" h="36350" prst="relaxedInset"/>
      <a:contourClr>
        <a:schemeClr val="bg1"/>
      </a:contourClr>
    </dgm:sp3d>
    <dgm:txPr/>
    <dgm:style>
      <a:lnRef idx="1">
        <a:scrgbClr r="0" g="0" b="0"/>
      </a:lnRef>
      <a:fillRef idx="1">
        <a:scrgbClr r="0" g="0" b="0"/>
      </a:fillRef>
      <a:effectRef idx="2">
        <a:scrgbClr r="0" g="0" b="0"/>
      </a:effectRef>
      <a:fontRef idx="minor"/>
    </dgm:style>
  </dgm:styleLbl>
  <dgm:styleLbl name="fgAcc0">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2">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3">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4">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bgShp">
    <dgm:scene3d>
      <a:camera prst="orthographicFront"/>
      <a:lightRig rig="threePt" dir="t">
        <a:rot lat="0" lon="0" rev="7500000"/>
      </a:lightRig>
    </dgm:scene3d>
    <dgm:sp3d z="-152400" extrusionH="63500" prstMaterial="matte">
      <a:bevelT w="144450" h="6350" prst="relaxedInset"/>
      <a:contourClr>
        <a:schemeClr val="bg1"/>
      </a:contourClr>
    </dgm:sp3d>
    <dgm:txPr/>
    <dgm:style>
      <a:lnRef idx="0">
        <a:scrgbClr r="0" g="0" b="0"/>
      </a:lnRef>
      <a:fillRef idx="3">
        <a:scrgbClr r="0" g="0" b="0"/>
      </a:fillRef>
      <a:effectRef idx="0">
        <a:scrgbClr r="0" g="0" b="0"/>
      </a:effectRef>
      <a:fontRef idx="minor"/>
    </dgm:style>
  </dgm:styleLbl>
  <dgm:styleLbl name="dkBgShp">
    <dgm:scene3d>
      <a:camera prst="orthographicFront"/>
      <a:lightRig rig="threePt" dir="t">
        <a:rot lat="0" lon="0" rev="7500000"/>
      </a:lightRig>
    </dgm:scene3d>
    <dgm:sp3d prstMaterial="plastic">
      <a:bevelT w="127000" h="25400" prst="relaxedInset"/>
      <a:bevelB w="88900" h="121750" prst="angle"/>
    </dgm:sp3d>
    <dgm:txPr/>
    <dgm:style>
      <a:lnRef idx="0">
        <a:scrgbClr r="0" g="0" b="0"/>
      </a:lnRef>
      <a:fillRef idx="1">
        <a:scrgbClr r="0" g="0" b="0"/>
      </a:fillRef>
      <a:effectRef idx="2">
        <a:scrgbClr r="0" g="0" b="0"/>
      </a:effectRef>
      <a:fontRef idx="minor">
        <a:schemeClr val="lt1"/>
      </a:fontRef>
    </dgm:style>
  </dgm:styleLbl>
  <dgm:styleLbl name="trBgShp">
    <dgm:scene3d>
      <a:camera prst="orthographicFront"/>
      <a:lightRig rig="threePt" dir="t"/>
    </dgm:scene3d>
    <dgm:sp3d z="-152400" prstMaterial="matte"/>
    <dgm:txPr/>
    <dgm:style>
      <a:lnRef idx="0">
        <a:scrgbClr r="0" g="0" b="0"/>
      </a:lnRef>
      <a:fillRef idx="1">
        <a:scrgbClr r="0" g="0" b="0"/>
      </a:fillRef>
      <a:effectRef idx="0">
        <a:scrgbClr r="0" g="0" b="0"/>
      </a:effectRef>
      <a:fontRef idx="minor"/>
    </dgm:style>
  </dgm:styleLbl>
  <dgm:styleLbl name="fgShp">
    <dgm:scene3d>
      <a:camera prst="orthographicFront"/>
      <a:lightRig rig="threePt" dir="t">
        <a:rot lat="0" lon="0" rev="7500000"/>
      </a:lightRig>
    </dgm:scene3d>
    <dgm:sp3d z="152400" extrusionH="63500" prstMaterial="matte">
      <a:bevelT w="50800" h="190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image" Target="../media/image4.emf"/><Relationship Id="rId5" Type="http://schemas.openxmlformats.org/officeDocument/2006/relationships/image" Target="../media/image8.emf"/><Relationship Id="rId4" Type="http://schemas.openxmlformats.org/officeDocument/2006/relationships/image" Target="../media/image7.png"/></Relationships>
</file>

<file path=xl/drawings/_rels/drawing3.xml.rels><?xml version="1.0" encoding="UTF-8" standalone="yes"?>
<Relationships xmlns="http://schemas.openxmlformats.org/package/2006/relationships"><Relationship Id="rId1" Type="http://schemas.openxmlformats.org/officeDocument/2006/relationships/image" Target="../media/image9.png"/></Relationships>
</file>

<file path=xl/drawings/_rels/drawing4.xml.rels><?xml version="1.0" encoding="UTF-8" standalone="yes"?>
<Relationships xmlns="http://schemas.openxmlformats.org/package/2006/relationships"><Relationship Id="rId8" Type="http://schemas.openxmlformats.org/officeDocument/2006/relationships/diagramQuickStyle" Target="../diagrams/quickStyle2.xml"/><Relationship Id="rId3" Type="http://schemas.openxmlformats.org/officeDocument/2006/relationships/diagramQuickStyle" Target="../diagrams/quickStyle1.xml"/><Relationship Id="rId7" Type="http://schemas.openxmlformats.org/officeDocument/2006/relationships/diagramLayout" Target="../diagrams/layout2.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diagramData" Target="../diagrams/data2.xml"/><Relationship Id="rId5" Type="http://schemas.microsoft.com/office/2007/relationships/diagramDrawing" Target="../diagrams/drawing1.xml"/><Relationship Id="rId10" Type="http://schemas.microsoft.com/office/2007/relationships/diagramDrawing" Target="../diagrams/drawing2.xml"/><Relationship Id="rId4" Type="http://schemas.openxmlformats.org/officeDocument/2006/relationships/diagramColors" Target="../diagrams/colors1.xml"/><Relationship Id="rId9" Type="http://schemas.openxmlformats.org/officeDocument/2006/relationships/diagramColors" Target="../diagrams/colors2.xml"/></Relationships>
</file>

<file path=xl/drawings/_rels/drawing5.xml.rels><?xml version="1.0" encoding="UTF-8" standalone="yes"?>
<Relationships xmlns="http://schemas.openxmlformats.org/package/2006/relationships"><Relationship Id="rId1" Type="http://schemas.openxmlformats.org/officeDocument/2006/relationships/image" Target="../media/image10.emf"/></Relationships>
</file>

<file path=xl/drawings/_rels/drawing7.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13.png"/></Relationships>
</file>

<file path=xl/drawings/_rels/drawing8.xml.rels><?xml version="1.0" encoding="UTF-8" standalone="yes"?>
<Relationships xmlns="http://schemas.openxmlformats.org/package/2006/relationships"><Relationship Id="rId1" Type="http://schemas.openxmlformats.org/officeDocument/2006/relationships/image" Target="../media/image13.png"/></Relationships>
</file>

<file path=xl/drawings/_rels/drawing9.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14.xml.rels><?xml version="1.0" encoding="UTF-8" standalone="yes"?>
<Relationships xmlns="http://schemas.openxmlformats.org/package/2006/relationships"><Relationship Id="rId3" Type="http://schemas.openxmlformats.org/officeDocument/2006/relationships/image" Target="../media/image18.png"/><Relationship Id="rId7" Type="http://schemas.openxmlformats.org/officeDocument/2006/relationships/image" Target="../media/image22.jpeg"/><Relationship Id="rId2" Type="http://schemas.openxmlformats.org/officeDocument/2006/relationships/image" Target="../media/image17.png"/><Relationship Id="rId1" Type="http://schemas.openxmlformats.org/officeDocument/2006/relationships/image" Target="../media/image16.png"/><Relationship Id="rId6" Type="http://schemas.openxmlformats.org/officeDocument/2006/relationships/image" Target="../media/image21.png"/><Relationship Id="rId5" Type="http://schemas.openxmlformats.org/officeDocument/2006/relationships/image" Target="../media/image20.png"/><Relationship Id="rId4" Type="http://schemas.openxmlformats.org/officeDocument/2006/relationships/image" Target="../media/image19.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3.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1.png"/></Relationships>
</file>

<file path=xl/drawings/_rels/drawing19.xml.rels><?xml version="1.0" encoding="UTF-8" standalone="yes"?>
<Relationships xmlns="http://schemas.openxmlformats.org/package/2006/relationships"><Relationship Id="rId2" Type="http://schemas.openxmlformats.org/officeDocument/2006/relationships/image" Target="../media/image24.jpeg"/><Relationship Id="rId1" Type="http://schemas.openxmlformats.org/officeDocument/2006/relationships/image" Target="../media/image21.png"/></Relationships>
</file>

<file path=xl/drawings/_rels/drawing20.xml.rels><?xml version="1.0" encoding="UTF-8" standalone="yes"?>
<Relationships xmlns="http://schemas.openxmlformats.org/package/2006/relationships"><Relationship Id="rId2" Type="http://schemas.openxmlformats.org/officeDocument/2006/relationships/image" Target="../media/image25.jpeg"/><Relationship Id="rId1" Type="http://schemas.openxmlformats.org/officeDocument/2006/relationships/image" Target="../media/image2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3.png"/></Relationships>
</file>

<file path=xl/drawings/_rels/drawing24.xml.rels><?xml version="1.0" encoding="UTF-8" standalone="yes"?>
<Relationships xmlns="http://schemas.openxmlformats.org/package/2006/relationships"><Relationship Id="rId2" Type="http://schemas.openxmlformats.org/officeDocument/2006/relationships/image" Target="../media/image26.png"/><Relationship Id="rId1" Type="http://schemas.openxmlformats.org/officeDocument/2006/relationships/image" Target="../media/image21.png"/></Relationships>
</file>

<file path=xl/drawings/_rels/drawing25.xml.rels><?xml version="1.0" encoding="UTF-8" standalone="yes"?>
<Relationships xmlns="http://schemas.openxmlformats.org/package/2006/relationships"><Relationship Id="rId3" Type="http://schemas.openxmlformats.org/officeDocument/2006/relationships/image" Target="../media/image28.png"/><Relationship Id="rId2" Type="http://schemas.openxmlformats.org/officeDocument/2006/relationships/image" Target="../media/image27.png"/><Relationship Id="rId1" Type="http://schemas.openxmlformats.org/officeDocument/2006/relationships/image" Target="../media/image21.png"/><Relationship Id="rId4" Type="http://schemas.openxmlformats.org/officeDocument/2006/relationships/image" Target="../media/image29.png"/></Relationships>
</file>

<file path=xl/drawings/_rels/drawing26.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2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5.emf"/></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3</xdr:row>
      <xdr:rowOff>66675</xdr:rowOff>
    </xdr:from>
    <xdr:to>
      <xdr:col>13</xdr:col>
      <xdr:colOff>533400</xdr:colOff>
      <xdr:row>28</xdr:row>
      <xdr:rowOff>28575</xdr:rowOff>
    </xdr:to>
    <xdr:pic>
      <xdr:nvPicPr>
        <xdr:cNvPr id="8" name="Picture 7" descr="DSC00850">
          <a:extLst>
            <a:ext uri="{FF2B5EF4-FFF2-40B4-BE49-F238E27FC236}">
              <a16:creationId xmlns:a16="http://schemas.microsoft.com/office/drawing/2014/main" id="{00000000-0008-0000-0000-000008000000}"/>
            </a:ext>
          </a:extLst>
        </xdr:cNvPr>
        <xdr:cNvPicPr>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823" y="646043"/>
          <a:ext cx="8133132" cy="4732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2</xdr:row>
      <xdr:rowOff>171450</xdr:rowOff>
    </xdr:from>
    <xdr:to>
      <xdr:col>13</xdr:col>
      <xdr:colOff>571500</xdr:colOff>
      <xdr:row>27</xdr:row>
      <xdr:rowOff>85725</xdr:rowOff>
    </xdr:to>
    <xdr:pic>
      <xdr:nvPicPr>
        <xdr:cNvPr id="9" name="Picture 8" descr="DSC00850">
          <a:extLst>
            <a:ext uri="{FF2B5EF4-FFF2-40B4-BE49-F238E27FC236}">
              <a16:creationId xmlns:a16="http://schemas.microsoft.com/office/drawing/2014/main" id="{00000000-0008-0000-0000-00000900000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878" y="545020"/>
          <a:ext cx="8259807" cy="45531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504825</xdr:colOff>
      <xdr:row>23</xdr:row>
      <xdr:rowOff>104775</xdr:rowOff>
    </xdr:from>
    <xdr:to>
      <xdr:col>13</xdr:col>
      <xdr:colOff>428625</xdr:colOff>
      <xdr:row>31</xdr:row>
      <xdr:rowOff>19050</xdr:rowOff>
    </xdr:to>
    <xdr:pic>
      <xdr:nvPicPr>
        <xdr:cNvPr id="14" name="Picture 13">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48248" y="4486275"/>
          <a:ext cx="2976295" cy="1447799"/>
        </a:xfrm>
        <a:prstGeom prst="rect">
          <a:avLst/>
        </a:prstGeom>
        <a:ln>
          <a:noFill/>
        </a:ln>
        <a:effectLst>
          <a:outerShdw blurRad="292100" dist="139700" dir="2700000" algn="tl" rotWithShape="0">
            <a:schemeClr val="accent3">
              <a:lumMod val="50000"/>
              <a:alpha val="65000"/>
            </a:schemeClr>
          </a:outerShdw>
          <a:reflection endPos="0" dist="50800" dir="5400000" sy="-100000" algn="bl" rotWithShape="0"/>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171450</xdr:colOff>
      <xdr:row>2</xdr:row>
      <xdr:rowOff>76200</xdr:rowOff>
    </xdr:from>
    <xdr:to>
      <xdr:col>4</xdr:col>
      <xdr:colOff>219075</xdr:colOff>
      <xdr:row>19</xdr:row>
      <xdr:rowOff>0</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1450" y="449580"/>
          <a:ext cx="2663190" cy="3034665"/>
        </a:xfrm>
        <a:prstGeom prst="rect">
          <a:avLst/>
        </a:prstGeom>
        <a:solidFill>
          <a:schemeClr val="accent1">
            <a:lumMod val="20000"/>
            <a:lumOff val="80000"/>
          </a:schemeClr>
        </a:solidFill>
        <a:ln w="9525">
          <a:solidFill>
            <a:schemeClr val="tx1"/>
          </a:solidFill>
          <a:miter lim="800000"/>
          <a:headEnd/>
          <a:tailEnd/>
        </a:ln>
        <a:effectLst/>
      </xdr:spPr>
    </xdr:pic>
    <xdr:clientData/>
  </xdr:twoCellAnchor>
  <xdr:twoCellAnchor editAs="oneCell">
    <xdr:from>
      <xdr:col>0</xdr:col>
      <xdr:colOff>171450</xdr:colOff>
      <xdr:row>20</xdr:row>
      <xdr:rowOff>76200</xdr:rowOff>
    </xdr:from>
    <xdr:to>
      <xdr:col>3</xdr:col>
      <xdr:colOff>409575</xdr:colOff>
      <xdr:row>32</xdr:row>
      <xdr:rowOff>123825</xdr:rowOff>
    </xdr:to>
    <xdr:pic>
      <xdr:nvPicPr>
        <xdr:cNvPr id="3" name="Picture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76085" y="3887188"/>
          <a:ext cx="2225621" cy="2336554"/>
        </a:xfrm>
        <a:prstGeom prst="rect">
          <a:avLst/>
        </a:prstGeom>
        <a:solidFill>
          <a:schemeClr val="accent1">
            <a:lumMod val="20000"/>
            <a:lumOff val="80000"/>
          </a:schemeClr>
        </a:solidFill>
        <a:ln w="9525">
          <a:solidFill>
            <a:schemeClr val="tx1"/>
          </a:solidFill>
          <a:miter lim="800000"/>
          <a:headEnd/>
          <a:tailEnd/>
        </a:ln>
        <a:effectLst/>
      </xdr:spPr>
    </xdr:pic>
    <xdr:clientData/>
  </xdr:twoCellAnchor>
  <xdr:twoCellAnchor editAs="oneCell">
    <xdr:from>
      <xdr:col>4</xdr:col>
      <xdr:colOff>447675</xdr:colOff>
      <xdr:row>2</xdr:row>
      <xdr:rowOff>114300</xdr:rowOff>
    </xdr:from>
    <xdr:to>
      <xdr:col>9</xdr:col>
      <xdr:colOff>590550</xdr:colOff>
      <xdr:row>20</xdr:row>
      <xdr:rowOff>0</xdr:rowOff>
    </xdr:to>
    <xdr:pic>
      <xdr:nvPicPr>
        <xdr:cNvPr id="4" name="Picture 3">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65144" y="487680"/>
          <a:ext cx="3198496" cy="3177540"/>
        </a:xfrm>
        <a:prstGeom prst="rect">
          <a:avLst/>
        </a:prstGeom>
        <a:solidFill>
          <a:schemeClr val="accent1">
            <a:lumMod val="60000"/>
            <a:lumOff val="40000"/>
          </a:schemeClr>
        </a:solidFill>
        <a:ln w="38100">
          <a:solidFill>
            <a:schemeClr val="tx1"/>
          </a:solidFill>
          <a:miter lim="800000"/>
          <a:headEnd/>
          <a:tailEnd/>
        </a:ln>
        <a:effectLst/>
      </xdr:spPr>
    </xdr:pic>
    <xdr:clientData/>
  </xdr:twoCellAnchor>
  <xdr:twoCellAnchor editAs="oneCell">
    <xdr:from>
      <xdr:col>4</xdr:col>
      <xdr:colOff>542925</xdr:colOff>
      <xdr:row>24</xdr:row>
      <xdr:rowOff>85725</xdr:rowOff>
    </xdr:from>
    <xdr:to>
      <xdr:col>7</xdr:col>
      <xdr:colOff>104775</xdr:colOff>
      <xdr:row>31</xdr:row>
      <xdr:rowOff>95250</xdr:rowOff>
    </xdr:to>
    <xdr:pic>
      <xdr:nvPicPr>
        <xdr:cNvPr id="6" name="Picture 5">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140990" y="4663721"/>
          <a:ext cx="1396122" cy="1345303"/>
        </a:xfrm>
        <a:prstGeom prst="rect">
          <a:avLst/>
        </a:prstGeom>
        <a:solidFill>
          <a:schemeClr val="accent1">
            <a:lumMod val="20000"/>
            <a:lumOff val="80000"/>
          </a:schemeClr>
        </a:solidFill>
        <a:ln>
          <a:solidFill>
            <a:schemeClr val="tx1"/>
          </a:solidFill>
        </a:ln>
        <a:effectLst/>
      </xdr:spPr>
    </xdr:pic>
    <xdr:clientData/>
  </xdr:twoCellAnchor>
  <xdr:twoCellAnchor editAs="oneCell">
    <xdr:from>
      <xdr:col>10</xdr:col>
      <xdr:colOff>314325</xdr:colOff>
      <xdr:row>3</xdr:row>
      <xdr:rowOff>114300</xdr:rowOff>
    </xdr:from>
    <xdr:to>
      <xdr:col>13</xdr:col>
      <xdr:colOff>2028825</xdr:colOff>
      <xdr:row>15</xdr:row>
      <xdr:rowOff>57150</xdr:rowOff>
    </xdr:to>
    <xdr:pic>
      <xdr:nvPicPr>
        <xdr:cNvPr id="8" name="Picture 7">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591300" y="662941"/>
          <a:ext cx="3543300" cy="2137410"/>
        </a:xfrm>
        <a:prstGeom prst="rect">
          <a:avLst/>
        </a:prstGeom>
        <a:solidFill>
          <a:schemeClr val="accent1">
            <a:lumMod val="20000"/>
            <a:lumOff val="80000"/>
          </a:schemeClr>
        </a:solidFill>
        <a:ln w="9525">
          <a:solidFill>
            <a:schemeClr val="tx1"/>
          </a:solidFill>
          <a:miter lim="800000"/>
          <a:headEnd/>
          <a:tailEnd/>
        </a:ln>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219075</xdr:colOff>
      <xdr:row>2</xdr:row>
      <xdr:rowOff>47625</xdr:rowOff>
    </xdr:from>
    <xdr:to>
      <xdr:col>5</xdr:col>
      <xdr:colOff>514350</xdr:colOff>
      <xdr:row>20</xdr:row>
      <xdr:rowOff>114300</xdr:rowOff>
    </xdr:to>
    <xdr:pic>
      <xdr:nvPicPr>
        <xdr:cNvPr id="20" name="Picture 19">
          <a:extLst>
            <a:ext uri="{FF2B5EF4-FFF2-40B4-BE49-F238E27FC236}">
              <a16:creationId xmlns:a16="http://schemas.microsoft.com/office/drawing/2014/main" id="{00000000-0008-0000-02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529" y="1162464"/>
          <a:ext cx="3515553" cy="3410779"/>
        </a:xfrm>
        <a:prstGeom prst="rect">
          <a:avLst/>
        </a:prstGeom>
        <a:ln>
          <a:noFill/>
        </a:ln>
        <a:effectLst>
          <a:outerShdw blurRad="292100" dist="139700" dir="2700000" algn="tl" rotWithShape="0">
            <a:srgbClr val="333333">
              <a:alpha val="65000"/>
            </a:srgb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794284</xdr:colOff>
      <xdr:row>25</xdr:row>
      <xdr:rowOff>287981</xdr:rowOff>
    </xdr:from>
    <xdr:to>
      <xdr:col>7</xdr:col>
      <xdr:colOff>476886</xdr:colOff>
      <xdr:row>31</xdr:row>
      <xdr:rowOff>77682</xdr:rowOff>
    </xdr:to>
    <xdr:sp macro="" textlink="">
      <xdr:nvSpPr>
        <xdr:cNvPr id="2" name="Line Callout 3 1">
          <a:extLst>
            <a:ext uri="{FF2B5EF4-FFF2-40B4-BE49-F238E27FC236}">
              <a16:creationId xmlns:a16="http://schemas.microsoft.com/office/drawing/2014/main" id="{00000000-0008-0000-0300-000002000000}"/>
            </a:ext>
          </a:extLst>
        </xdr:cNvPr>
        <xdr:cNvSpPr/>
      </xdr:nvSpPr>
      <xdr:spPr>
        <a:xfrm>
          <a:off x="6212104" y="6018221"/>
          <a:ext cx="3225902" cy="917461"/>
        </a:xfrm>
        <a:prstGeom prst="borderCallout3">
          <a:avLst>
            <a:gd name="adj1" fmla="val 18750"/>
            <a:gd name="adj2" fmla="val -8333"/>
            <a:gd name="adj3" fmla="val 18750"/>
            <a:gd name="adj4" fmla="val -16667"/>
            <a:gd name="adj5" fmla="val 100000"/>
            <a:gd name="adj6" fmla="val -16667"/>
            <a:gd name="adj7" fmla="val 1128277"/>
            <a:gd name="adj8" fmla="val -17567"/>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GB" sz="800"/>
            <a:t>Business need identified and defined</a:t>
          </a:r>
        </a:p>
        <a:p>
          <a:pPr algn="l"/>
          <a:r>
            <a:rPr lang="en-GB" sz="800"/>
            <a:t>User requirements brief / spec </a:t>
          </a:r>
        </a:p>
        <a:p>
          <a:pPr algn="l"/>
          <a:r>
            <a:rPr lang="en-GB" sz="800"/>
            <a:t>Planning Charter for the development of the Project Brief</a:t>
          </a:r>
        </a:p>
        <a:p>
          <a:pPr algn="l"/>
          <a:r>
            <a:rPr lang="en-GB" sz="800"/>
            <a:t>Strategic Business Case developed</a:t>
          </a:r>
        </a:p>
      </xdr:txBody>
    </xdr:sp>
    <xdr:clientData/>
  </xdr:twoCellAnchor>
  <xdr:twoCellAnchor>
    <xdr:from>
      <xdr:col>5</xdr:col>
      <xdr:colOff>363934</xdr:colOff>
      <xdr:row>31</xdr:row>
      <xdr:rowOff>141587</xdr:rowOff>
    </xdr:from>
    <xdr:to>
      <xdr:col>6</xdr:col>
      <xdr:colOff>722312</xdr:colOff>
      <xdr:row>38</xdr:row>
      <xdr:rowOff>2380</xdr:rowOff>
    </xdr:to>
    <xdr:sp macro="" textlink="">
      <xdr:nvSpPr>
        <xdr:cNvPr id="3" name="Line Callout 3 2">
          <a:extLst>
            <a:ext uri="{FF2B5EF4-FFF2-40B4-BE49-F238E27FC236}">
              <a16:creationId xmlns:a16="http://schemas.microsoft.com/office/drawing/2014/main" id="{00000000-0008-0000-0300-000003000000}"/>
            </a:ext>
          </a:extLst>
        </xdr:cNvPr>
        <xdr:cNvSpPr/>
      </xdr:nvSpPr>
      <xdr:spPr>
        <a:xfrm>
          <a:off x="5781754" y="6999587"/>
          <a:ext cx="2133838" cy="874253"/>
        </a:xfrm>
        <a:prstGeom prst="borderCallout3">
          <a:avLst>
            <a:gd name="adj1" fmla="val 18750"/>
            <a:gd name="adj2" fmla="val -8333"/>
            <a:gd name="adj3" fmla="val 18750"/>
            <a:gd name="adj4" fmla="val -16667"/>
            <a:gd name="adj5" fmla="val 100000"/>
            <a:gd name="adj6" fmla="val -16667"/>
            <a:gd name="adj7" fmla="val 1058896"/>
            <a:gd name="adj8" fmla="val -15787"/>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n-GB" sz="800"/>
        </a:p>
        <a:p>
          <a:pPr algn="l"/>
          <a:r>
            <a:rPr lang="en-GB" sz="800"/>
            <a:t>Options or solutions identified for further evaluation</a:t>
          </a:r>
        </a:p>
        <a:p>
          <a:pPr algn="l"/>
          <a:r>
            <a:rPr lang="en-GB" sz="800"/>
            <a:t>Preliminary Business Case developed</a:t>
          </a:r>
        </a:p>
      </xdr:txBody>
    </xdr:sp>
    <xdr:clientData/>
  </xdr:twoCellAnchor>
  <xdr:twoCellAnchor>
    <xdr:from>
      <xdr:col>12</xdr:col>
      <xdr:colOff>492579</xdr:colOff>
      <xdr:row>28</xdr:row>
      <xdr:rowOff>28576</xdr:rowOff>
    </xdr:from>
    <xdr:to>
      <xdr:col>15</xdr:col>
      <xdr:colOff>909638</xdr:colOff>
      <xdr:row>37</xdr:row>
      <xdr:rowOff>126471</xdr:rowOff>
    </xdr:to>
    <xdr:sp macro="" textlink="">
      <xdr:nvSpPr>
        <xdr:cNvPr id="4" name="Line Callout 3 3">
          <a:extLst>
            <a:ext uri="{FF2B5EF4-FFF2-40B4-BE49-F238E27FC236}">
              <a16:creationId xmlns:a16="http://schemas.microsoft.com/office/drawing/2014/main" id="{00000000-0008-0000-0300-000004000000}"/>
            </a:ext>
          </a:extLst>
        </xdr:cNvPr>
        <xdr:cNvSpPr/>
      </xdr:nvSpPr>
      <xdr:spPr>
        <a:xfrm>
          <a:off x="13911399" y="6452236"/>
          <a:ext cx="3076439" cy="1400915"/>
        </a:xfrm>
        <a:prstGeom prst="borderCallout3">
          <a:avLst>
            <a:gd name="adj1" fmla="val 18750"/>
            <a:gd name="adj2" fmla="val -8333"/>
            <a:gd name="adj3" fmla="val 18750"/>
            <a:gd name="adj4" fmla="val -16667"/>
            <a:gd name="adj5" fmla="val 100000"/>
            <a:gd name="adj6" fmla="val -16667"/>
            <a:gd name="adj7" fmla="val 695083"/>
            <a:gd name="adj8" fmla="val -15783"/>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GB" sz="800"/>
            <a:t>Functional and strategic project brief defined (refined output from optioneering)</a:t>
          </a:r>
        </a:p>
        <a:p>
          <a:pPr algn="l"/>
          <a:r>
            <a:rPr lang="en-GB" sz="800"/>
            <a:t>Preliminary Business Case approved</a:t>
          </a:r>
        </a:p>
        <a:p>
          <a:pPr algn="l"/>
          <a:r>
            <a:rPr lang="en-GB" sz="800"/>
            <a:t>Permission approved</a:t>
          </a:r>
        </a:p>
        <a:p>
          <a:pPr algn="l"/>
          <a:r>
            <a:rPr lang="en-GB" sz="800"/>
            <a:t>Financial Investment Decision Taken</a:t>
          </a:r>
        </a:p>
        <a:p>
          <a:pPr algn="l"/>
          <a:r>
            <a:rPr lang="en-GB" sz="800"/>
            <a:t>Project Charter for the development and implementation phases</a:t>
          </a:r>
        </a:p>
        <a:p>
          <a:pPr algn="l"/>
          <a:r>
            <a:rPr lang="en-GB" sz="800"/>
            <a:t>Project registered on ORACLE</a:t>
          </a:r>
        </a:p>
        <a:p>
          <a:pPr algn="l"/>
          <a:r>
            <a:rPr lang="en-GB" sz="800"/>
            <a:t>Hand over to Execution team</a:t>
          </a:r>
        </a:p>
      </xdr:txBody>
    </xdr:sp>
    <xdr:clientData/>
  </xdr:twoCellAnchor>
  <xdr:twoCellAnchor>
    <xdr:from>
      <xdr:col>18</xdr:col>
      <xdr:colOff>404283</xdr:colOff>
      <xdr:row>29</xdr:row>
      <xdr:rowOff>90488</xdr:rowOff>
    </xdr:from>
    <xdr:to>
      <xdr:col>20</xdr:col>
      <xdr:colOff>824969</xdr:colOff>
      <xdr:row>37</xdr:row>
      <xdr:rowOff>98351</xdr:rowOff>
    </xdr:to>
    <xdr:sp macro="" textlink="">
      <xdr:nvSpPr>
        <xdr:cNvPr id="5" name="Line Callout 3 4">
          <a:extLst>
            <a:ext uri="{FF2B5EF4-FFF2-40B4-BE49-F238E27FC236}">
              <a16:creationId xmlns:a16="http://schemas.microsoft.com/office/drawing/2014/main" id="{00000000-0008-0000-0300-000005000000}"/>
            </a:ext>
          </a:extLst>
        </xdr:cNvPr>
        <xdr:cNvSpPr/>
      </xdr:nvSpPr>
      <xdr:spPr>
        <a:xfrm>
          <a:off x="19172343" y="6658928"/>
          <a:ext cx="2401886" cy="1166103"/>
        </a:xfrm>
        <a:prstGeom prst="borderCallout3">
          <a:avLst>
            <a:gd name="adj1" fmla="val 18750"/>
            <a:gd name="adj2" fmla="val -8333"/>
            <a:gd name="adj3" fmla="val 18750"/>
            <a:gd name="adj4" fmla="val -16667"/>
            <a:gd name="adj5" fmla="val 100000"/>
            <a:gd name="adj6" fmla="val -16667"/>
            <a:gd name="adj7" fmla="val 823544"/>
            <a:gd name="adj8" fmla="val -16530"/>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GB" sz="800" baseline="0"/>
            <a:t>Technical project scope defined / detailed design complete</a:t>
          </a:r>
        </a:p>
        <a:p>
          <a:pPr algn="l"/>
          <a:r>
            <a:rPr lang="en-GB" sz="800" baseline="0"/>
            <a:t>Full / Detailed Business Case validated against Preliminary Business Case and approved</a:t>
          </a:r>
        </a:p>
        <a:p>
          <a:pPr algn="l"/>
          <a:r>
            <a:rPr lang="en-GB" sz="800" baseline="0"/>
            <a:t>Financial Investment Decision validated and approved / Final CAPEX approval given</a:t>
          </a:r>
        </a:p>
        <a:p>
          <a:pPr algn="l"/>
          <a:r>
            <a:rPr lang="en-GB" sz="800" baseline="0"/>
            <a:t>PEP developed</a:t>
          </a:r>
        </a:p>
        <a:p>
          <a:pPr algn="l"/>
          <a:endParaRPr lang="en-GB" sz="800"/>
        </a:p>
      </xdr:txBody>
    </xdr:sp>
    <xdr:clientData/>
  </xdr:twoCellAnchor>
  <xdr:twoCellAnchor>
    <xdr:from>
      <xdr:col>22</xdr:col>
      <xdr:colOff>219076</xdr:colOff>
      <xdr:row>29</xdr:row>
      <xdr:rowOff>388</xdr:rowOff>
    </xdr:from>
    <xdr:to>
      <xdr:col>23</xdr:col>
      <xdr:colOff>652464</xdr:colOff>
      <xdr:row>32</xdr:row>
      <xdr:rowOff>70536</xdr:rowOff>
    </xdr:to>
    <xdr:sp macro="" textlink="">
      <xdr:nvSpPr>
        <xdr:cNvPr id="6" name="Line Callout 3 5">
          <a:extLst>
            <a:ext uri="{FF2B5EF4-FFF2-40B4-BE49-F238E27FC236}">
              <a16:creationId xmlns:a16="http://schemas.microsoft.com/office/drawing/2014/main" id="{00000000-0008-0000-0300-000006000000}"/>
            </a:ext>
          </a:extLst>
        </xdr:cNvPr>
        <xdr:cNvSpPr/>
      </xdr:nvSpPr>
      <xdr:spPr>
        <a:xfrm>
          <a:off x="23940136" y="6568828"/>
          <a:ext cx="1324928" cy="504488"/>
        </a:xfrm>
        <a:prstGeom prst="borderCallout3">
          <a:avLst>
            <a:gd name="adj1" fmla="val 18750"/>
            <a:gd name="adj2" fmla="val -8333"/>
            <a:gd name="adj3" fmla="val 18750"/>
            <a:gd name="adj4" fmla="val -16667"/>
            <a:gd name="adj5" fmla="val 100000"/>
            <a:gd name="adj6" fmla="val -16667"/>
            <a:gd name="adj7" fmla="val 1913494"/>
            <a:gd name="adj8" fmla="val -16426"/>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GB" sz="800"/>
            <a:t>Practical Completion</a:t>
          </a:r>
        </a:p>
        <a:p>
          <a:pPr algn="l"/>
          <a:r>
            <a:rPr lang="en-GB" sz="800" baseline="0"/>
            <a:t>Owner accepts liability for the works</a:t>
          </a:r>
        </a:p>
      </xdr:txBody>
    </xdr:sp>
    <xdr:clientData/>
  </xdr:twoCellAnchor>
  <xdr:twoCellAnchor>
    <xdr:from>
      <xdr:col>8</xdr:col>
      <xdr:colOff>783771</xdr:colOff>
      <xdr:row>69</xdr:row>
      <xdr:rowOff>270304</xdr:rowOff>
    </xdr:from>
    <xdr:to>
      <xdr:col>15</xdr:col>
      <xdr:colOff>849526</xdr:colOff>
      <xdr:row>69</xdr:row>
      <xdr:rowOff>1197059</xdr:rowOff>
    </xdr:to>
    <xdr:graphicFrame macro="">
      <xdr:nvGraphicFramePr>
        <xdr:cNvPr id="7" name="Diagram 6">
          <a:extLst>
            <a:ext uri="{FF2B5EF4-FFF2-40B4-BE49-F238E27FC236}">
              <a16:creationId xmlns:a16="http://schemas.microsoft.com/office/drawing/2014/main" id="{00000000-0008-0000-0300-000007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3</xdr:col>
      <xdr:colOff>61913</xdr:colOff>
      <xdr:row>65</xdr:row>
      <xdr:rowOff>0</xdr:rowOff>
    </xdr:from>
    <xdr:to>
      <xdr:col>11</xdr:col>
      <xdr:colOff>485775</xdr:colOff>
      <xdr:row>72</xdr:row>
      <xdr:rowOff>85725</xdr:rowOff>
    </xdr:to>
    <xdr:graphicFrame macro="">
      <xdr:nvGraphicFramePr>
        <xdr:cNvPr id="8" name="Diagram 7">
          <a:extLst>
            <a:ext uri="{FF2B5EF4-FFF2-40B4-BE49-F238E27FC236}">
              <a16:creationId xmlns:a16="http://schemas.microsoft.com/office/drawing/2014/main" id="{00000000-0008-0000-0300-000008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24</xdr:col>
      <xdr:colOff>231322</xdr:colOff>
      <xdr:row>33</xdr:row>
      <xdr:rowOff>106814</xdr:rowOff>
    </xdr:from>
    <xdr:to>
      <xdr:col>24</xdr:col>
      <xdr:colOff>1626733</xdr:colOff>
      <xdr:row>39</xdr:row>
      <xdr:rowOff>25852</xdr:rowOff>
    </xdr:to>
    <xdr:sp macro="" textlink="">
      <xdr:nvSpPr>
        <xdr:cNvPr id="9" name="Line Callout 3 8">
          <a:extLst>
            <a:ext uri="{FF2B5EF4-FFF2-40B4-BE49-F238E27FC236}">
              <a16:creationId xmlns:a16="http://schemas.microsoft.com/office/drawing/2014/main" id="{00000000-0008-0000-0300-000009000000}"/>
            </a:ext>
          </a:extLst>
        </xdr:cNvPr>
        <xdr:cNvSpPr/>
      </xdr:nvSpPr>
      <xdr:spPr>
        <a:xfrm>
          <a:off x="25735462" y="7254374"/>
          <a:ext cx="1395411" cy="795338"/>
        </a:xfrm>
        <a:prstGeom prst="borderCallout3">
          <a:avLst>
            <a:gd name="adj1" fmla="val 18750"/>
            <a:gd name="adj2" fmla="val -8333"/>
            <a:gd name="adj3" fmla="val 18750"/>
            <a:gd name="adj4" fmla="val -16667"/>
            <a:gd name="adj5" fmla="val 100000"/>
            <a:gd name="adj6" fmla="val -16667"/>
            <a:gd name="adj7" fmla="val 549231"/>
            <a:gd name="adj8" fmla="val -16559"/>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GB" sz="800" baseline="0"/>
            <a:t>Defects complete</a:t>
          </a:r>
        </a:p>
        <a:p>
          <a:pPr algn="l"/>
          <a:r>
            <a:rPr lang="en-GB" sz="800" baseline="0"/>
            <a:t>Final accounts settled</a:t>
          </a:r>
        </a:p>
        <a:p>
          <a:pPr algn="l"/>
          <a:r>
            <a:rPr lang="en-GB" sz="800" baseline="0"/>
            <a:t>All documentation handed over</a:t>
          </a:r>
        </a:p>
        <a:p>
          <a:pPr algn="l"/>
          <a:r>
            <a:rPr lang="en-GB" sz="800" baseline="0"/>
            <a:t>Close out report</a:t>
          </a:r>
        </a:p>
      </xdr:txBody>
    </xdr:sp>
    <xdr:clientData/>
  </xdr:twoCellAnchor>
  <xdr:twoCellAnchor>
    <xdr:from>
      <xdr:col>7</xdr:col>
      <xdr:colOff>349250</xdr:colOff>
      <xdr:row>31</xdr:row>
      <xdr:rowOff>127000</xdr:rowOff>
    </xdr:from>
    <xdr:to>
      <xdr:col>9</xdr:col>
      <xdr:colOff>658813</xdr:colOff>
      <xdr:row>37</xdr:row>
      <xdr:rowOff>112714</xdr:rowOff>
    </xdr:to>
    <xdr:sp macro="" textlink="">
      <xdr:nvSpPr>
        <xdr:cNvPr id="10" name="Line Callout 3 9">
          <a:extLst>
            <a:ext uri="{FF2B5EF4-FFF2-40B4-BE49-F238E27FC236}">
              <a16:creationId xmlns:a16="http://schemas.microsoft.com/office/drawing/2014/main" id="{00000000-0008-0000-0300-00000A000000}"/>
            </a:ext>
          </a:extLst>
        </xdr:cNvPr>
        <xdr:cNvSpPr/>
      </xdr:nvSpPr>
      <xdr:spPr>
        <a:xfrm>
          <a:off x="9310370" y="6985000"/>
          <a:ext cx="2092643" cy="854394"/>
        </a:xfrm>
        <a:prstGeom prst="borderCallout3">
          <a:avLst>
            <a:gd name="adj1" fmla="val 18750"/>
            <a:gd name="adj2" fmla="val -8333"/>
            <a:gd name="adj3" fmla="val 18750"/>
            <a:gd name="adj4" fmla="val -16667"/>
            <a:gd name="adj5" fmla="val 100000"/>
            <a:gd name="adj6" fmla="val -16667"/>
            <a:gd name="adj7" fmla="val 1074898"/>
            <a:gd name="adj8" fmla="val -16490"/>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GB" sz="800"/>
            <a:t>Options analyised and preferred solution / option selected</a:t>
          </a:r>
        </a:p>
        <a:p>
          <a:pPr algn="l"/>
          <a:r>
            <a:rPr lang="en-GB" sz="800"/>
            <a:t>Updated Preliminary Business Case (recommended option)</a:t>
          </a:r>
        </a:p>
        <a:p>
          <a:pPr algn="l"/>
          <a:r>
            <a:rPr lang="en-GB" sz="800"/>
            <a:t>Initiative registered on ORACLE (preferred solution only)</a:t>
          </a:r>
        </a:p>
      </xdr:txBody>
    </xdr:sp>
    <xdr:clientData/>
  </xdr:twoCellAnchor>
  <xdr:twoCellAnchor>
    <xdr:from>
      <xdr:col>3</xdr:col>
      <xdr:colOff>51486</xdr:colOff>
      <xdr:row>14</xdr:row>
      <xdr:rowOff>173765</xdr:rowOff>
    </xdr:from>
    <xdr:to>
      <xdr:col>6</xdr:col>
      <xdr:colOff>1789157</xdr:colOff>
      <xdr:row>18</xdr:row>
      <xdr:rowOff>51484</xdr:rowOff>
    </xdr:to>
    <xdr:sp macro="" textlink="">
      <xdr:nvSpPr>
        <xdr:cNvPr id="11" name="Right Brace 10">
          <a:extLst>
            <a:ext uri="{FF2B5EF4-FFF2-40B4-BE49-F238E27FC236}">
              <a16:creationId xmlns:a16="http://schemas.microsoft.com/office/drawing/2014/main" id="{00000000-0008-0000-0300-00000B000000}"/>
            </a:ext>
          </a:extLst>
        </xdr:cNvPr>
        <xdr:cNvSpPr/>
      </xdr:nvSpPr>
      <xdr:spPr>
        <a:xfrm rot="16200000">
          <a:off x="5568702" y="843989"/>
          <a:ext cx="761639" cy="6020111"/>
        </a:xfrm>
        <a:prstGeom prst="rightBrace">
          <a:avLst/>
        </a:prstGeom>
      </xdr:spPr>
      <xdr:style>
        <a:lnRef idx="2">
          <a:schemeClr val="dk1"/>
        </a:lnRef>
        <a:fillRef idx="0">
          <a:schemeClr val="dk1"/>
        </a:fillRef>
        <a:effectRef idx="1">
          <a:schemeClr val="dk1"/>
        </a:effectRef>
        <a:fontRef idx="minor">
          <a:schemeClr val="tx1"/>
        </a:fontRef>
      </xdr:style>
      <xdr:txBody>
        <a:bodyPr vertOverflow="clip" horzOverflow="clip" rtlCol="0" anchor="t"/>
        <a:lstStyle/>
        <a:p>
          <a:pPr algn="l"/>
          <a:endParaRPr lang="en-GB" sz="1100"/>
        </a:p>
      </xdr:txBody>
    </xdr:sp>
    <xdr:clientData/>
  </xdr:twoCellAnchor>
  <xdr:twoCellAnchor>
    <xdr:from>
      <xdr:col>3</xdr:col>
      <xdr:colOff>978242</xdr:colOff>
      <xdr:row>9</xdr:row>
      <xdr:rowOff>77229</xdr:rowOff>
    </xdr:from>
    <xdr:to>
      <xdr:col>6</xdr:col>
      <xdr:colOff>1235674</xdr:colOff>
      <xdr:row>14</xdr:row>
      <xdr:rowOff>90101</xdr:rowOff>
    </xdr:to>
    <xdr:sp macro="" textlink="">
      <xdr:nvSpPr>
        <xdr:cNvPr id="12" name="TextBox 11">
          <a:extLst>
            <a:ext uri="{FF2B5EF4-FFF2-40B4-BE49-F238E27FC236}">
              <a16:creationId xmlns:a16="http://schemas.microsoft.com/office/drawing/2014/main" id="{00000000-0008-0000-0300-00000C000000}"/>
            </a:ext>
          </a:extLst>
        </xdr:cNvPr>
        <xdr:cNvSpPr txBox="1"/>
      </xdr:nvSpPr>
      <xdr:spPr>
        <a:xfrm>
          <a:off x="3866222" y="2271789"/>
          <a:ext cx="4562732" cy="1117772"/>
        </a:xfrm>
        <a:prstGeom prst="rect">
          <a:avLst/>
        </a:prstGeom>
        <a:solidFill>
          <a:schemeClr val="lt1"/>
        </a:solidFill>
        <a:ln w="222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600" b="1"/>
            <a:t>PROCESS TO IDENTIFY A BUSINESS NEED,</a:t>
          </a:r>
          <a:r>
            <a:rPr lang="en-GB" sz="1600" b="1" baseline="0"/>
            <a:t> ASSESS OPTIONS AND CONFIRM OPTIMAL SOLUTION</a:t>
          </a:r>
          <a:endParaRPr lang="en-GB" sz="1600" b="1"/>
        </a:p>
      </xdr:txBody>
    </xdr:sp>
    <xdr:clientData/>
  </xdr:twoCellAnchor>
  <xdr:twoCellAnchor>
    <xdr:from>
      <xdr:col>7</xdr:col>
      <xdr:colOff>308920</xdr:colOff>
      <xdr:row>7</xdr:row>
      <xdr:rowOff>205944</xdr:rowOff>
    </xdr:from>
    <xdr:to>
      <xdr:col>11</xdr:col>
      <xdr:colOff>695066</xdr:colOff>
      <xdr:row>14</xdr:row>
      <xdr:rowOff>64359</xdr:rowOff>
    </xdr:to>
    <xdr:sp macro="" textlink="">
      <xdr:nvSpPr>
        <xdr:cNvPr id="13" name="TextBox 12">
          <a:extLst>
            <a:ext uri="{FF2B5EF4-FFF2-40B4-BE49-F238E27FC236}">
              <a16:creationId xmlns:a16="http://schemas.microsoft.com/office/drawing/2014/main" id="{00000000-0008-0000-0300-00000D000000}"/>
            </a:ext>
          </a:extLst>
        </xdr:cNvPr>
        <xdr:cNvSpPr txBox="1"/>
      </xdr:nvSpPr>
      <xdr:spPr>
        <a:xfrm>
          <a:off x="9270040" y="1958544"/>
          <a:ext cx="3952306" cy="1405275"/>
        </a:xfrm>
        <a:prstGeom prst="rect">
          <a:avLst/>
        </a:prstGeom>
        <a:solidFill>
          <a:schemeClr val="lt1"/>
        </a:solidFill>
        <a:ln w="222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600" b="1"/>
            <a:t>PROCESS TO DEFINE</a:t>
          </a:r>
          <a:r>
            <a:rPr lang="en-GB" sz="1600" b="1" baseline="0"/>
            <a:t> THE STRATEGIC / FUNCTIONAL BRIEF (EMPLOYERS REQUIREMENTS) FOR THE OPTIMAL SOLUTION</a:t>
          </a:r>
          <a:endParaRPr lang="en-GB" sz="1600" b="1"/>
        </a:p>
      </xdr:txBody>
    </xdr:sp>
    <xdr:clientData/>
  </xdr:twoCellAnchor>
  <xdr:twoCellAnchor>
    <xdr:from>
      <xdr:col>7</xdr:col>
      <xdr:colOff>115844</xdr:colOff>
      <xdr:row>14</xdr:row>
      <xdr:rowOff>180202</xdr:rowOff>
    </xdr:from>
    <xdr:to>
      <xdr:col>11</xdr:col>
      <xdr:colOff>785170</xdr:colOff>
      <xdr:row>18</xdr:row>
      <xdr:rowOff>57921</xdr:rowOff>
    </xdr:to>
    <xdr:sp macro="" textlink="">
      <xdr:nvSpPr>
        <xdr:cNvPr id="14" name="Right Brace 13">
          <a:extLst>
            <a:ext uri="{FF2B5EF4-FFF2-40B4-BE49-F238E27FC236}">
              <a16:creationId xmlns:a16="http://schemas.microsoft.com/office/drawing/2014/main" id="{00000000-0008-0000-0300-00000E000000}"/>
            </a:ext>
          </a:extLst>
        </xdr:cNvPr>
        <xdr:cNvSpPr/>
      </xdr:nvSpPr>
      <xdr:spPr>
        <a:xfrm rot="16200000">
          <a:off x="10813887" y="1742739"/>
          <a:ext cx="761639" cy="4235486"/>
        </a:xfrm>
        <a:prstGeom prst="rightBrace">
          <a:avLst/>
        </a:prstGeom>
      </xdr:spPr>
      <xdr:style>
        <a:lnRef idx="2">
          <a:schemeClr val="dk1"/>
        </a:lnRef>
        <a:fillRef idx="0">
          <a:schemeClr val="dk1"/>
        </a:fillRef>
        <a:effectRef idx="1">
          <a:schemeClr val="dk1"/>
        </a:effectRef>
        <a:fontRef idx="minor">
          <a:schemeClr val="tx1"/>
        </a:fontRef>
      </xdr:style>
      <xdr:txBody>
        <a:bodyPr vertOverflow="clip" horzOverflow="clip" rtlCol="0" anchor="t"/>
        <a:lstStyle/>
        <a:p>
          <a:pPr algn="l"/>
          <a:endParaRPr lang="en-GB" sz="1100"/>
        </a:p>
      </xdr:txBody>
    </xdr:sp>
    <xdr:clientData/>
  </xdr:twoCellAnchor>
  <xdr:twoCellAnchor>
    <xdr:from>
      <xdr:col>12</xdr:col>
      <xdr:colOff>25743</xdr:colOff>
      <xdr:row>14</xdr:row>
      <xdr:rowOff>180204</xdr:rowOff>
    </xdr:from>
    <xdr:to>
      <xdr:col>23</xdr:col>
      <xdr:colOff>823785</xdr:colOff>
      <xdr:row>18</xdr:row>
      <xdr:rowOff>57923</xdr:rowOff>
    </xdr:to>
    <xdr:sp macro="" textlink="">
      <xdr:nvSpPr>
        <xdr:cNvPr id="15" name="Right Brace 14">
          <a:extLst>
            <a:ext uri="{FF2B5EF4-FFF2-40B4-BE49-F238E27FC236}">
              <a16:creationId xmlns:a16="http://schemas.microsoft.com/office/drawing/2014/main" id="{00000000-0008-0000-0300-00000F000000}"/>
            </a:ext>
          </a:extLst>
        </xdr:cNvPr>
        <xdr:cNvSpPr/>
      </xdr:nvSpPr>
      <xdr:spPr>
        <a:xfrm rot="16200000">
          <a:off x="19059654" y="-2135427"/>
          <a:ext cx="761639" cy="11991822"/>
        </a:xfrm>
        <a:prstGeom prst="rightBrace">
          <a:avLst/>
        </a:prstGeom>
      </xdr:spPr>
      <xdr:style>
        <a:lnRef idx="2">
          <a:schemeClr val="dk1"/>
        </a:lnRef>
        <a:fillRef idx="0">
          <a:schemeClr val="dk1"/>
        </a:fillRef>
        <a:effectRef idx="1">
          <a:schemeClr val="dk1"/>
        </a:effectRef>
        <a:fontRef idx="minor">
          <a:schemeClr val="tx1"/>
        </a:fontRef>
      </xdr:style>
      <xdr:txBody>
        <a:bodyPr vertOverflow="clip" horzOverflow="clip" rtlCol="0" anchor="t"/>
        <a:lstStyle/>
        <a:p>
          <a:pPr algn="l"/>
          <a:endParaRPr lang="en-GB" sz="1100"/>
        </a:p>
      </xdr:txBody>
    </xdr:sp>
    <xdr:clientData/>
  </xdr:twoCellAnchor>
  <xdr:twoCellAnchor>
    <xdr:from>
      <xdr:col>16</xdr:col>
      <xdr:colOff>540608</xdr:colOff>
      <xdr:row>8</xdr:row>
      <xdr:rowOff>167333</xdr:rowOff>
    </xdr:from>
    <xdr:to>
      <xdr:col>20</xdr:col>
      <xdr:colOff>720808</xdr:colOff>
      <xdr:row>14</xdr:row>
      <xdr:rowOff>64362</xdr:rowOff>
    </xdr:to>
    <xdr:sp macro="" textlink="">
      <xdr:nvSpPr>
        <xdr:cNvPr id="16" name="TextBox 15">
          <a:extLst>
            <a:ext uri="{FF2B5EF4-FFF2-40B4-BE49-F238E27FC236}">
              <a16:creationId xmlns:a16="http://schemas.microsoft.com/office/drawing/2014/main" id="{00000000-0008-0000-0300-000010000000}"/>
            </a:ext>
          </a:extLst>
        </xdr:cNvPr>
        <xdr:cNvSpPr txBox="1"/>
      </xdr:nvSpPr>
      <xdr:spPr>
        <a:xfrm>
          <a:off x="17525588" y="2140913"/>
          <a:ext cx="3944480" cy="1222909"/>
        </a:xfrm>
        <a:prstGeom prst="rect">
          <a:avLst/>
        </a:prstGeom>
        <a:solidFill>
          <a:schemeClr val="lt1"/>
        </a:solidFill>
        <a:ln w="222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600" b="1"/>
            <a:t>PROCESS TO</a:t>
          </a:r>
          <a:r>
            <a:rPr lang="en-GB" sz="1600" b="1" baseline="0"/>
            <a:t> INITIATE, DESIGN AND DELIVER A PROJECT IN ACCORDANCE WITH THE EMPLOYERS REQUIREMENTS</a:t>
          </a:r>
          <a:endParaRPr lang="en-GB" sz="1600" b="1"/>
        </a:p>
      </xdr:txBody>
    </xdr:sp>
    <xdr:clientData/>
  </xdr:twoCellAnchor>
  <xdr:twoCellAnchor>
    <xdr:from>
      <xdr:col>24</xdr:col>
      <xdr:colOff>115844</xdr:colOff>
      <xdr:row>14</xdr:row>
      <xdr:rowOff>180204</xdr:rowOff>
    </xdr:from>
    <xdr:to>
      <xdr:col>25</xdr:col>
      <xdr:colOff>64359</xdr:colOff>
      <xdr:row>18</xdr:row>
      <xdr:rowOff>57923</xdr:rowOff>
    </xdr:to>
    <xdr:sp macro="" textlink="">
      <xdr:nvSpPr>
        <xdr:cNvPr id="17" name="Right Brace 16">
          <a:extLst>
            <a:ext uri="{FF2B5EF4-FFF2-40B4-BE49-F238E27FC236}">
              <a16:creationId xmlns:a16="http://schemas.microsoft.com/office/drawing/2014/main" id="{00000000-0008-0000-0300-000011000000}"/>
            </a:ext>
          </a:extLst>
        </xdr:cNvPr>
        <xdr:cNvSpPr/>
      </xdr:nvSpPr>
      <xdr:spPr>
        <a:xfrm rot="16200000">
          <a:off x="26024952" y="3074696"/>
          <a:ext cx="761639" cy="1571575"/>
        </a:xfrm>
        <a:prstGeom prst="rightBrace">
          <a:avLst/>
        </a:prstGeom>
      </xdr:spPr>
      <xdr:style>
        <a:lnRef idx="2">
          <a:schemeClr val="dk1"/>
        </a:lnRef>
        <a:fillRef idx="0">
          <a:schemeClr val="dk1"/>
        </a:fillRef>
        <a:effectRef idx="1">
          <a:schemeClr val="dk1"/>
        </a:effectRef>
        <a:fontRef idx="minor">
          <a:schemeClr val="tx1"/>
        </a:fontRef>
      </xdr:style>
      <xdr:txBody>
        <a:bodyPr vertOverflow="clip" horzOverflow="clip" rtlCol="0" anchor="t"/>
        <a:lstStyle/>
        <a:p>
          <a:pPr algn="l"/>
          <a:endParaRPr lang="en-GB" sz="1100"/>
        </a:p>
      </xdr:txBody>
    </xdr:sp>
    <xdr:clientData/>
  </xdr:twoCellAnchor>
  <xdr:twoCellAnchor>
    <xdr:from>
      <xdr:col>23</xdr:col>
      <xdr:colOff>810911</xdr:colOff>
      <xdr:row>9</xdr:row>
      <xdr:rowOff>-1</xdr:rowOff>
    </xdr:from>
    <xdr:to>
      <xdr:col>25</xdr:col>
      <xdr:colOff>167332</xdr:colOff>
      <xdr:row>14</xdr:row>
      <xdr:rowOff>115847</xdr:rowOff>
    </xdr:to>
    <xdr:sp macro="" textlink="">
      <xdr:nvSpPr>
        <xdr:cNvPr id="18" name="TextBox 17">
          <a:extLst>
            <a:ext uri="{FF2B5EF4-FFF2-40B4-BE49-F238E27FC236}">
              <a16:creationId xmlns:a16="http://schemas.microsoft.com/office/drawing/2014/main" id="{00000000-0008-0000-0300-000012000000}"/>
            </a:ext>
          </a:extLst>
        </xdr:cNvPr>
        <xdr:cNvSpPr txBox="1"/>
      </xdr:nvSpPr>
      <xdr:spPr>
        <a:xfrm>
          <a:off x="25423511" y="2194559"/>
          <a:ext cx="1871021" cy="1220748"/>
        </a:xfrm>
        <a:prstGeom prst="rect">
          <a:avLst/>
        </a:prstGeom>
        <a:solidFill>
          <a:schemeClr val="lt1"/>
        </a:solidFill>
        <a:ln w="222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600" b="1"/>
            <a:t>OPERATE AND MAINTAIN THE ASSET (BAU)</a:t>
          </a:r>
        </a:p>
      </xdr:txBody>
    </xdr:sp>
    <xdr:clientData/>
  </xdr:twoCellAnchor>
  <xdr:twoCellAnchor>
    <xdr:from>
      <xdr:col>11</xdr:col>
      <xdr:colOff>527734</xdr:colOff>
      <xdr:row>18</xdr:row>
      <xdr:rowOff>44408</xdr:rowOff>
    </xdr:from>
    <xdr:to>
      <xdr:col>12</xdr:col>
      <xdr:colOff>283175</xdr:colOff>
      <xdr:row>21</xdr:row>
      <xdr:rowOff>42862</xdr:rowOff>
    </xdr:to>
    <xdr:sp macro="" textlink="">
      <xdr:nvSpPr>
        <xdr:cNvPr id="19" name="Down Arrow 18">
          <a:extLst>
            <a:ext uri="{FF2B5EF4-FFF2-40B4-BE49-F238E27FC236}">
              <a16:creationId xmlns:a16="http://schemas.microsoft.com/office/drawing/2014/main" id="{00000000-0008-0000-0300-000013000000}"/>
            </a:ext>
          </a:extLst>
        </xdr:cNvPr>
        <xdr:cNvSpPr/>
      </xdr:nvSpPr>
      <xdr:spPr>
        <a:xfrm rot="10800000">
          <a:off x="13055014" y="4227788"/>
          <a:ext cx="646981" cy="661394"/>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10</xdr:col>
      <xdr:colOff>604967</xdr:colOff>
      <xdr:row>21</xdr:row>
      <xdr:rowOff>100013</xdr:rowOff>
    </xdr:from>
    <xdr:to>
      <xdr:col>13</xdr:col>
      <xdr:colOff>77228</xdr:colOff>
      <xdr:row>27</xdr:row>
      <xdr:rowOff>111125</xdr:rowOff>
    </xdr:to>
    <xdr:sp macro="" textlink="">
      <xdr:nvSpPr>
        <xdr:cNvPr id="20" name="TextBox 19">
          <a:extLst>
            <a:ext uri="{FF2B5EF4-FFF2-40B4-BE49-F238E27FC236}">
              <a16:creationId xmlns:a16="http://schemas.microsoft.com/office/drawing/2014/main" id="{00000000-0008-0000-0300-000014000000}"/>
            </a:ext>
          </a:extLst>
        </xdr:cNvPr>
        <xdr:cNvSpPr txBox="1"/>
      </xdr:nvSpPr>
      <xdr:spPr>
        <a:xfrm>
          <a:off x="12240707" y="4946333"/>
          <a:ext cx="2146881" cy="14436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b="1"/>
            <a:t>INITIAL FINANCIAL CAPEX DECISION TAKEN;</a:t>
          </a:r>
        </a:p>
        <a:p>
          <a:pPr algn="ctr"/>
          <a:r>
            <a:rPr lang="en-GB" sz="1200" b="1"/>
            <a:t>Fund</a:t>
          </a:r>
          <a:r>
            <a:rPr lang="en-GB" sz="1200" b="1" baseline="0"/>
            <a:t> Technical solution refinement</a:t>
          </a:r>
          <a:endParaRPr lang="en-GB" sz="1200" b="1"/>
        </a:p>
        <a:p>
          <a:pPr algn="ctr"/>
          <a:r>
            <a:rPr lang="en-GB" sz="1200" b="1"/>
            <a:t>Planning program/cost revised</a:t>
          </a:r>
        </a:p>
      </xdr:txBody>
    </xdr:sp>
    <xdr:clientData/>
  </xdr:twoCellAnchor>
  <xdr:twoCellAnchor>
    <xdr:from>
      <xdr:col>12</xdr:col>
      <xdr:colOff>104775</xdr:colOff>
      <xdr:row>63</xdr:row>
      <xdr:rowOff>19050</xdr:rowOff>
    </xdr:from>
    <xdr:to>
      <xdr:col>17</xdr:col>
      <xdr:colOff>847725</xdr:colOff>
      <xdr:row>65</xdr:row>
      <xdr:rowOff>19050</xdr:rowOff>
    </xdr:to>
    <xdr:sp macro="" textlink="">
      <xdr:nvSpPr>
        <xdr:cNvPr id="21" name="Left-Right Arrow 20">
          <a:extLst>
            <a:ext uri="{FF2B5EF4-FFF2-40B4-BE49-F238E27FC236}">
              <a16:creationId xmlns:a16="http://schemas.microsoft.com/office/drawing/2014/main" id="{00000000-0008-0000-0300-000015000000}"/>
            </a:ext>
          </a:extLst>
        </xdr:cNvPr>
        <xdr:cNvSpPr/>
      </xdr:nvSpPr>
      <xdr:spPr>
        <a:xfrm>
          <a:off x="13523595" y="15518130"/>
          <a:ext cx="5200650" cy="335280"/>
        </a:xfrm>
        <a:prstGeom prst="lef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a:t>FEE</a:t>
          </a:r>
          <a:r>
            <a:rPr lang="en-GB" sz="1100" baseline="0"/>
            <a:t>D (FRONT END ENGINEERING DESIGN)</a:t>
          </a:r>
          <a:endParaRPr lang="en-GB" sz="1100"/>
        </a:p>
      </xdr:txBody>
    </xdr:sp>
    <xdr:clientData/>
  </xdr:twoCellAnchor>
  <xdr:twoCellAnchor>
    <xdr:from>
      <xdr:col>3</xdr:col>
      <xdr:colOff>180974</xdr:colOff>
      <xdr:row>5</xdr:row>
      <xdr:rowOff>190499</xdr:rowOff>
    </xdr:from>
    <xdr:to>
      <xdr:col>16</xdr:col>
      <xdr:colOff>876300</xdr:colOff>
      <xdr:row>7</xdr:row>
      <xdr:rowOff>66674</xdr:rowOff>
    </xdr:to>
    <xdr:sp macro="" textlink="">
      <xdr:nvSpPr>
        <xdr:cNvPr id="22" name="Left-Right Arrow 22">
          <a:extLst>
            <a:ext uri="{FF2B5EF4-FFF2-40B4-BE49-F238E27FC236}">
              <a16:creationId xmlns:a16="http://schemas.microsoft.com/office/drawing/2014/main" id="{00000000-0008-0000-0300-000016000000}"/>
            </a:ext>
          </a:extLst>
        </xdr:cNvPr>
        <xdr:cNvSpPr/>
      </xdr:nvSpPr>
      <xdr:spPr>
        <a:xfrm>
          <a:off x="3068954" y="1501139"/>
          <a:ext cx="14792326" cy="318135"/>
        </a:xfrm>
        <a:prstGeom prst="lef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b="1"/>
            <a:t>EFFECTIVENESS (Business Case)</a:t>
          </a:r>
        </a:p>
      </xdr:txBody>
    </xdr:sp>
    <xdr:clientData/>
  </xdr:twoCellAnchor>
  <xdr:twoCellAnchor>
    <xdr:from>
      <xdr:col>13</xdr:col>
      <xdr:colOff>123825</xdr:colOff>
      <xdr:row>3</xdr:row>
      <xdr:rowOff>190500</xdr:rowOff>
    </xdr:from>
    <xdr:to>
      <xdr:col>23</xdr:col>
      <xdr:colOff>695324</xdr:colOff>
      <xdr:row>5</xdr:row>
      <xdr:rowOff>57149</xdr:rowOff>
    </xdr:to>
    <xdr:sp macro="" textlink="">
      <xdr:nvSpPr>
        <xdr:cNvPr id="23" name="Left-Right Arrow 23">
          <a:extLst>
            <a:ext uri="{FF2B5EF4-FFF2-40B4-BE49-F238E27FC236}">
              <a16:creationId xmlns:a16="http://schemas.microsoft.com/office/drawing/2014/main" id="{00000000-0008-0000-0300-000017000000}"/>
            </a:ext>
          </a:extLst>
        </xdr:cNvPr>
        <xdr:cNvSpPr/>
      </xdr:nvSpPr>
      <xdr:spPr>
        <a:xfrm>
          <a:off x="14434185" y="1059180"/>
          <a:ext cx="10873739" cy="308609"/>
        </a:xfrm>
        <a:prstGeom prst="lef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100" b="1"/>
            <a:t>EFFICIENCY</a:t>
          </a:r>
        </a:p>
      </xdr:txBody>
    </xdr:sp>
    <xdr:clientData/>
  </xdr:twoCellAnchor>
  <xdr:twoCellAnchor>
    <xdr:from>
      <xdr:col>18</xdr:col>
      <xdr:colOff>422829</xdr:colOff>
      <xdr:row>17</xdr:row>
      <xdr:rowOff>142874</xdr:rowOff>
    </xdr:from>
    <xdr:to>
      <xdr:col>19</xdr:col>
      <xdr:colOff>178270</xdr:colOff>
      <xdr:row>20</xdr:row>
      <xdr:rowOff>141328</xdr:rowOff>
    </xdr:to>
    <xdr:sp macro="" textlink="">
      <xdr:nvSpPr>
        <xdr:cNvPr id="24" name="Down Arrow 18">
          <a:extLst>
            <a:ext uri="{FF2B5EF4-FFF2-40B4-BE49-F238E27FC236}">
              <a16:creationId xmlns:a16="http://schemas.microsoft.com/office/drawing/2014/main" id="{00000000-0008-0000-0300-000018000000}"/>
            </a:ext>
          </a:extLst>
        </xdr:cNvPr>
        <xdr:cNvSpPr/>
      </xdr:nvSpPr>
      <xdr:spPr>
        <a:xfrm rot="10800000">
          <a:off x="19190889" y="4105274"/>
          <a:ext cx="646981" cy="661394"/>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17</xdr:col>
      <xdr:colOff>501967</xdr:colOff>
      <xdr:row>20</xdr:row>
      <xdr:rowOff>200383</xdr:rowOff>
    </xdr:from>
    <xdr:to>
      <xdr:col>19</xdr:col>
      <xdr:colOff>968638</xdr:colOff>
      <xdr:row>26</xdr:row>
      <xdr:rowOff>127000</xdr:rowOff>
    </xdr:to>
    <xdr:sp macro="" textlink="">
      <xdr:nvSpPr>
        <xdr:cNvPr id="25" name="TextBox 24">
          <a:extLst>
            <a:ext uri="{FF2B5EF4-FFF2-40B4-BE49-F238E27FC236}">
              <a16:creationId xmlns:a16="http://schemas.microsoft.com/office/drawing/2014/main" id="{00000000-0008-0000-0300-000019000000}"/>
            </a:ext>
          </a:extLst>
        </xdr:cNvPr>
        <xdr:cNvSpPr txBox="1"/>
      </xdr:nvSpPr>
      <xdr:spPr>
        <a:xfrm>
          <a:off x="18378487" y="4825723"/>
          <a:ext cx="2249751" cy="1359177"/>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b="1"/>
            <a:t>FINAL FINANCIAL CAPEX DECISION TAKEN;</a:t>
          </a:r>
        </a:p>
        <a:p>
          <a:pPr algn="ctr"/>
          <a:r>
            <a:rPr lang="en-GB" sz="1200" b="1"/>
            <a:t>Project</a:t>
          </a:r>
          <a:r>
            <a:rPr lang="en-GB" sz="1200" b="1" baseline="0"/>
            <a:t> Baseline set:</a:t>
          </a:r>
        </a:p>
        <a:p>
          <a:pPr algn="ctr"/>
          <a:r>
            <a:rPr lang="en-GB" sz="1200" b="1" baseline="0"/>
            <a:t>Cost and Program</a:t>
          </a:r>
        </a:p>
        <a:p>
          <a:pPr algn="ctr"/>
          <a:r>
            <a:rPr lang="en-GB" sz="1200" b="1" baseline="0"/>
            <a:t>Implementation Approved</a:t>
          </a:r>
          <a:endParaRPr lang="en-GB" sz="1200" b="1"/>
        </a:p>
      </xdr:txBody>
    </xdr:sp>
    <xdr:clientData/>
  </xdr:twoCellAnchor>
  <xdr:twoCellAnchor>
    <xdr:from>
      <xdr:col>6</xdr:col>
      <xdr:colOff>1589642</xdr:colOff>
      <xdr:row>18</xdr:row>
      <xdr:rowOff>31750</xdr:rowOff>
    </xdr:from>
    <xdr:to>
      <xdr:col>7</xdr:col>
      <xdr:colOff>344958</xdr:colOff>
      <xdr:row>21</xdr:row>
      <xdr:rowOff>30204</xdr:rowOff>
    </xdr:to>
    <xdr:sp macro="" textlink="">
      <xdr:nvSpPr>
        <xdr:cNvPr id="26" name="Down Arrow 18">
          <a:extLst>
            <a:ext uri="{FF2B5EF4-FFF2-40B4-BE49-F238E27FC236}">
              <a16:creationId xmlns:a16="http://schemas.microsoft.com/office/drawing/2014/main" id="{00000000-0008-0000-0300-00001A000000}"/>
            </a:ext>
          </a:extLst>
        </xdr:cNvPr>
        <xdr:cNvSpPr/>
      </xdr:nvSpPr>
      <xdr:spPr>
        <a:xfrm rot="10800000">
          <a:off x="8782922" y="4215130"/>
          <a:ext cx="523156" cy="661394"/>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6</xdr:col>
      <xdr:colOff>789939</xdr:colOff>
      <xdr:row>21</xdr:row>
      <xdr:rowOff>93070</xdr:rowOff>
    </xdr:from>
    <xdr:to>
      <xdr:col>8</xdr:col>
      <xdr:colOff>410844</xdr:colOff>
      <xdr:row>27</xdr:row>
      <xdr:rowOff>0</xdr:rowOff>
    </xdr:to>
    <xdr:sp macro="" textlink="">
      <xdr:nvSpPr>
        <xdr:cNvPr id="27" name="TextBox 26">
          <a:extLst>
            <a:ext uri="{FF2B5EF4-FFF2-40B4-BE49-F238E27FC236}">
              <a16:creationId xmlns:a16="http://schemas.microsoft.com/office/drawing/2014/main" id="{00000000-0008-0000-0300-00001B000000}"/>
            </a:ext>
          </a:extLst>
        </xdr:cNvPr>
        <xdr:cNvSpPr txBox="1"/>
      </xdr:nvSpPr>
      <xdr:spPr>
        <a:xfrm>
          <a:off x="7983219" y="4939390"/>
          <a:ext cx="2280285" cy="133949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b="1"/>
            <a:t>PERMISSION;</a:t>
          </a:r>
        </a:p>
        <a:p>
          <a:pPr algn="ctr"/>
          <a:r>
            <a:rPr lang="en-GB" sz="1200" b="1"/>
            <a:t>CORPORATE</a:t>
          </a:r>
          <a:r>
            <a:rPr lang="en-GB" sz="1200" b="1" baseline="0"/>
            <a:t> PLAN</a:t>
          </a:r>
        </a:p>
        <a:p>
          <a:pPr algn="ctr"/>
          <a:r>
            <a:rPr lang="en-GB" sz="1200" b="1" baseline="0"/>
            <a:t>PIPELINE</a:t>
          </a:r>
        </a:p>
        <a:p>
          <a:pPr algn="ctr"/>
          <a:r>
            <a:rPr lang="en-GB" sz="1200" b="1" baseline="0"/>
            <a:t>Planning program/cost set</a:t>
          </a:r>
          <a:endParaRPr lang="en-GB" sz="1200" b="1"/>
        </a:p>
      </xdr:txBody>
    </xdr:sp>
    <xdr:clientData/>
  </xdr:twoCellAnchor>
  <xdr:oneCellAnchor>
    <xdr:from>
      <xdr:col>18</xdr:col>
      <xdr:colOff>129541</xdr:colOff>
      <xdr:row>62</xdr:row>
      <xdr:rowOff>114300</xdr:rowOff>
    </xdr:from>
    <xdr:ext cx="1318260" cy="361950"/>
    <xdr:sp macro="" textlink="">
      <xdr:nvSpPr>
        <xdr:cNvPr id="28" name="TextBox 27">
          <a:extLst>
            <a:ext uri="{FF2B5EF4-FFF2-40B4-BE49-F238E27FC236}">
              <a16:creationId xmlns:a16="http://schemas.microsoft.com/office/drawing/2014/main" id="{00000000-0008-0000-0300-00001C000000}"/>
            </a:ext>
          </a:extLst>
        </xdr:cNvPr>
        <xdr:cNvSpPr txBox="1"/>
      </xdr:nvSpPr>
      <xdr:spPr>
        <a:xfrm flipV="1">
          <a:off x="18897601" y="15445740"/>
          <a:ext cx="1318260" cy="361950"/>
        </a:xfrm>
        <a:prstGeom prst="rect">
          <a:avLst/>
        </a:prstGeom>
        <a:solidFill>
          <a:schemeClr val="accent1">
            <a:lumMod val="40000"/>
            <a:lumOff val="6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n-ZA" sz="1100"/>
        </a:p>
      </xdr:txBody>
    </xdr:sp>
    <xdr:clientData/>
  </xdr:oneCellAnchor>
  <xdr:oneCellAnchor>
    <xdr:from>
      <xdr:col>19</xdr:col>
      <xdr:colOff>209550</xdr:colOff>
      <xdr:row>62</xdr:row>
      <xdr:rowOff>152400</xdr:rowOff>
    </xdr:from>
    <xdr:ext cx="1108710" cy="381000"/>
    <xdr:sp macro="" textlink="">
      <xdr:nvSpPr>
        <xdr:cNvPr id="29" name="TextBox 28">
          <a:extLst>
            <a:ext uri="{FF2B5EF4-FFF2-40B4-BE49-F238E27FC236}">
              <a16:creationId xmlns:a16="http://schemas.microsoft.com/office/drawing/2014/main" id="{00000000-0008-0000-0300-00001D000000}"/>
            </a:ext>
          </a:extLst>
        </xdr:cNvPr>
        <xdr:cNvSpPr txBox="1"/>
      </xdr:nvSpPr>
      <xdr:spPr>
        <a:xfrm flipV="1">
          <a:off x="19869150" y="15483840"/>
          <a:ext cx="1108710" cy="381000"/>
        </a:xfrm>
        <a:prstGeom prst="rect">
          <a:avLst/>
        </a:prstGeom>
        <a:solidFill>
          <a:schemeClr val="accent1">
            <a:lumMod val="40000"/>
            <a:lumOff val="6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n-ZA" sz="1100"/>
        </a:p>
      </xdr:txBody>
    </xdr:sp>
    <xdr:clientData/>
  </xdr:oneCellAnchor>
  <xdr:oneCellAnchor>
    <xdr:from>
      <xdr:col>20</xdr:col>
      <xdr:colOff>0</xdr:colOff>
      <xdr:row>63</xdr:row>
      <xdr:rowOff>0</xdr:rowOff>
    </xdr:from>
    <xdr:ext cx="1318260" cy="361950"/>
    <xdr:sp macro="" textlink="">
      <xdr:nvSpPr>
        <xdr:cNvPr id="30" name="TextBox 29">
          <a:extLst>
            <a:ext uri="{FF2B5EF4-FFF2-40B4-BE49-F238E27FC236}">
              <a16:creationId xmlns:a16="http://schemas.microsoft.com/office/drawing/2014/main" id="{00000000-0008-0000-0300-00001E000000}"/>
            </a:ext>
          </a:extLst>
        </xdr:cNvPr>
        <xdr:cNvSpPr txBox="1"/>
      </xdr:nvSpPr>
      <xdr:spPr>
        <a:xfrm flipV="1">
          <a:off x="20749260" y="15499080"/>
          <a:ext cx="1318260" cy="361950"/>
        </a:xfrm>
        <a:prstGeom prst="rect">
          <a:avLst/>
        </a:prstGeom>
        <a:solidFill>
          <a:schemeClr val="accent1">
            <a:lumMod val="40000"/>
            <a:lumOff val="6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n-ZA" sz="1100"/>
        </a:p>
      </xdr:txBody>
    </xdr:sp>
    <xdr:clientData/>
  </xdr:oneCellAnchor>
  <xdr:oneCellAnchor>
    <xdr:from>
      <xdr:col>21</xdr:col>
      <xdr:colOff>0</xdr:colOff>
      <xdr:row>63</xdr:row>
      <xdr:rowOff>0</xdr:rowOff>
    </xdr:from>
    <xdr:ext cx="1318260" cy="361950"/>
    <xdr:sp macro="" textlink="">
      <xdr:nvSpPr>
        <xdr:cNvPr id="31" name="TextBox 30">
          <a:extLst>
            <a:ext uri="{FF2B5EF4-FFF2-40B4-BE49-F238E27FC236}">
              <a16:creationId xmlns:a16="http://schemas.microsoft.com/office/drawing/2014/main" id="{00000000-0008-0000-0300-00001F000000}"/>
            </a:ext>
          </a:extLst>
        </xdr:cNvPr>
        <xdr:cNvSpPr txBox="1"/>
      </xdr:nvSpPr>
      <xdr:spPr>
        <a:xfrm flipV="1">
          <a:off x="22235160" y="15499080"/>
          <a:ext cx="1318260" cy="361950"/>
        </a:xfrm>
        <a:prstGeom prst="rect">
          <a:avLst/>
        </a:prstGeom>
        <a:solidFill>
          <a:schemeClr val="accent1">
            <a:lumMod val="40000"/>
            <a:lumOff val="6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n-ZA" sz="1100"/>
        </a:p>
      </xdr:txBody>
    </xdr:sp>
    <xdr:clientData/>
  </xdr:one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622852</xdr:colOff>
          <xdr:row>19</xdr:row>
          <xdr:rowOff>19879</xdr:rowOff>
        </xdr:from>
        <xdr:to>
          <xdr:col>8</xdr:col>
          <xdr:colOff>1258956</xdr:colOff>
          <xdr:row>26</xdr:row>
          <xdr:rowOff>173272</xdr:rowOff>
        </xdr:to>
        <xdr:pic>
          <xdr:nvPicPr>
            <xdr:cNvPr id="5" name="Picture 4">
              <a:extLst>
                <a:ext uri="{FF2B5EF4-FFF2-40B4-BE49-F238E27FC236}">
                  <a16:creationId xmlns:a16="http://schemas.microsoft.com/office/drawing/2014/main" id="{00000000-0008-0000-0400-000005000000}"/>
                </a:ext>
              </a:extLst>
            </xdr:cNvPr>
            <xdr:cNvPicPr>
              <a:picLocks noChangeAspect="1" noChangeArrowheads="1"/>
              <a:extLst>
                <a:ext uri="{84589F7E-364E-4C9E-8A38-B11213B215E9}">
                  <a14:cameraTool cellRange="'[4]Est. Classes Rev1'!$A$8:$G$14" spid="_x0000_s222465"/>
                </a:ext>
              </a:extLst>
            </xdr:cNvPicPr>
          </xdr:nvPicPr>
          <xdr:blipFill>
            <a:blip xmlns:r="http://schemas.openxmlformats.org/officeDocument/2006/relationships" r:embed="rId1"/>
            <a:srcRect/>
            <a:stretch>
              <a:fillRect/>
            </a:stretch>
          </xdr:blipFill>
          <xdr:spPr bwMode="auto">
            <a:xfrm>
              <a:off x="622852" y="3544957"/>
              <a:ext cx="6341165" cy="1444486"/>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57150</xdr:colOff>
          <xdr:row>2</xdr:row>
          <xdr:rowOff>9525</xdr:rowOff>
        </xdr:from>
        <xdr:to>
          <xdr:col>11</xdr:col>
          <xdr:colOff>19050</xdr:colOff>
          <xdr:row>11</xdr:row>
          <xdr:rowOff>171450</xdr:rowOff>
        </xdr:to>
        <xdr:sp macro="" textlink="">
          <xdr:nvSpPr>
            <xdr:cNvPr id="181254" name="Object 6" hidden="1">
              <a:extLst>
                <a:ext uri="{63B3BB69-23CF-44E3-9099-C40C66FF867C}">
                  <a14:compatExt spid="_x0000_s181254"/>
                </a:ext>
                <a:ext uri="{FF2B5EF4-FFF2-40B4-BE49-F238E27FC236}">
                  <a16:creationId xmlns:a16="http://schemas.microsoft.com/office/drawing/2014/main" id="{00000000-0008-0000-0700-000006C4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1086706</xdr:colOff>
      <xdr:row>11</xdr:row>
      <xdr:rowOff>149398</xdr:rowOff>
    </xdr:to>
    <xdr:pic>
      <xdr:nvPicPr>
        <xdr:cNvPr id="2" name="Picture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704850" y="752475"/>
          <a:ext cx="1079086" cy="530398"/>
        </a:xfrm>
        <a:prstGeom prst="rect">
          <a:avLst/>
        </a:prstGeom>
      </xdr:spPr>
    </xdr:pic>
    <xdr:clientData/>
  </xdr:twoCellAnchor>
  <xdr:twoCellAnchor editAs="oneCell">
    <xdr:from>
      <xdr:col>0</xdr:col>
      <xdr:colOff>253839</xdr:colOff>
      <xdr:row>87</xdr:row>
      <xdr:rowOff>129772</xdr:rowOff>
    </xdr:from>
    <xdr:to>
      <xdr:col>16</xdr:col>
      <xdr:colOff>437196</xdr:colOff>
      <xdr:row>130</xdr:row>
      <xdr:rowOff>22057</xdr:rowOff>
    </xdr:to>
    <xdr:pic>
      <xdr:nvPicPr>
        <xdr:cNvPr id="4" name="Picture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2"/>
        <a:stretch>
          <a:fillRect/>
        </a:stretch>
      </xdr:blipFill>
      <xdr:spPr>
        <a:xfrm>
          <a:off x="253839" y="17179522"/>
          <a:ext cx="12979718" cy="758324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1086706</xdr:colOff>
      <xdr:row>0</xdr:row>
      <xdr:rowOff>530398</xdr:rowOff>
    </xdr:to>
    <xdr:pic>
      <xdr:nvPicPr>
        <xdr:cNvPr id="2" name="Picture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609600" y="0"/>
          <a:ext cx="1079086" cy="53039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1082896</xdr:colOff>
      <xdr:row>1</xdr:row>
      <xdr:rowOff>530398</xdr:rowOff>
    </xdr:to>
    <xdr:pic>
      <xdr:nvPicPr>
        <xdr:cNvPr id="4" name="Picture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stretch>
          <a:fillRect/>
        </a:stretch>
      </xdr:blipFill>
      <xdr:spPr>
        <a:xfrm>
          <a:off x="1085850" y="171450"/>
          <a:ext cx="1079086" cy="530398"/>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91439</xdr:colOff>
      <xdr:row>0</xdr:row>
      <xdr:rowOff>105250</xdr:rowOff>
    </xdr:from>
    <xdr:to>
      <xdr:col>2</xdr:col>
      <xdr:colOff>1885870</xdr:colOff>
      <xdr:row>5</xdr:row>
      <xdr:rowOff>130967</xdr:rowOff>
    </xdr:to>
    <xdr:pic>
      <xdr:nvPicPr>
        <xdr:cNvPr id="3" name="Picture 2">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1174908" y="105250"/>
          <a:ext cx="1802051" cy="85915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137160</xdr:colOff>
      <xdr:row>0</xdr:row>
      <xdr:rowOff>83820</xdr:rowOff>
    </xdr:from>
    <xdr:to>
      <xdr:col>0</xdr:col>
      <xdr:colOff>1216246</xdr:colOff>
      <xdr:row>3</xdr:row>
      <xdr:rowOff>58805</xdr:rowOff>
    </xdr:to>
    <xdr:pic>
      <xdr:nvPicPr>
        <xdr:cNvPr id="2" name="Picture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stretch>
          <a:fillRect/>
        </a:stretch>
      </xdr:blipFill>
      <xdr:spPr>
        <a:xfrm>
          <a:off x="137160" y="83820"/>
          <a:ext cx="1079086" cy="5303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476250</xdr:colOff>
          <xdr:row>1</xdr:row>
          <xdr:rowOff>19050</xdr:rowOff>
        </xdr:from>
        <xdr:to>
          <xdr:col>7</xdr:col>
          <xdr:colOff>9525</xdr:colOff>
          <xdr:row>7</xdr:row>
          <xdr:rowOff>238125</xdr:rowOff>
        </xdr:to>
        <xdr:sp macro="" textlink="">
          <xdr:nvSpPr>
            <xdr:cNvPr id="186369" name="Object 1" hidden="1">
              <a:extLst>
                <a:ext uri="{63B3BB69-23CF-44E3-9099-C40C66FF867C}">
                  <a14:compatExt spid="_x0000_s186369"/>
                </a:ext>
                <a:ext uri="{FF2B5EF4-FFF2-40B4-BE49-F238E27FC236}">
                  <a16:creationId xmlns:a16="http://schemas.microsoft.com/office/drawing/2014/main" id="{00000000-0008-0000-1200-000001D8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xdr:twoCellAnchor editAs="oneCell">
    <xdr:from>
      <xdr:col>1</xdr:col>
      <xdr:colOff>729343</xdr:colOff>
      <xdr:row>1</xdr:row>
      <xdr:rowOff>43543</xdr:rowOff>
    </xdr:from>
    <xdr:to>
      <xdr:col>1</xdr:col>
      <xdr:colOff>1808429</xdr:colOff>
      <xdr:row>4</xdr:row>
      <xdr:rowOff>18769</xdr:rowOff>
    </xdr:to>
    <xdr:pic>
      <xdr:nvPicPr>
        <xdr:cNvPr id="2" name="Picture 1">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1"/>
        <a:stretch>
          <a:fillRect/>
        </a:stretch>
      </xdr:blipFill>
      <xdr:spPr>
        <a:xfrm>
          <a:off x="1458686" y="413657"/>
          <a:ext cx="1079086" cy="530398"/>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47625</xdr:colOff>
      <xdr:row>56</xdr:row>
      <xdr:rowOff>190500</xdr:rowOff>
    </xdr:from>
    <xdr:to>
      <xdr:col>10</xdr:col>
      <xdr:colOff>647700</xdr:colOff>
      <xdr:row>75</xdr:row>
      <xdr:rowOff>152400</xdr:rowOff>
    </xdr:to>
    <xdr:graphicFrame macro="">
      <xdr:nvGraphicFramePr>
        <xdr:cNvPr id="2" name="Chart 1">
          <a:extLst>
            <a:ext uri="{FF2B5EF4-FFF2-40B4-BE49-F238E27FC236}">
              <a16:creationId xmlns:a16="http://schemas.microsoft.com/office/drawing/2014/main" id="{00000000-0008-0000-1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495300</xdr:colOff>
      <xdr:row>16</xdr:row>
      <xdr:rowOff>38100</xdr:rowOff>
    </xdr:from>
    <xdr:to>
      <xdr:col>11</xdr:col>
      <xdr:colOff>419100</xdr:colOff>
      <xdr:row>27</xdr:row>
      <xdr:rowOff>87630</xdr:rowOff>
    </xdr:to>
    <xdr:pic>
      <xdr:nvPicPr>
        <xdr:cNvPr id="4" name="Picture 5">
          <a:extLst>
            <a:ext uri="{FF2B5EF4-FFF2-40B4-BE49-F238E27FC236}">
              <a16:creationId xmlns:a16="http://schemas.microsoft.com/office/drawing/2014/main" id="{00000000-0008-0000-1D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286375" y="2400300"/>
          <a:ext cx="1809750" cy="1950720"/>
        </a:xfrm>
        <a:prstGeom prst="rect">
          <a:avLst/>
        </a:prstGeom>
        <a:noFill/>
        <a:ln w="1">
          <a:noFill/>
          <a:miter lim="800000"/>
          <a:headEnd/>
          <a:tailEnd/>
        </a:ln>
        <a:effectLst/>
      </xdr:spPr>
    </xdr:pic>
    <xdr:clientData/>
  </xdr:twoCellAnchor>
  <xdr:twoCellAnchor editAs="oneCell">
    <xdr:from>
      <xdr:col>8</xdr:col>
      <xdr:colOff>523875</xdr:colOff>
      <xdr:row>45</xdr:row>
      <xdr:rowOff>133350</xdr:rowOff>
    </xdr:from>
    <xdr:to>
      <xdr:col>11</xdr:col>
      <xdr:colOff>430530</xdr:colOff>
      <xdr:row>57</xdr:row>
      <xdr:rowOff>11430</xdr:rowOff>
    </xdr:to>
    <xdr:pic>
      <xdr:nvPicPr>
        <xdr:cNvPr id="5" name="Picture 8">
          <a:extLst>
            <a:ext uri="{FF2B5EF4-FFF2-40B4-BE49-F238E27FC236}">
              <a16:creationId xmlns:a16="http://schemas.microsoft.com/office/drawing/2014/main" id="{00000000-0008-0000-1D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5313045" y="7463790"/>
          <a:ext cx="1809750" cy="1954530"/>
        </a:xfrm>
        <a:prstGeom prst="rect">
          <a:avLst/>
        </a:prstGeom>
        <a:noFill/>
        <a:ln w="1">
          <a:noFill/>
          <a:miter lim="800000"/>
          <a:headEnd/>
          <a:tailEnd/>
        </a:ln>
        <a:effectLst/>
      </xdr:spPr>
    </xdr:pic>
    <xdr:clientData/>
  </xdr:twoCellAnchor>
  <xdr:twoCellAnchor editAs="oneCell">
    <xdr:from>
      <xdr:col>1</xdr:col>
      <xdr:colOff>533400</xdr:colOff>
      <xdr:row>16</xdr:row>
      <xdr:rowOff>0</xdr:rowOff>
    </xdr:from>
    <xdr:to>
      <xdr:col>4</xdr:col>
      <xdr:colOff>430530</xdr:colOff>
      <xdr:row>27</xdr:row>
      <xdr:rowOff>87630</xdr:rowOff>
    </xdr:to>
    <xdr:pic>
      <xdr:nvPicPr>
        <xdr:cNvPr id="6" name="Picture 15">
          <a:extLst>
            <a:ext uri="{FF2B5EF4-FFF2-40B4-BE49-F238E27FC236}">
              <a16:creationId xmlns:a16="http://schemas.microsoft.com/office/drawing/2014/main" id="{00000000-0008-0000-1D00-000006000000}"/>
            </a:ext>
          </a:extLst>
        </xdr:cNvPr>
        <xdr:cNvPicPr>
          <a:picLocks noChangeAspect="1" noChangeArrowheads="1"/>
        </xdr:cNvPicPr>
      </xdr:nvPicPr>
      <xdr:blipFill>
        <a:blip xmlns:r="http://schemas.openxmlformats.org/officeDocument/2006/relationships" r:embed="rId3"/>
        <a:srcRect/>
        <a:stretch>
          <a:fillRect/>
        </a:stretch>
      </xdr:blipFill>
      <xdr:spPr bwMode="auto">
        <a:xfrm>
          <a:off x="923925" y="2362200"/>
          <a:ext cx="1798320" cy="1973580"/>
        </a:xfrm>
        <a:prstGeom prst="rect">
          <a:avLst/>
        </a:prstGeom>
        <a:noFill/>
        <a:ln w="1">
          <a:noFill/>
          <a:miter lim="800000"/>
          <a:headEnd/>
          <a:tailEnd/>
        </a:ln>
        <a:effectLst/>
      </xdr:spPr>
    </xdr:pic>
    <xdr:clientData/>
  </xdr:twoCellAnchor>
  <xdr:twoCellAnchor editAs="oneCell">
    <xdr:from>
      <xdr:col>5</xdr:col>
      <xdr:colOff>228600</xdr:colOff>
      <xdr:row>16</xdr:row>
      <xdr:rowOff>47625</xdr:rowOff>
    </xdr:from>
    <xdr:to>
      <xdr:col>8</xdr:col>
      <xdr:colOff>87630</xdr:colOff>
      <xdr:row>27</xdr:row>
      <xdr:rowOff>87630</xdr:rowOff>
    </xdr:to>
    <xdr:pic>
      <xdr:nvPicPr>
        <xdr:cNvPr id="7" name="Picture 16">
          <a:extLst>
            <a:ext uri="{FF2B5EF4-FFF2-40B4-BE49-F238E27FC236}">
              <a16:creationId xmlns:a16="http://schemas.microsoft.com/office/drawing/2014/main" id="{00000000-0008-0000-1D00-000007000000}"/>
            </a:ext>
          </a:extLst>
        </xdr:cNvPr>
        <xdr:cNvPicPr>
          <a:picLocks noChangeAspect="1" noChangeArrowheads="1"/>
        </xdr:cNvPicPr>
      </xdr:nvPicPr>
      <xdr:blipFill>
        <a:blip xmlns:r="http://schemas.openxmlformats.org/officeDocument/2006/relationships" r:embed="rId4"/>
        <a:srcRect/>
        <a:stretch>
          <a:fillRect/>
        </a:stretch>
      </xdr:blipFill>
      <xdr:spPr bwMode="auto">
        <a:xfrm>
          <a:off x="3133725" y="2411730"/>
          <a:ext cx="1760220" cy="1939290"/>
        </a:xfrm>
        <a:prstGeom prst="rect">
          <a:avLst/>
        </a:prstGeom>
        <a:noFill/>
        <a:ln w="1">
          <a:noFill/>
          <a:miter lim="800000"/>
          <a:headEnd/>
          <a:tailEnd/>
        </a:ln>
        <a:effectLst/>
      </xdr:spPr>
    </xdr:pic>
    <xdr:clientData/>
  </xdr:twoCellAnchor>
  <xdr:twoCellAnchor editAs="oneCell">
    <xdr:from>
      <xdr:col>1</xdr:col>
      <xdr:colOff>523875</xdr:colOff>
      <xdr:row>45</xdr:row>
      <xdr:rowOff>114300</xdr:rowOff>
    </xdr:from>
    <xdr:to>
      <xdr:col>4</xdr:col>
      <xdr:colOff>419100</xdr:colOff>
      <xdr:row>57</xdr:row>
      <xdr:rowOff>11430</xdr:rowOff>
    </xdr:to>
    <xdr:pic>
      <xdr:nvPicPr>
        <xdr:cNvPr id="8" name="Picture 17">
          <a:extLst>
            <a:ext uri="{FF2B5EF4-FFF2-40B4-BE49-F238E27FC236}">
              <a16:creationId xmlns:a16="http://schemas.microsoft.com/office/drawing/2014/main" id="{00000000-0008-0000-1D00-000008000000}"/>
            </a:ext>
          </a:extLst>
        </xdr:cNvPr>
        <xdr:cNvPicPr>
          <a:picLocks noChangeAspect="1" noChangeArrowheads="1"/>
        </xdr:cNvPicPr>
      </xdr:nvPicPr>
      <xdr:blipFill>
        <a:blip xmlns:r="http://schemas.openxmlformats.org/officeDocument/2006/relationships" r:embed="rId5"/>
        <a:srcRect/>
        <a:stretch>
          <a:fillRect/>
        </a:stretch>
      </xdr:blipFill>
      <xdr:spPr bwMode="auto">
        <a:xfrm>
          <a:off x="912495" y="7448550"/>
          <a:ext cx="1783080" cy="1969770"/>
        </a:xfrm>
        <a:prstGeom prst="rect">
          <a:avLst/>
        </a:prstGeom>
        <a:noFill/>
        <a:ln w="1">
          <a:noFill/>
          <a:miter lim="800000"/>
          <a:headEnd/>
          <a:tailEnd/>
        </a:ln>
        <a:effectLst/>
      </xdr:spPr>
    </xdr:pic>
    <xdr:clientData/>
  </xdr:twoCellAnchor>
  <xdr:twoCellAnchor editAs="oneCell">
    <xdr:from>
      <xdr:col>5</xdr:col>
      <xdr:colOff>238125</xdr:colOff>
      <xdr:row>45</xdr:row>
      <xdr:rowOff>114300</xdr:rowOff>
    </xdr:from>
    <xdr:to>
      <xdr:col>8</xdr:col>
      <xdr:colOff>152400</xdr:colOff>
      <xdr:row>57</xdr:row>
      <xdr:rowOff>11430</xdr:rowOff>
    </xdr:to>
    <xdr:pic>
      <xdr:nvPicPr>
        <xdr:cNvPr id="9" name="Picture 18">
          <a:extLst>
            <a:ext uri="{FF2B5EF4-FFF2-40B4-BE49-F238E27FC236}">
              <a16:creationId xmlns:a16="http://schemas.microsoft.com/office/drawing/2014/main" id="{00000000-0008-0000-1D00-000009000000}"/>
            </a:ext>
          </a:extLst>
        </xdr:cNvPr>
        <xdr:cNvPicPr>
          <a:picLocks noChangeAspect="1" noChangeArrowheads="1"/>
        </xdr:cNvPicPr>
      </xdr:nvPicPr>
      <xdr:blipFill>
        <a:blip xmlns:r="http://schemas.openxmlformats.org/officeDocument/2006/relationships" r:embed="rId5"/>
        <a:srcRect/>
        <a:stretch>
          <a:fillRect/>
        </a:stretch>
      </xdr:blipFill>
      <xdr:spPr bwMode="auto">
        <a:xfrm>
          <a:off x="3145155" y="7448550"/>
          <a:ext cx="1798320" cy="1969770"/>
        </a:xfrm>
        <a:prstGeom prst="rect">
          <a:avLst/>
        </a:prstGeom>
        <a:noFill/>
        <a:ln w="1">
          <a:noFill/>
          <a:miter lim="800000"/>
          <a:headEnd/>
          <a:tailEnd/>
        </a:ln>
        <a:effectLst/>
      </xdr:spPr>
    </xdr:pic>
    <xdr:clientData/>
  </xdr:twoCellAnchor>
  <xdr:twoCellAnchor editAs="oneCell">
    <xdr:from>
      <xdr:col>18</xdr:col>
      <xdr:colOff>323850</xdr:colOff>
      <xdr:row>2</xdr:row>
      <xdr:rowOff>114300</xdr:rowOff>
    </xdr:from>
    <xdr:to>
      <xdr:col>19</xdr:col>
      <xdr:colOff>0</xdr:colOff>
      <xdr:row>6</xdr:row>
      <xdr:rowOff>11430</xdr:rowOff>
    </xdr:to>
    <xdr:pic>
      <xdr:nvPicPr>
        <xdr:cNvPr id="16" name="Picture 3" descr="New Picture.png">
          <a:extLst>
            <a:ext uri="{FF2B5EF4-FFF2-40B4-BE49-F238E27FC236}">
              <a16:creationId xmlns:a16="http://schemas.microsoft.com/office/drawing/2014/main" id="{00000000-0008-0000-1D00-000010000000}"/>
            </a:ext>
          </a:extLst>
        </xdr:cNvPr>
        <xdr:cNvPicPr>
          <a:picLocks noChangeAspect="1"/>
        </xdr:cNvPicPr>
      </xdr:nvPicPr>
      <xdr:blipFill>
        <a:blip xmlns:r="http://schemas.openxmlformats.org/officeDocument/2006/relationships" r:embed="rId6"/>
        <a:srcRect/>
        <a:stretch>
          <a:fillRect/>
        </a:stretch>
      </xdr:blipFill>
      <xdr:spPr bwMode="auto">
        <a:xfrm>
          <a:off x="12106275" y="276225"/>
          <a:ext cx="1110615" cy="531495"/>
        </a:xfrm>
        <a:prstGeom prst="rect">
          <a:avLst/>
        </a:prstGeom>
        <a:noFill/>
        <a:ln w="9525">
          <a:noFill/>
          <a:miter lim="800000"/>
          <a:headEnd/>
          <a:tailEnd/>
        </a:ln>
      </xdr:spPr>
    </xdr:pic>
    <xdr:clientData/>
  </xdr:twoCellAnchor>
  <xdr:twoCellAnchor editAs="oneCell">
    <xdr:from>
      <xdr:col>1</xdr:col>
      <xdr:colOff>371475</xdr:colOff>
      <xdr:row>60</xdr:row>
      <xdr:rowOff>47625</xdr:rowOff>
    </xdr:from>
    <xdr:to>
      <xdr:col>8</xdr:col>
      <xdr:colOff>11430</xdr:colOff>
      <xdr:row>72</xdr:row>
      <xdr:rowOff>53340</xdr:rowOff>
    </xdr:to>
    <xdr:pic>
      <xdr:nvPicPr>
        <xdr:cNvPr id="17" name="Picture 28" descr="JIA-Cargo facilities">
          <a:extLst>
            <a:ext uri="{FF2B5EF4-FFF2-40B4-BE49-F238E27FC236}">
              <a16:creationId xmlns:a16="http://schemas.microsoft.com/office/drawing/2014/main" id="{00000000-0008-0000-1D00-000011000000}"/>
            </a:ext>
          </a:extLst>
        </xdr:cNvPr>
        <xdr:cNvPicPr>
          <a:picLocks noChangeAspect="1" noChangeArrowheads="1"/>
        </xdr:cNvPicPr>
      </xdr:nvPicPr>
      <xdr:blipFill>
        <a:blip xmlns:r="http://schemas.openxmlformats.org/officeDocument/2006/relationships" r:embed="rId7"/>
        <a:srcRect/>
        <a:stretch>
          <a:fillRect/>
        </a:stretch>
      </xdr:blipFill>
      <xdr:spPr bwMode="auto">
        <a:xfrm>
          <a:off x="760095" y="9955530"/>
          <a:ext cx="4057650" cy="2061210"/>
        </a:xfrm>
        <a:prstGeom prst="rect">
          <a:avLst/>
        </a:prstGeom>
        <a:noFill/>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438150</xdr:colOff>
      <xdr:row>2</xdr:row>
      <xdr:rowOff>133350</xdr:rowOff>
    </xdr:from>
    <xdr:to>
      <xdr:col>30</xdr:col>
      <xdr:colOff>891540</xdr:colOff>
      <xdr:row>8</xdr:row>
      <xdr:rowOff>2721</xdr:rowOff>
    </xdr:to>
    <xdr:pic>
      <xdr:nvPicPr>
        <xdr:cNvPr id="2" name="Picture 3" descr="New Picture.png">
          <a:extLst>
            <a:ext uri="{FF2B5EF4-FFF2-40B4-BE49-F238E27FC236}">
              <a16:creationId xmlns:a16="http://schemas.microsoft.com/office/drawing/2014/main" id="{00000000-0008-0000-1E00-000002000000}"/>
            </a:ext>
          </a:extLst>
        </xdr:cNvPr>
        <xdr:cNvPicPr>
          <a:picLocks noChangeAspect="1"/>
        </xdr:cNvPicPr>
      </xdr:nvPicPr>
      <xdr:blipFill>
        <a:blip xmlns:r="http://schemas.openxmlformats.org/officeDocument/2006/relationships" r:embed="rId1"/>
        <a:srcRect/>
        <a:stretch>
          <a:fillRect/>
        </a:stretch>
      </xdr:blipFill>
      <xdr:spPr bwMode="auto">
        <a:xfrm>
          <a:off x="15813405" y="300990"/>
          <a:ext cx="1089660" cy="537210"/>
        </a:xfrm>
        <a:prstGeom prst="rect">
          <a:avLst/>
        </a:prstGeom>
        <a:noFill/>
        <a:ln w="9525">
          <a:noFill/>
          <a:miter lim="800000"/>
          <a:headEnd/>
          <a:tailEn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42</xdr:col>
      <xdr:colOff>590550</xdr:colOff>
      <xdr:row>2</xdr:row>
      <xdr:rowOff>76200</xdr:rowOff>
    </xdr:from>
    <xdr:to>
      <xdr:col>44</xdr:col>
      <xdr:colOff>114300</xdr:colOff>
      <xdr:row>5</xdr:row>
      <xdr:rowOff>85725</xdr:rowOff>
    </xdr:to>
    <xdr:pic>
      <xdr:nvPicPr>
        <xdr:cNvPr id="2" name="Picture 3" descr="New Picture.png">
          <a:extLst>
            <a:ext uri="{FF2B5EF4-FFF2-40B4-BE49-F238E27FC236}">
              <a16:creationId xmlns:a16="http://schemas.microsoft.com/office/drawing/2014/main" id="{00000000-0008-0000-1F00-000002000000}"/>
            </a:ext>
          </a:extLst>
        </xdr:cNvPr>
        <xdr:cNvPicPr>
          <a:picLocks noChangeAspect="1"/>
        </xdr:cNvPicPr>
      </xdr:nvPicPr>
      <xdr:blipFill>
        <a:blip xmlns:r="http://schemas.openxmlformats.org/officeDocument/2006/relationships" r:embed="rId1"/>
        <a:srcRect/>
        <a:stretch>
          <a:fillRect/>
        </a:stretch>
      </xdr:blipFill>
      <xdr:spPr bwMode="auto">
        <a:xfrm>
          <a:off x="19162395" y="243840"/>
          <a:ext cx="1097280" cy="537210"/>
        </a:xfrm>
        <a:prstGeom prst="rect">
          <a:avLst/>
        </a:prstGeom>
        <a:noFill/>
        <a:ln w="9525">
          <a:noFill/>
          <a:miter lim="800000"/>
          <a:headEnd/>
          <a:tailEn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9</xdr:col>
      <xdr:colOff>657225</xdr:colOff>
      <xdr:row>2</xdr:row>
      <xdr:rowOff>161925</xdr:rowOff>
    </xdr:from>
    <xdr:to>
      <xdr:col>10</xdr:col>
      <xdr:colOff>314325</xdr:colOff>
      <xdr:row>5</xdr:row>
      <xdr:rowOff>47625</xdr:rowOff>
    </xdr:to>
    <xdr:pic>
      <xdr:nvPicPr>
        <xdr:cNvPr id="2" name="Picture 3" descr="New Picture.png">
          <a:extLst>
            <a:ext uri="{FF2B5EF4-FFF2-40B4-BE49-F238E27FC236}">
              <a16:creationId xmlns:a16="http://schemas.microsoft.com/office/drawing/2014/main" id="{00000000-0008-0000-20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7317105" y="325755"/>
          <a:ext cx="870585" cy="422910"/>
        </a:xfrm>
        <a:prstGeom prst="rect">
          <a:avLst/>
        </a:prstGeom>
        <a:noFill/>
        <a:ln w="9525">
          <a:noFill/>
          <a:miter lim="800000"/>
          <a:headEnd/>
          <a:tailEn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39</xdr:col>
      <xdr:colOff>28575</xdr:colOff>
      <xdr:row>2</xdr:row>
      <xdr:rowOff>85725</xdr:rowOff>
    </xdr:from>
    <xdr:to>
      <xdr:col>42</xdr:col>
      <xdr:colOff>200025</xdr:colOff>
      <xdr:row>6</xdr:row>
      <xdr:rowOff>0</xdr:rowOff>
    </xdr:to>
    <xdr:pic>
      <xdr:nvPicPr>
        <xdr:cNvPr id="2" name="Picture 3" descr="New Picture.png">
          <a:extLst>
            <a:ext uri="{FF2B5EF4-FFF2-40B4-BE49-F238E27FC236}">
              <a16:creationId xmlns:a16="http://schemas.microsoft.com/office/drawing/2014/main" id="{00000000-0008-0000-2100-000002000000}"/>
            </a:ext>
          </a:extLst>
        </xdr:cNvPr>
        <xdr:cNvPicPr>
          <a:picLocks noChangeAspect="1"/>
        </xdr:cNvPicPr>
      </xdr:nvPicPr>
      <xdr:blipFill>
        <a:blip xmlns:r="http://schemas.openxmlformats.org/officeDocument/2006/relationships" r:embed="rId1"/>
        <a:srcRect/>
        <a:stretch>
          <a:fillRect/>
        </a:stretch>
      </xdr:blipFill>
      <xdr:spPr bwMode="auto">
        <a:xfrm>
          <a:off x="11913870" y="249555"/>
          <a:ext cx="1089660" cy="533400"/>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39</xdr:col>
      <xdr:colOff>19050</xdr:colOff>
      <xdr:row>2</xdr:row>
      <xdr:rowOff>85725</xdr:rowOff>
    </xdr:from>
    <xdr:to>
      <xdr:col>42</xdr:col>
      <xdr:colOff>190500</xdr:colOff>
      <xdr:row>6</xdr:row>
      <xdr:rowOff>0</xdr:rowOff>
    </xdr:to>
    <xdr:pic>
      <xdr:nvPicPr>
        <xdr:cNvPr id="2" name="Picture 3" descr="New Picture.png">
          <a:extLst>
            <a:ext uri="{FF2B5EF4-FFF2-40B4-BE49-F238E27FC236}">
              <a16:creationId xmlns:a16="http://schemas.microsoft.com/office/drawing/2014/main" id="{00000000-0008-0000-2200-000002000000}"/>
            </a:ext>
          </a:extLst>
        </xdr:cNvPr>
        <xdr:cNvPicPr>
          <a:picLocks noChangeAspect="1"/>
        </xdr:cNvPicPr>
      </xdr:nvPicPr>
      <xdr:blipFill>
        <a:blip xmlns:r="http://schemas.openxmlformats.org/officeDocument/2006/relationships" r:embed="rId1"/>
        <a:srcRect/>
        <a:stretch>
          <a:fillRect/>
        </a:stretch>
      </xdr:blipFill>
      <xdr:spPr bwMode="auto">
        <a:xfrm>
          <a:off x="11464290" y="249555"/>
          <a:ext cx="1089660" cy="533400"/>
        </a:xfrm>
        <a:prstGeom prst="rect">
          <a:avLst/>
        </a:prstGeom>
        <a:noFill/>
        <a:ln w="9525">
          <a:noFill/>
          <a:miter lim="800000"/>
          <a:headEnd/>
          <a:tailEnd/>
        </a:ln>
      </xdr:spPr>
    </xdr:pic>
    <xdr:clientData/>
  </xdr:twoCellAnchor>
  <xdr:twoCellAnchor editAs="oneCell">
    <xdr:from>
      <xdr:col>10</xdr:col>
      <xdr:colOff>180975</xdr:colOff>
      <xdr:row>16</xdr:row>
      <xdr:rowOff>123825</xdr:rowOff>
    </xdr:from>
    <xdr:to>
      <xdr:col>29</xdr:col>
      <xdr:colOff>209550</xdr:colOff>
      <xdr:row>44</xdr:row>
      <xdr:rowOff>57150</xdr:rowOff>
    </xdr:to>
    <xdr:pic>
      <xdr:nvPicPr>
        <xdr:cNvPr id="5" name="Picture 22" descr="291_Page_17">
          <a:extLst>
            <a:ext uri="{FF2B5EF4-FFF2-40B4-BE49-F238E27FC236}">
              <a16:creationId xmlns:a16="http://schemas.microsoft.com/office/drawing/2014/main" id="{00000000-0008-0000-22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027045" y="5726430"/>
          <a:ext cx="5819775" cy="4772025"/>
        </a:xfrm>
        <a:prstGeom prst="rect">
          <a:avLst/>
        </a:prstGeom>
        <a:noFill/>
        <a:ln w="9525">
          <a:solidFill>
            <a:srgbClr val="000000"/>
          </a:solidFill>
          <a:miter lim="800000"/>
          <a:headEnd/>
          <a:tailEnd/>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20</xdr:col>
      <xdr:colOff>428625</xdr:colOff>
      <xdr:row>2</xdr:row>
      <xdr:rowOff>114300</xdr:rowOff>
    </xdr:from>
    <xdr:to>
      <xdr:col>23</xdr:col>
      <xdr:colOff>38100</xdr:colOff>
      <xdr:row>6</xdr:row>
      <xdr:rowOff>0</xdr:rowOff>
    </xdr:to>
    <xdr:pic>
      <xdr:nvPicPr>
        <xdr:cNvPr id="2" name="Picture 3" descr="New Picture.png">
          <a:extLst>
            <a:ext uri="{FF2B5EF4-FFF2-40B4-BE49-F238E27FC236}">
              <a16:creationId xmlns:a16="http://schemas.microsoft.com/office/drawing/2014/main" id="{00000000-0008-0000-2300-000002000000}"/>
            </a:ext>
          </a:extLst>
        </xdr:cNvPr>
        <xdr:cNvPicPr>
          <a:picLocks noChangeAspect="1"/>
        </xdr:cNvPicPr>
      </xdr:nvPicPr>
      <xdr:blipFill>
        <a:blip xmlns:r="http://schemas.openxmlformats.org/officeDocument/2006/relationships" r:embed="rId1"/>
        <a:srcRect/>
        <a:stretch>
          <a:fillRect/>
        </a:stretch>
      </xdr:blipFill>
      <xdr:spPr bwMode="auto">
        <a:xfrm>
          <a:off x="14289405" y="276225"/>
          <a:ext cx="1110615" cy="541020"/>
        </a:xfrm>
        <a:prstGeom prst="rect">
          <a:avLst/>
        </a:prstGeom>
        <a:noFill/>
        <a:ln w="9525">
          <a:noFill/>
          <a:miter lim="800000"/>
          <a:headEnd/>
          <a:tailEnd/>
        </a:ln>
      </xdr:spPr>
    </xdr:pic>
    <xdr:clientData/>
  </xdr:twoCellAnchor>
  <xdr:twoCellAnchor editAs="absolute">
    <xdr:from>
      <xdr:col>0</xdr:col>
      <xdr:colOff>171450</xdr:colOff>
      <xdr:row>38</xdr:row>
      <xdr:rowOff>8164</xdr:rowOff>
    </xdr:from>
    <xdr:to>
      <xdr:col>12</xdr:col>
      <xdr:colOff>285750</xdr:colOff>
      <xdr:row>55</xdr:row>
      <xdr:rowOff>84365</xdr:rowOff>
    </xdr:to>
    <xdr:pic>
      <xdr:nvPicPr>
        <xdr:cNvPr id="4" name="Picture 32" descr="JIA-stills-0006">
          <a:extLst>
            <a:ext uri="{FF2B5EF4-FFF2-40B4-BE49-F238E27FC236}">
              <a16:creationId xmlns:a16="http://schemas.microsoft.com/office/drawing/2014/main" id="{00000000-0008-0000-2300-000004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179070" y="5974080"/>
          <a:ext cx="7419975" cy="3006090"/>
        </a:xfrm>
        <a:prstGeom prst="rect">
          <a:avLst/>
        </a:prstGeom>
        <a:noFill/>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32</xdr:col>
      <xdr:colOff>47625</xdr:colOff>
      <xdr:row>2</xdr:row>
      <xdr:rowOff>38100</xdr:rowOff>
    </xdr:from>
    <xdr:to>
      <xdr:col>33</xdr:col>
      <xdr:colOff>447675</xdr:colOff>
      <xdr:row>5</xdr:row>
      <xdr:rowOff>28575</xdr:rowOff>
    </xdr:to>
    <xdr:pic>
      <xdr:nvPicPr>
        <xdr:cNvPr id="2" name="Picture 3" descr="New Picture.png">
          <a:extLst>
            <a:ext uri="{FF2B5EF4-FFF2-40B4-BE49-F238E27FC236}">
              <a16:creationId xmlns:a16="http://schemas.microsoft.com/office/drawing/2014/main" id="{00000000-0008-0000-2400-000002000000}"/>
            </a:ext>
          </a:extLst>
        </xdr:cNvPr>
        <xdr:cNvPicPr>
          <a:picLocks noChangeAspect="1"/>
        </xdr:cNvPicPr>
      </xdr:nvPicPr>
      <xdr:blipFill>
        <a:blip xmlns:r="http://schemas.openxmlformats.org/officeDocument/2006/relationships" r:embed="rId1"/>
        <a:srcRect/>
        <a:stretch>
          <a:fillRect/>
        </a:stretch>
      </xdr:blipFill>
      <xdr:spPr bwMode="auto">
        <a:xfrm>
          <a:off x="11875294" y="195739"/>
          <a:ext cx="1092518" cy="530067"/>
        </a:xfrm>
        <a:prstGeom prst="rect">
          <a:avLst/>
        </a:prstGeom>
        <a:noFill/>
        <a:ln w="9525">
          <a:noFill/>
          <a:miter lim="800000"/>
          <a:headEnd/>
          <a:tailEnd/>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33</xdr:col>
      <xdr:colOff>304800</xdr:colOff>
      <xdr:row>2</xdr:row>
      <xdr:rowOff>28575</xdr:rowOff>
    </xdr:from>
    <xdr:to>
      <xdr:col>35</xdr:col>
      <xdr:colOff>133350</xdr:colOff>
      <xdr:row>5</xdr:row>
      <xdr:rowOff>9525</xdr:rowOff>
    </xdr:to>
    <xdr:pic>
      <xdr:nvPicPr>
        <xdr:cNvPr id="2" name="Picture 3" descr="New Picture.png">
          <a:extLst>
            <a:ext uri="{FF2B5EF4-FFF2-40B4-BE49-F238E27FC236}">
              <a16:creationId xmlns:a16="http://schemas.microsoft.com/office/drawing/2014/main" id="{00000000-0008-0000-2500-000002000000}"/>
            </a:ext>
          </a:extLst>
        </xdr:cNvPr>
        <xdr:cNvPicPr>
          <a:picLocks noChangeAspect="1"/>
        </xdr:cNvPicPr>
      </xdr:nvPicPr>
      <xdr:blipFill>
        <a:blip xmlns:r="http://schemas.openxmlformats.org/officeDocument/2006/relationships" r:embed="rId1"/>
        <a:srcRect/>
        <a:stretch>
          <a:fillRect/>
        </a:stretch>
      </xdr:blipFill>
      <xdr:spPr bwMode="auto">
        <a:xfrm>
          <a:off x="12075795" y="198120"/>
          <a:ext cx="1093470" cy="527685"/>
        </a:xfrm>
        <a:prstGeom prst="rect">
          <a:avLst/>
        </a:prstGeom>
        <a:noFill/>
        <a:ln w="9525">
          <a:noFill/>
          <a:miter lim="800000"/>
          <a:headEnd/>
          <a:tailEnd/>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9</xdr:col>
      <xdr:colOff>657225</xdr:colOff>
      <xdr:row>2</xdr:row>
      <xdr:rowOff>161925</xdr:rowOff>
    </xdr:from>
    <xdr:to>
      <xdr:col>10</xdr:col>
      <xdr:colOff>320040</xdr:colOff>
      <xdr:row>5</xdr:row>
      <xdr:rowOff>53340</xdr:rowOff>
    </xdr:to>
    <xdr:pic>
      <xdr:nvPicPr>
        <xdr:cNvPr id="2" name="Picture 3" descr="New Picture.png">
          <a:extLst>
            <a:ext uri="{FF2B5EF4-FFF2-40B4-BE49-F238E27FC236}">
              <a16:creationId xmlns:a16="http://schemas.microsoft.com/office/drawing/2014/main" id="{00000000-0008-0000-26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7840980" y="325755"/>
          <a:ext cx="870585" cy="422910"/>
        </a:xfrm>
        <a:prstGeom prst="rect">
          <a:avLst/>
        </a:prstGeom>
        <a:noFill/>
        <a:ln w="9525">
          <a:noFill/>
          <a:miter lim="800000"/>
          <a:headEnd/>
          <a:tailEnd/>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39</xdr:col>
      <xdr:colOff>57150</xdr:colOff>
      <xdr:row>2</xdr:row>
      <xdr:rowOff>95250</xdr:rowOff>
    </xdr:from>
    <xdr:to>
      <xdr:col>42</xdr:col>
      <xdr:colOff>228600</xdr:colOff>
      <xdr:row>6</xdr:row>
      <xdr:rowOff>0</xdr:rowOff>
    </xdr:to>
    <xdr:pic>
      <xdr:nvPicPr>
        <xdr:cNvPr id="2" name="Picture 3" descr="New Picture.png">
          <a:extLst>
            <a:ext uri="{FF2B5EF4-FFF2-40B4-BE49-F238E27FC236}">
              <a16:creationId xmlns:a16="http://schemas.microsoft.com/office/drawing/2014/main" id="{00000000-0008-0000-2700-000002000000}"/>
            </a:ext>
          </a:extLst>
        </xdr:cNvPr>
        <xdr:cNvPicPr>
          <a:picLocks noChangeAspect="1"/>
        </xdr:cNvPicPr>
      </xdr:nvPicPr>
      <xdr:blipFill>
        <a:blip xmlns:r="http://schemas.openxmlformats.org/officeDocument/2006/relationships" r:embed="rId1"/>
        <a:srcRect/>
        <a:stretch>
          <a:fillRect/>
        </a:stretch>
      </xdr:blipFill>
      <xdr:spPr bwMode="auto">
        <a:xfrm>
          <a:off x="11835765" y="253365"/>
          <a:ext cx="1089660" cy="537210"/>
        </a:xfrm>
        <a:prstGeom prst="rect">
          <a:avLst/>
        </a:prstGeom>
        <a:noFill/>
        <a:ln w="9525">
          <a:noFill/>
          <a:miter lim="800000"/>
          <a:headEnd/>
          <a:tailEnd/>
        </a:ln>
      </xdr:spPr>
    </xdr:pic>
    <xdr:clientData/>
  </xdr:twoCellAnchor>
  <xdr:twoCellAnchor editAs="oneCell">
    <xdr:from>
      <xdr:col>14</xdr:col>
      <xdr:colOff>0</xdr:colOff>
      <xdr:row>13</xdr:row>
      <xdr:rowOff>0</xdr:rowOff>
    </xdr:from>
    <xdr:to>
      <xdr:col>31</xdr:col>
      <xdr:colOff>0</xdr:colOff>
      <xdr:row>29</xdr:row>
      <xdr:rowOff>85725</xdr:rowOff>
    </xdr:to>
    <xdr:pic>
      <xdr:nvPicPr>
        <xdr:cNvPr id="4" name="Picture 3">
          <a:extLst>
            <a:ext uri="{FF2B5EF4-FFF2-40B4-BE49-F238E27FC236}">
              <a16:creationId xmlns:a16="http://schemas.microsoft.com/office/drawing/2014/main" id="{00000000-0008-0000-2700-000004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067175" y="1866900"/>
          <a:ext cx="5276850" cy="2811780"/>
        </a:xfrm>
        <a:prstGeom prst="rect">
          <a:avLst/>
        </a:prstGeom>
        <a:noFill/>
        <a:ln w="1">
          <a:noFill/>
          <a:miter lim="800000"/>
          <a:headEnd/>
          <a:tailEnd/>
        </a:ln>
        <a:effec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39</xdr:col>
      <xdr:colOff>57150</xdr:colOff>
      <xdr:row>2</xdr:row>
      <xdr:rowOff>95250</xdr:rowOff>
    </xdr:from>
    <xdr:to>
      <xdr:col>42</xdr:col>
      <xdr:colOff>228600</xdr:colOff>
      <xdr:row>6</xdr:row>
      <xdr:rowOff>0</xdr:rowOff>
    </xdr:to>
    <xdr:pic>
      <xdr:nvPicPr>
        <xdr:cNvPr id="2" name="Picture 3" descr="New Picture.png">
          <a:extLst>
            <a:ext uri="{FF2B5EF4-FFF2-40B4-BE49-F238E27FC236}">
              <a16:creationId xmlns:a16="http://schemas.microsoft.com/office/drawing/2014/main" id="{00000000-0008-0000-2800-000002000000}"/>
            </a:ext>
          </a:extLst>
        </xdr:cNvPr>
        <xdr:cNvPicPr>
          <a:picLocks noChangeAspect="1"/>
        </xdr:cNvPicPr>
      </xdr:nvPicPr>
      <xdr:blipFill>
        <a:blip xmlns:r="http://schemas.openxmlformats.org/officeDocument/2006/relationships" r:embed="rId1"/>
        <a:srcRect/>
        <a:stretch>
          <a:fillRect/>
        </a:stretch>
      </xdr:blipFill>
      <xdr:spPr bwMode="auto">
        <a:xfrm>
          <a:off x="11502390" y="253365"/>
          <a:ext cx="1089660" cy="537210"/>
        </a:xfrm>
        <a:prstGeom prst="rect">
          <a:avLst/>
        </a:prstGeom>
        <a:noFill/>
        <a:ln w="9525">
          <a:noFill/>
          <a:miter lim="800000"/>
          <a:headEnd/>
          <a:tailEnd/>
        </a:ln>
      </xdr:spPr>
    </xdr:pic>
    <xdr:clientData/>
  </xdr:twoCellAnchor>
  <xdr:twoCellAnchor editAs="oneCell">
    <xdr:from>
      <xdr:col>0</xdr:col>
      <xdr:colOff>95250</xdr:colOff>
      <xdr:row>48</xdr:row>
      <xdr:rowOff>114300</xdr:rowOff>
    </xdr:from>
    <xdr:to>
      <xdr:col>36</xdr:col>
      <xdr:colOff>171450</xdr:colOff>
      <xdr:row>54</xdr:row>
      <xdr:rowOff>123825</xdr:rowOff>
    </xdr:to>
    <xdr:pic>
      <xdr:nvPicPr>
        <xdr:cNvPr id="9" name="Picture 12" descr="svg2raster2">
          <a:extLst>
            <a:ext uri="{FF2B5EF4-FFF2-40B4-BE49-F238E27FC236}">
              <a16:creationId xmlns:a16="http://schemas.microsoft.com/office/drawing/2014/main" id="{00000000-0008-0000-28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91440" y="8343900"/>
          <a:ext cx="10610850" cy="1019175"/>
        </a:xfrm>
        <a:prstGeom prst="rect">
          <a:avLst/>
        </a:prstGeom>
        <a:noFill/>
      </xdr:spPr>
    </xdr:pic>
    <xdr:clientData/>
  </xdr:twoCellAnchor>
  <xdr:twoCellAnchor editAs="oneCell">
    <xdr:from>
      <xdr:col>25</xdr:col>
      <xdr:colOff>9525</xdr:colOff>
      <xdr:row>24</xdr:row>
      <xdr:rowOff>47625</xdr:rowOff>
    </xdr:from>
    <xdr:to>
      <xdr:col>32</xdr:col>
      <xdr:colOff>228600</xdr:colOff>
      <xdr:row>28</xdr:row>
      <xdr:rowOff>19050</xdr:rowOff>
    </xdr:to>
    <xdr:pic>
      <xdr:nvPicPr>
        <xdr:cNvPr id="10" name="Picture 14" descr="svg2raster3">
          <a:extLst>
            <a:ext uri="{FF2B5EF4-FFF2-40B4-BE49-F238E27FC236}">
              <a16:creationId xmlns:a16="http://schemas.microsoft.com/office/drawing/2014/main" id="{00000000-0008-0000-2800-00000A000000}"/>
            </a:ext>
          </a:extLst>
        </xdr:cNvPr>
        <xdr:cNvPicPr>
          <a:picLocks noChangeAspect="1" noChangeArrowheads="1"/>
        </xdr:cNvPicPr>
      </xdr:nvPicPr>
      <xdr:blipFill>
        <a:blip xmlns:r="http://schemas.openxmlformats.org/officeDocument/2006/relationships" r:embed="rId3"/>
        <a:srcRect/>
        <a:stretch>
          <a:fillRect/>
        </a:stretch>
      </xdr:blipFill>
      <xdr:spPr bwMode="auto">
        <a:xfrm>
          <a:off x="7421880" y="3735705"/>
          <a:ext cx="2350770" cy="853440"/>
        </a:xfrm>
        <a:prstGeom prst="rect">
          <a:avLst/>
        </a:prstGeom>
        <a:noFill/>
      </xdr:spPr>
    </xdr:pic>
    <xdr:clientData/>
  </xdr:twoCellAnchor>
  <xdr:twoCellAnchor editAs="oneCell">
    <xdr:from>
      <xdr:col>32</xdr:col>
      <xdr:colOff>219075</xdr:colOff>
      <xdr:row>24</xdr:row>
      <xdr:rowOff>47625</xdr:rowOff>
    </xdr:from>
    <xdr:to>
      <xdr:col>39</xdr:col>
      <xdr:colOff>114300</xdr:colOff>
      <xdr:row>28</xdr:row>
      <xdr:rowOff>19050</xdr:rowOff>
    </xdr:to>
    <xdr:pic>
      <xdr:nvPicPr>
        <xdr:cNvPr id="11" name="Picture 15" descr="svg2raster4">
          <a:extLst>
            <a:ext uri="{FF2B5EF4-FFF2-40B4-BE49-F238E27FC236}">
              <a16:creationId xmlns:a16="http://schemas.microsoft.com/office/drawing/2014/main" id="{00000000-0008-0000-2800-00000B000000}"/>
            </a:ext>
          </a:extLst>
        </xdr:cNvPr>
        <xdr:cNvPicPr>
          <a:picLocks noChangeAspect="1" noChangeArrowheads="1"/>
        </xdr:cNvPicPr>
      </xdr:nvPicPr>
      <xdr:blipFill>
        <a:blip xmlns:r="http://schemas.openxmlformats.org/officeDocument/2006/relationships" r:embed="rId4">
          <a:lum bright="70000" contrast="-70000"/>
        </a:blip>
        <a:srcRect/>
        <a:stretch>
          <a:fillRect/>
        </a:stretch>
      </xdr:blipFill>
      <xdr:spPr bwMode="auto">
        <a:xfrm>
          <a:off x="9761220" y="3735705"/>
          <a:ext cx="1802130" cy="853440"/>
        </a:xfrm>
        <a:prstGeom prst="rect">
          <a:avLst/>
        </a:prstGeom>
        <a:noFill/>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19</xdr:col>
      <xdr:colOff>428625</xdr:colOff>
      <xdr:row>2</xdr:row>
      <xdr:rowOff>114300</xdr:rowOff>
    </xdr:from>
    <xdr:to>
      <xdr:col>22</xdr:col>
      <xdr:colOff>190500</xdr:colOff>
      <xdr:row>7</xdr:row>
      <xdr:rowOff>9525</xdr:rowOff>
    </xdr:to>
    <xdr:pic>
      <xdr:nvPicPr>
        <xdr:cNvPr id="2" name="Picture 3" descr="New Picture.png">
          <a:extLst>
            <a:ext uri="{FF2B5EF4-FFF2-40B4-BE49-F238E27FC236}">
              <a16:creationId xmlns:a16="http://schemas.microsoft.com/office/drawing/2014/main" id="{00000000-0008-0000-2900-000002000000}"/>
            </a:ext>
          </a:extLst>
        </xdr:cNvPr>
        <xdr:cNvPicPr>
          <a:picLocks noChangeAspect="1"/>
        </xdr:cNvPicPr>
      </xdr:nvPicPr>
      <xdr:blipFill>
        <a:blip xmlns:r="http://schemas.openxmlformats.org/officeDocument/2006/relationships" r:embed="rId1"/>
        <a:srcRect/>
        <a:stretch>
          <a:fillRect/>
        </a:stretch>
      </xdr:blipFill>
      <xdr:spPr bwMode="auto">
        <a:xfrm>
          <a:off x="14098905" y="276225"/>
          <a:ext cx="1110615" cy="541020"/>
        </a:xfrm>
        <a:prstGeom prst="rect">
          <a:avLst/>
        </a:prstGeom>
        <a:noFill/>
        <a:ln w="9525">
          <a:noFill/>
          <a:miter lim="800000"/>
          <a:headEnd/>
          <a:tailEnd/>
        </a:ln>
      </xdr:spPr>
    </xdr:pic>
    <xdr:clientData/>
  </xdr:twoCellAnchor>
  <xdr:twoCellAnchor editAs="oneCell">
    <xdr:from>
      <xdr:col>0</xdr:col>
      <xdr:colOff>247650</xdr:colOff>
      <xdr:row>36</xdr:row>
      <xdr:rowOff>47625</xdr:rowOff>
    </xdr:from>
    <xdr:to>
      <xdr:col>4</xdr:col>
      <xdr:colOff>304800</xdr:colOff>
      <xdr:row>59</xdr:row>
      <xdr:rowOff>161925</xdr:rowOff>
    </xdr:to>
    <xdr:pic>
      <xdr:nvPicPr>
        <xdr:cNvPr id="9" name="Picture 13">
          <a:extLst>
            <a:ext uri="{FF2B5EF4-FFF2-40B4-BE49-F238E27FC236}">
              <a16:creationId xmlns:a16="http://schemas.microsoft.com/office/drawing/2014/main" id="{00000000-0008-0000-29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243840" y="5669280"/>
          <a:ext cx="2823210" cy="3998595"/>
        </a:xfrm>
        <a:prstGeom prst="rect">
          <a:avLst/>
        </a:prstGeom>
        <a:noFill/>
        <a:ln w="1">
          <a:noFill/>
          <a:miter lim="800000"/>
          <a:headEnd/>
          <a:tailEnd/>
        </a:ln>
        <a:effec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32</xdr:col>
      <xdr:colOff>419100</xdr:colOff>
      <xdr:row>2</xdr:row>
      <xdr:rowOff>85725</xdr:rowOff>
    </xdr:from>
    <xdr:to>
      <xdr:col>34</xdr:col>
      <xdr:colOff>190500</xdr:colOff>
      <xdr:row>5</xdr:row>
      <xdr:rowOff>85725</xdr:rowOff>
    </xdr:to>
    <xdr:pic>
      <xdr:nvPicPr>
        <xdr:cNvPr id="2" name="Picture 3" descr="New Picture.png">
          <a:extLst>
            <a:ext uri="{FF2B5EF4-FFF2-40B4-BE49-F238E27FC236}">
              <a16:creationId xmlns:a16="http://schemas.microsoft.com/office/drawing/2014/main" id="{00000000-0008-0000-2A00-000002000000}"/>
            </a:ext>
          </a:extLst>
        </xdr:cNvPr>
        <xdr:cNvPicPr>
          <a:picLocks noChangeAspect="1"/>
        </xdr:cNvPicPr>
      </xdr:nvPicPr>
      <xdr:blipFill>
        <a:blip xmlns:r="http://schemas.openxmlformats.org/officeDocument/2006/relationships" r:embed="rId1"/>
        <a:srcRect/>
        <a:stretch>
          <a:fillRect/>
        </a:stretch>
      </xdr:blipFill>
      <xdr:spPr bwMode="auto">
        <a:xfrm>
          <a:off x="12125325" y="255270"/>
          <a:ext cx="1087755" cy="525780"/>
        </a:xfrm>
        <a:prstGeom prst="rect">
          <a:avLst/>
        </a:prstGeom>
        <a:noFill/>
        <a:ln w="9525">
          <a:noFill/>
          <a:miter lim="800000"/>
          <a:headEnd/>
          <a:tailEnd/>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9</xdr:col>
      <xdr:colOff>657225</xdr:colOff>
      <xdr:row>2</xdr:row>
      <xdr:rowOff>161925</xdr:rowOff>
    </xdr:from>
    <xdr:to>
      <xdr:col>10</xdr:col>
      <xdr:colOff>209549</xdr:colOff>
      <xdr:row>5</xdr:row>
      <xdr:rowOff>57150</xdr:rowOff>
    </xdr:to>
    <xdr:pic>
      <xdr:nvPicPr>
        <xdr:cNvPr id="2" name="Picture 3" descr="New Picture.png">
          <a:extLst>
            <a:ext uri="{FF2B5EF4-FFF2-40B4-BE49-F238E27FC236}">
              <a16:creationId xmlns:a16="http://schemas.microsoft.com/office/drawing/2014/main" id="{00000000-0008-0000-2B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8069580" y="325755"/>
          <a:ext cx="870585" cy="42291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Test%2019.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Feas%20-%20Shires%20Quarry%20(Lakeview).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Spar%20West%20Cape%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jnbproderweb/sites/epmo/ER/Status%20Report/ESTIMATING%20TOOL/Estimating%20Classification.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jnbproderweb/Users/Elizabeth.Lusenga/AppData/Local/Microsoft/Windows/INetCache/Content.Outlook/LYEGJUY8/Airport%20Development%20Cost%20Rev%207%20Nov'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DS(1)"/>
      <sheetName val="PDS(2)"/>
      <sheetName val="PPR"/>
      <sheetName val="DEVSUMMARY"/>
      <sheetName val="DRS"/>
      <sheetName val="Municipalities"/>
      <sheetName val="BER &amp; Haylett"/>
      <sheetName val="FEAS(Basic Variables)"/>
      <sheetName val="FEAS(INPUT)"/>
      <sheetName val="ELEMENT"/>
      <sheetName val="FEAS(BUILD COST)"/>
      <sheetName val="FEAS(FEES &amp; INTEREST)"/>
      <sheetName val="FEAS(RENTAL CALC)"/>
      <sheetName val="FEAS(Rental Spread)"/>
      <sheetName val="EXEC SUMMARY"/>
      <sheetName val="DRAWDOWN"/>
      <sheetName val="PAYMENTS"/>
      <sheetName val="DIFFERENTIAL"/>
      <sheetName val="IRR"/>
      <sheetName val="OPS COST"/>
      <sheetName val="SIS"/>
      <sheetName val="GIS(Anchors &amp; Majors)"/>
      <sheetName val="GIS(Line Shops)"/>
      <sheetName val="GIS(Line Shops) (2)"/>
      <sheetName val="GIS(Line Shops) (3)"/>
      <sheetName val="GIS(Offices)"/>
      <sheetName val="GIS(Other)"/>
      <sheetName val="GIS(Storage&amp;Parking)"/>
      <sheetName val="SLSR"/>
      <sheetName val="LSR(Anchors&amp;Majors)"/>
      <sheetName val="LSR(Line Shops)"/>
      <sheetName val="LSR(Line Shops) (2)"/>
      <sheetName val="LSR(Line Shops) (3)"/>
      <sheetName val="LSR(Offices)"/>
      <sheetName val="LSR(Other)"/>
      <sheetName val="LSR(Storage&amp;Parking)"/>
      <sheetName val="5 Year Income"/>
      <sheetName val="Income Cashflow"/>
      <sheetName val="Cover"/>
      <sheetName val="How This Guide Works"/>
      <sheetName val="Contents"/>
      <sheetName val="Projects Whole Life Cycle"/>
      <sheetName val="User Notes"/>
      <sheetName val="Estimating Classification"/>
      <sheetName val="Escalation"/>
      <sheetName val="Trend Analysis"/>
      <sheetName val="N Building Assumptions"/>
      <sheetName val="N Building Rates"/>
      <sheetName val="Building Refurb Assumptions "/>
      <sheetName val="Building Refurb Rates"/>
      <sheetName val="Civil Rehab Assumptions"/>
      <sheetName val="Civil Rehab Rates"/>
      <sheetName val="Civil Rehab rate build up tool"/>
      <sheetName val="Ground Floor Constrn"/>
      <sheetName val="Project Summary"/>
      <sheetName val="5107 T5 HVAC Refubishment"/>
      <sheetName val="List"/>
      <sheetName val="Cashflow"/>
      <sheetName val="S Curve "/>
      <sheetName val="Cost Programming"/>
      <sheetName val="Indices"/>
      <sheetName val="Proj. Programme Example"/>
      <sheetName val="Indices (2)"/>
      <sheetName val="Additional Information (2)"/>
      <sheetName val="Master Apron stands"/>
      <sheetName val="Code C,E &amp; F stands"/>
      <sheetName val="Code F,C Taxilane &amp; Serv Roads"/>
      <sheetName val="Sample Estimate"/>
      <sheetName val="ICAO Tables (Taxiw)"/>
      <sheetName val="Sketches (Taxiw)"/>
      <sheetName val="Master Taxiways"/>
      <sheetName val="Code F Runway &amp; SH (2)"/>
      <sheetName val="Code F Taxiway &amp; SH"/>
      <sheetName val="Sample Estimate (2)"/>
      <sheetName val="ICAO Tables"/>
      <sheetName val="Sketches"/>
      <sheetName val="Master Runways"/>
      <sheetName val="Code F Runway &amp; SH"/>
      <sheetName val="Sample Estimate (3)"/>
      <sheetName val="Comparis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EASIBILITY"/>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sheetName val="EST - C R &amp; D G+"/>
      <sheetName val="EST - C R &amp; D G"/>
      <sheetName val="COMBINED FEES"/>
      <sheetName val="C R EST"/>
      <sheetName val="C R SUM"/>
      <sheetName val="C R PRLMS"/>
      <sheetName val="C R FEES"/>
      <sheetName val="C R DISBS"/>
      <sheetName val="COLD RM"/>
      <sheetName val="D G EST"/>
      <sheetName val="D G SUM"/>
      <sheetName val="D G PRLMS"/>
      <sheetName val="D G DISBS"/>
      <sheetName val="D G FEES"/>
      <sheetName val="DRY GDS"/>
      <sheetName val="EXT WK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 Classes"/>
      <sheetName val="Est. Classes Rev1"/>
    </sheetNames>
    <sheetDataSet>
      <sheetData sheetId="0"/>
      <sheetData sheetId="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ents"/>
      <sheetName val="Rates Sheet"/>
      <sheetName val="Master Apron stands"/>
      <sheetName val="Code C,E &amp; F stands"/>
      <sheetName val="Code F,C Taxilane &amp; Serv Roads"/>
      <sheetName val="Sample Estimate"/>
      <sheetName val="ICAO Tables (Taxiw)"/>
      <sheetName val="Sketches (Taxiw)"/>
      <sheetName val="Master Taxiways"/>
      <sheetName val="Code F Runway &amp; SH (2)"/>
      <sheetName val="Code F Taxiway &amp; SH"/>
      <sheetName val="Sample Estimate (2)"/>
      <sheetName val="ICAO Tables"/>
      <sheetName val="Sketches"/>
      <sheetName val="Master Runways"/>
      <sheetName val="Code F Runway &amp; SH"/>
      <sheetName val="Sample Estimate (3)"/>
      <sheetName val="CT Runway"/>
      <sheetName val="CTB, PIER"/>
      <sheetName val="CTB, PIER (GRAPH)"/>
      <sheetName val="Service Roads LANDSIDE"/>
      <sheetName val="Sundries"/>
      <sheetName val="Tunnel Rate"/>
      <sheetName val="Sheet2"/>
      <sheetName val="Sheet3"/>
    </sheetNames>
    <sheetDataSet>
      <sheetData sheetId="0">
        <row r="5">
          <cell r="A5" t="str">
            <v>AIRPORT DEVELOPMENT COST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28">
          <cell r="J28">
            <v>106427539.2</v>
          </cell>
        </row>
        <row r="29">
          <cell r="J29">
            <v>30265117</v>
          </cell>
        </row>
      </sheetData>
      <sheetData sheetId="19"/>
      <sheetData sheetId="20"/>
      <sheetData sheetId="21"/>
      <sheetData sheetId="22"/>
      <sheetData sheetId="23"/>
      <sheetData sheetId="24"/>
      <sheetData sheetId="25"/>
    </sheetDataSet>
  </externalBook>
</externalLink>
</file>

<file path=xl/persons/person.xml><?xml version="1.0" encoding="utf-8"?>
<personList xmlns="http://schemas.microsoft.com/office/spreadsheetml/2018/threadedcomments" xmlns:x="http://schemas.openxmlformats.org/spreadsheetml/2006/main">
  <person displayName="Elizabeth Lusenga" id="{4B9C1BDA-55D5-4EF7-985C-97DA186739B9}" userId="S::Elizabeth.Lusenga@airports.co.za::4b4561e6-9ee4-4714-93d5-5d78a1412ff7" providerId="AD"/>
</personList>
</file>

<file path=xl/theme/theme1.xml><?xml version="1.0" encoding="utf-8"?>
<a:theme xmlns:a="http://schemas.openxmlformats.org/drawingml/2006/main" name="Office Theme">
  <a:themeElements>
    <a:clrScheme name="Civic">
      <a:dk1>
        <a:sysClr val="windowText" lastClr="000000"/>
      </a:dk1>
      <a:lt1>
        <a:sysClr val="window" lastClr="FFFFFF"/>
      </a:lt1>
      <a:dk2>
        <a:srgbClr val="646B86"/>
      </a:dk2>
      <a:lt2>
        <a:srgbClr val="C5D1D7"/>
      </a:lt2>
      <a:accent1>
        <a:srgbClr val="D16349"/>
      </a:accent1>
      <a:accent2>
        <a:srgbClr val="CCB400"/>
      </a:accent2>
      <a:accent3>
        <a:srgbClr val="8CADAE"/>
      </a:accent3>
      <a:accent4>
        <a:srgbClr val="8C7B70"/>
      </a:accent4>
      <a:accent5>
        <a:srgbClr val="8FB08C"/>
      </a:accent5>
      <a:accent6>
        <a:srgbClr val="D19049"/>
      </a:accent6>
      <a:hlink>
        <a:srgbClr val="00A3D6"/>
      </a:hlink>
      <a:folHlink>
        <a:srgbClr val="694F07"/>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128" dT="2019-07-01T11:49:04.12" personId="{4B9C1BDA-55D5-4EF7-985C-97DA186739B9}" id="{C0CB949B-D0D7-460A-B8B5-07E891C19104}">
    <text>Refer to Table 2 BER Building Cost Index 2019Q1Report.</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printerSettings" Target="../printerSettings/printerSettings8.bin"/><Relationship Id="rId5" Type="http://schemas.openxmlformats.org/officeDocument/2006/relationships/image" Target="../media/image12.emf"/><Relationship Id="rId4" Type="http://schemas.openxmlformats.org/officeDocument/2006/relationships/oleObject" Target="../embeddings/oleObject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1.xml"/><Relationship Id="rId1" Type="http://schemas.openxmlformats.org/officeDocument/2006/relationships/printerSettings" Target="../printerSettings/printerSettings19.bin"/><Relationship Id="rId5" Type="http://schemas.openxmlformats.org/officeDocument/2006/relationships/image" Target="../media/image15.emf"/><Relationship Id="rId4" Type="http://schemas.openxmlformats.org/officeDocument/2006/relationships/oleObject" Target="../embeddings/oleObject2.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4.vml"/><Relationship Id="rId1" Type="http://schemas.openxmlformats.org/officeDocument/2006/relationships/printerSettings" Target="../printerSettings/printerSettings24.bin"/><Relationship Id="rId4" Type="http://schemas.microsoft.com/office/2017/10/relationships/threadedComment" Target="../threadedComments/threadedComment1.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2.xml"/><Relationship Id="rId1" Type="http://schemas.openxmlformats.org/officeDocument/2006/relationships/printerSettings" Target="../printerSettings/printerSettings25.bin"/><Relationship Id="rId4" Type="http://schemas.openxmlformats.org/officeDocument/2006/relationships/comments" Target="../comments2.xm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6.v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4.xml"/><Relationship Id="rId1" Type="http://schemas.openxmlformats.org/officeDocument/2006/relationships/printerSettings" Target="../printerSettings/printerSettings30.bin"/><Relationship Id="rId4" Type="http://schemas.openxmlformats.org/officeDocument/2006/relationships/comments" Target="../comments4.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6.xml"/><Relationship Id="rId1" Type="http://schemas.openxmlformats.org/officeDocument/2006/relationships/printerSettings" Target="../printerSettings/printerSettings32.bin"/><Relationship Id="rId4" Type="http://schemas.openxmlformats.org/officeDocument/2006/relationships/comments" Target="../comments5.xml"/></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N33"/>
  <sheetViews>
    <sheetView topLeftCell="A4" zoomScale="115" zoomScaleNormal="115" workbookViewId="0">
      <selection activeCell="D35" sqref="D35"/>
    </sheetView>
  </sheetViews>
  <sheetFormatPr defaultRowHeight="15"/>
  <cols>
    <col min="1" max="1" width="5.5703125" customWidth="1"/>
  </cols>
  <sheetData>
    <row r="1" spans="1:14">
      <c r="A1" s="1"/>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1"/>
      <c r="B4" s="1"/>
      <c r="C4" s="1"/>
      <c r="D4" s="1"/>
      <c r="E4" s="1"/>
      <c r="F4" s="1"/>
      <c r="G4" s="1"/>
      <c r="H4" s="1"/>
      <c r="I4" s="1"/>
      <c r="J4" s="1"/>
      <c r="K4" s="1"/>
      <c r="L4" s="1"/>
      <c r="M4" s="1"/>
      <c r="N4" s="1"/>
    </row>
    <row r="5" spans="1:14">
      <c r="A5" s="1"/>
      <c r="B5" s="1"/>
      <c r="C5" s="1"/>
      <c r="D5" s="1"/>
      <c r="E5" s="1"/>
      <c r="F5" s="1"/>
      <c r="G5" s="1"/>
      <c r="H5" s="1"/>
      <c r="I5" s="1"/>
      <c r="J5" s="1"/>
      <c r="K5" s="1"/>
      <c r="L5" s="1"/>
      <c r="M5" s="1"/>
      <c r="N5" s="1"/>
    </row>
    <row r="6" spans="1:14">
      <c r="A6" s="1"/>
      <c r="B6" s="1"/>
      <c r="C6" s="1"/>
      <c r="D6" s="1"/>
      <c r="E6" s="1"/>
      <c r="F6" s="1"/>
      <c r="G6" s="1"/>
      <c r="H6" s="1"/>
      <c r="I6" s="1"/>
      <c r="J6" s="1"/>
      <c r="K6" s="1"/>
      <c r="L6" s="1"/>
      <c r="M6" s="1"/>
      <c r="N6" s="1"/>
    </row>
    <row r="7" spans="1:14">
      <c r="A7" s="1"/>
      <c r="B7" s="1"/>
      <c r="C7" s="1"/>
      <c r="D7" s="1"/>
      <c r="E7" s="1"/>
      <c r="F7" s="1"/>
      <c r="G7" s="1"/>
      <c r="H7" s="1"/>
      <c r="I7" s="1"/>
      <c r="J7" s="1"/>
      <c r="K7" s="1"/>
      <c r="L7" s="1"/>
      <c r="M7" s="1"/>
      <c r="N7" s="1"/>
    </row>
    <row r="8" spans="1:14">
      <c r="A8" s="1"/>
      <c r="B8" s="1"/>
      <c r="C8" s="1"/>
      <c r="D8" s="1"/>
      <c r="E8" s="1"/>
      <c r="F8" s="1"/>
      <c r="G8" s="1"/>
      <c r="H8" s="1"/>
      <c r="I8" s="1"/>
      <c r="J8" s="1"/>
      <c r="K8" s="1"/>
      <c r="L8" s="1"/>
      <c r="M8" s="1"/>
      <c r="N8" s="1"/>
    </row>
    <row r="9" spans="1:14">
      <c r="A9" s="1"/>
      <c r="B9" s="1"/>
      <c r="C9" s="1"/>
      <c r="D9" s="1"/>
      <c r="E9" s="1"/>
      <c r="F9" s="1"/>
      <c r="G9" s="1"/>
      <c r="H9" s="1"/>
      <c r="I9" s="1"/>
      <c r="J9" s="1"/>
      <c r="K9" s="1"/>
      <c r="L9" s="1"/>
      <c r="M9" s="1"/>
      <c r="N9" s="1"/>
    </row>
    <row r="10" spans="1:14">
      <c r="A10" s="1"/>
      <c r="B10" s="1"/>
      <c r="C10" s="1"/>
      <c r="D10" s="1"/>
      <c r="E10" s="1"/>
      <c r="F10" s="1"/>
      <c r="G10" s="1"/>
      <c r="H10" s="1"/>
      <c r="I10" s="1"/>
      <c r="J10" s="1"/>
      <c r="K10" s="1"/>
      <c r="L10" s="1"/>
      <c r="M10" s="1"/>
      <c r="N10" s="1"/>
    </row>
    <row r="11" spans="1:14">
      <c r="A11" s="1"/>
      <c r="B11" s="1"/>
      <c r="C11" s="1"/>
      <c r="D11" s="1"/>
      <c r="E11" s="1"/>
      <c r="F11" s="1"/>
      <c r="G11" s="1"/>
      <c r="H11" s="1"/>
      <c r="I11" s="1"/>
      <c r="J11" s="1"/>
      <c r="K11" s="1"/>
      <c r="L11" s="1"/>
      <c r="M11" s="1"/>
      <c r="N11" s="1"/>
    </row>
    <row r="12" spans="1:14">
      <c r="A12" s="1"/>
      <c r="B12" s="1"/>
      <c r="C12" s="1"/>
      <c r="D12" s="1"/>
      <c r="E12" s="1"/>
      <c r="F12" s="1"/>
      <c r="G12" s="1"/>
      <c r="H12" s="1"/>
      <c r="I12" s="1"/>
      <c r="J12" s="1"/>
      <c r="K12" s="1"/>
      <c r="L12" s="1"/>
      <c r="M12" s="1"/>
      <c r="N12" s="1"/>
    </row>
    <row r="13" spans="1:14">
      <c r="A13" s="1"/>
      <c r="B13" s="1"/>
      <c r="C13" s="1"/>
      <c r="D13" s="1"/>
      <c r="E13" s="1"/>
      <c r="F13" s="1"/>
      <c r="G13" s="1"/>
      <c r="H13" s="1"/>
      <c r="I13" s="1"/>
      <c r="J13" s="1"/>
      <c r="K13" s="1"/>
      <c r="L13" s="1"/>
      <c r="M13" s="1"/>
      <c r="N13" s="1"/>
    </row>
    <row r="14" spans="1:14">
      <c r="A14" s="1"/>
      <c r="B14" s="1"/>
      <c r="C14" s="1"/>
      <c r="D14" s="1"/>
      <c r="E14" s="1"/>
      <c r="F14" s="1"/>
      <c r="G14" s="1"/>
      <c r="H14" s="1"/>
      <c r="I14" s="1"/>
      <c r="J14" s="1"/>
      <c r="K14" s="1"/>
      <c r="L14" s="1"/>
      <c r="M14" s="1"/>
      <c r="N14" s="1"/>
    </row>
    <row r="15" spans="1:14">
      <c r="A15" s="1"/>
      <c r="B15" s="1"/>
      <c r="C15" s="1"/>
      <c r="D15" s="1"/>
      <c r="E15" s="1"/>
      <c r="F15" s="1"/>
      <c r="G15" s="1"/>
      <c r="H15" s="1"/>
      <c r="I15" s="1"/>
      <c r="J15" s="1"/>
      <c r="K15" s="1"/>
      <c r="L15" s="1"/>
      <c r="M15" s="1"/>
      <c r="N15" s="1"/>
    </row>
    <row r="16" spans="1:14">
      <c r="A16" s="1"/>
      <c r="B16" s="1"/>
      <c r="C16" s="1"/>
      <c r="D16" s="1"/>
      <c r="E16" s="1"/>
      <c r="F16" s="1"/>
      <c r="G16" s="1"/>
      <c r="H16" s="1"/>
      <c r="I16" s="1"/>
      <c r="J16" s="1"/>
      <c r="K16" s="1"/>
      <c r="L16" s="1"/>
      <c r="M16" s="1"/>
      <c r="N16" s="1"/>
    </row>
    <row r="17" spans="1:14">
      <c r="A17" s="1"/>
      <c r="B17" s="1"/>
      <c r="C17" s="1"/>
      <c r="D17" s="1"/>
      <c r="E17" s="1"/>
      <c r="F17" s="1"/>
      <c r="G17" s="1"/>
      <c r="H17" s="1"/>
      <c r="I17" s="1"/>
      <c r="J17" s="1"/>
      <c r="K17" s="1"/>
      <c r="L17" s="1"/>
      <c r="M17" s="1"/>
      <c r="N17" s="1"/>
    </row>
    <row r="18" spans="1:14">
      <c r="A18" s="1"/>
      <c r="B18" s="1"/>
      <c r="C18" s="1"/>
      <c r="D18" s="1"/>
      <c r="E18" s="1"/>
      <c r="F18" s="1"/>
      <c r="G18" s="1"/>
      <c r="H18" s="1"/>
      <c r="I18" s="1"/>
      <c r="J18" s="1"/>
      <c r="K18" s="1"/>
      <c r="L18" s="1"/>
      <c r="M18" s="1"/>
      <c r="N18" s="1"/>
    </row>
    <row r="19" spans="1:14">
      <c r="A19" s="1"/>
      <c r="B19" s="1"/>
      <c r="C19" s="1"/>
      <c r="D19" s="1"/>
      <c r="E19" s="1"/>
      <c r="F19" s="1"/>
      <c r="G19" s="1"/>
      <c r="H19" s="1"/>
      <c r="I19" s="1"/>
      <c r="J19" s="1"/>
      <c r="K19" s="1"/>
      <c r="L19" s="1"/>
      <c r="M19" s="1"/>
      <c r="N19" s="1"/>
    </row>
    <row r="20" spans="1:14">
      <c r="A20" s="1"/>
      <c r="B20" s="1"/>
      <c r="C20" s="1"/>
      <c r="D20" s="1"/>
      <c r="E20" s="1"/>
      <c r="F20" s="1"/>
      <c r="G20" s="1"/>
      <c r="H20" s="1"/>
      <c r="I20" s="1"/>
      <c r="J20" s="1"/>
      <c r="K20" s="1"/>
      <c r="L20" s="1"/>
      <c r="M20" s="1"/>
      <c r="N20" s="1"/>
    </row>
    <row r="21" spans="1:14">
      <c r="A21" s="1"/>
      <c r="B21" s="1"/>
      <c r="C21" s="1"/>
      <c r="D21" s="1"/>
      <c r="E21" s="1"/>
      <c r="F21" s="1"/>
      <c r="G21" s="1"/>
      <c r="H21" s="1"/>
      <c r="I21" s="1"/>
      <c r="J21" s="1"/>
      <c r="K21" s="1"/>
      <c r="L21" s="1"/>
      <c r="M21" s="1"/>
      <c r="N21" s="1"/>
    </row>
    <row r="22" spans="1:14">
      <c r="A22" s="1"/>
      <c r="B22" s="1"/>
      <c r="C22" s="1"/>
      <c r="D22" s="1"/>
      <c r="E22" s="1"/>
      <c r="F22" s="1"/>
      <c r="G22" s="1"/>
      <c r="H22" s="1"/>
      <c r="I22" s="1"/>
      <c r="J22" s="1"/>
      <c r="K22" s="1"/>
      <c r="L22" s="1"/>
      <c r="M22" s="1"/>
      <c r="N22" s="1"/>
    </row>
    <row r="23" spans="1:14">
      <c r="A23" s="1"/>
      <c r="B23" s="1"/>
      <c r="C23" s="1"/>
      <c r="D23" s="1"/>
      <c r="E23" s="1"/>
      <c r="F23" s="1"/>
      <c r="G23" s="1"/>
      <c r="H23" s="1"/>
      <c r="I23" s="1"/>
      <c r="J23" s="1"/>
      <c r="K23" s="1"/>
      <c r="L23" s="1"/>
      <c r="M23" s="1"/>
      <c r="N23" s="1"/>
    </row>
    <row r="24" spans="1:14">
      <c r="A24" s="1"/>
      <c r="B24" s="1"/>
      <c r="C24" s="1"/>
      <c r="D24" s="1"/>
      <c r="E24" s="1"/>
      <c r="F24" s="1"/>
      <c r="G24" s="1"/>
      <c r="H24" s="1"/>
      <c r="I24" s="1"/>
      <c r="J24" s="1"/>
      <c r="K24" s="1"/>
      <c r="L24" s="1"/>
      <c r="M24" s="1"/>
      <c r="N24" s="1"/>
    </row>
    <row r="25" spans="1:14">
      <c r="A25" s="1"/>
      <c r="B25" s="1"/>
      <c r="C25" s="1"/>
      <c r="D25" s="1"/>
      <c r="E25" s="1"/>
      <c r="F25" s="1"/>
      <c r="G25" s="1"/>
      <c r="H25" s="1"/>
      <c r="I25" s="1"/>
      <c r="J25" s="1"/>
      <c r="K25" s="1"/>
      <c r="L25" s="1"/>
      <c r="M25" s="1"/>
      <c r="N25" s="1"/>
    </row>
    <row r="26" spans="1:14">
      <c r="A26" s="1"/>
      <c r="B26" s="1"/>
      <c r="C26" s="1"/>
      <c r="D26" s="1"/>
      <c r="E26" s="1"/>
      <c r="F26" s="1"/>
      <c r="G26" s="1"/>
      <c r="H26" s="1"/>
      <c r="I26" s="1"/>
      <c r="J26" s="1"/>
      <c r="K26" s="1"/>
      <c r="L26" s="1"/>
      <c r="M26" s="1"/>
      <c r="N26" s="1"/>
    </row>
    <row r="27" spans="1:14">
      <c r="A27" s="1"/>
      <c r="B27" s="1"/>
      <c r="C27" s="1"/>
      <c r="D27" s="1"/>
      <c r="E27" s="1"/>
      <c r="F27" s="1"/>
      <c r="G27" s="1"/>
      <c r="H27" s="1"/>
      <c r="I27" s="1"/>
      <c r="J27" s="1"/>
      <c r="K27" s="1"/>
      <c r="L27" s="1"/>
      <c r="M27" s="1"/>
      <c r="N27" s="1"/>
    </row>
    <row r="28" spans="1:14">
      <c r="A28" s="1"/>
      <c r="B28" s="1"/>
      <c r="C28" s="1"/>
      <c r="D28" s="1"/>
      <c r="E28" s="1"/>
      <c r="F28" s="1"/>
      <c r="G28" s="1"/>
      <c r="H28" s="1"/>
      <c r="I28" s="1"/>
      <c r="J28" s="1"/>
      <c r="K28" s="1"/>
      <c r="L28" s="1"/>
      <c r="M28" s="1"/>
      <c r="N28" s="1"/>
    </row>
    <row r="29" spans="1:14">
      <c r="A29" s="1"/>
      <c r="B29" s="1"/>
      <c r="C29" s="1"/>
      <c r="D29" s="1"/>
      <c r="E29" s="1"/>
      <c r="F29" s="1"/>
      <c r="G29" s="1"/>
      <c r="H29" s="1"/>
      <c r="I29" s="1"/>
      <c r="J29" s="1"/>
      <c r="K29" s="1"/>
      <c r="L29" s="1"/>
      <c r="M29" s="1"/>
      <c r="N29" s="1"/>
    </row>
    <row r="30" spans="1:14">
      <c r="A30" s="1"/>
      <c r="B30" s="1"/>
      <c r="C30" s="1"/>
      <c r="D30" s="1"/>
      <c r="E30" s="1"/>
      <c r="F30" s="1"/>
      <c r="G30" s="1"/>
      <c r="H30" s="1"/>
      <c r="I30" s="1"/>
      <c r="J30" s="1"/>
      <c r="K30" s="1"/>
      <c r="L30" s="1"/>
      <c r="M30" s="1"/>
      <c r="N30" s="1"/>
    </row>
    <row r="31" spans="1:14">
      <c r="A31" s="1"/>
      <c r="B31" s="1"/>
      <c r="C31" s="1"/>
      <c r="D31" s="1"/>
      <c r="E31" s="1"/>
      <c r="F31" s="1"/>
      <c r="G31" s="1"/>
      <c r="H31" s="1"/>
      <c r="I31" s="1"/>
      <c r="J31" s="1"/>
      <c r="K31" s="1"/>
      <c r="L31" s="1"/>
      <c r="M31" s="1"/>
      <c r="N31" s="1"/>
    </row>
    <row r="32" spans="1:14">
      <c r="A32" s="1"/>
      <c r="B32" s="1"/>
      <c r="C32" s="1"/>
      <c r="D32" s="1"/>
      <c r="E32" s="1"/>
      <c r="F32" s="1"/>
      <c r="G32" s="1"/>
      <c r="H32" s="1"/>
      <c r="I32" s="1"/>
      <c r="J32" s="1"/>
      <c r="K32" s="1"/>
      <c r="L32" s="1"/>
      <c r="M32" s="1"/>
      <c r="N32" s="1"/>
    </row>
    <row r="33" spans="1:14">
      <c r="A33" s="1"/>
      <c r="B33" s="1"/>
      <c r="C33" s="1"/>
      <c r="D33" s="1"/>
      <c r="E33" s="1"/>
      <c r="F33" s="1"/>
      <c r="G33" s="1"/>
      <c r="H33" s="1"/>
      <c r="I33" s="1"/>
      <c r="J33" s="1"/>
      <c r="K33" s="1"/>
      <c r="L33" s="1"/>
      <c r="M33" s="1"/>
      <c r="N33" s="1"/>
    </row>
  </sheetData>
  <pageMargins left="0.7" right="0.7" top="0.75" bottom="0.75" header="0.3" footer="0.3"/>
  <pageSetup paperSize="8" orientation="landscape" r:id="rId1"/>
  <headerFooter>
    <oddHeader>&amp;C&amp;"Calibri"&amp;10&amp;K000000Confidential&amp;1#</oddHeader>
    <oddFooter>&amp;R&amp;1#&amp;"Calibri"&amp;10&amp;K000000Confidential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N33"/>
  <sheetViews>
    <sheetView topLeftCell="A4" zoomScaleNormal="100" workbookViewId="0">
      <selection activeCell="P21" sqref="P21"/>
    </sheetView>
  </sheetViews>
  <sheetFormatPr defaultRowHeight="15"/>
  <cols>
    <col min="1" max="1" width="11.42578125" customWidth="1"/>
    <col min="14" max="14" width="37.5703125" customWidth="1"/>
  </cols>
  <sheetData>
    <row r="1" spans="1:14">
      <c r="A1" s="1"/>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1"/>
      <c r="B4" s="1"/>
      <c r="C4" s="1"/>
      <c r="D4" s="1"/>
      <c r="E4" s="1"/>
      <c r="F4" s="1"/>
      <c r="G4" s="1"/>
      <c r="H4" s="1"/>
      <c r="I4" s="1"/>
      <c r="J4" s="1"/>
      <c r="K4" s="1"/>
      <c r="L4" s="1"/>
      <c r="M4" s="1"/>
      <c r="N4" s="1"/>
    </row>
    <row r="5" spans="1:14">
      <c r="A5" s="1"/>
      <c r="B5" s="1"/>
      <c r="C5" s="1"/>
      <c r="D5" s="1"/>
      <c r="E5" s="1"/>
      <c r="F5" s="1"/>
      <c r="G5" s="1"/>
      <c r="H5" s="1"/>
      <c r="I5" s="1"/>
      <c r="J5" s="1"/>
      <c r="K5" s="1"/>
      <c r="L5" s="1"/>
      <c r="M5" s="1"/>
      <c r="N5" s="1"/>
    </row>
    <row r="6" spans="1:14">
      <c r="A6" s="1"/>
      <c r="B6" s="1"/>
      <c r="C6" s="1"/>
      <c r="D6" s="1"/>
      <c r="E6" s="1"/>
      <c r="F6" s="1"/>
      <c r="G6" s="1"/>
      <c r="H6" s="1"/>
      <c r="I6" s="1"/>
      <c r="J6" s="1"/>
      <c r="K6" s="1"/>
      <c r="L6" s="1"/>
      <c r="M6" s="1"/>
      <c r="N6" s="1"/>
    </row>
    <row r="7" spans="1:14">
      <c r="A7" s="1"/>
      <c r="B7" s="1"/>
      <c r="C7" s="1"/>
      <c r="D7" s="1"/>
      <c r="E7" s="1"/>
      <c r="F7" s="1"/>
      <c r="G7" s="1"/>
      <c r="H7" s="1"/>
      <c r="I7" s="1"/>
      <c r="J7" s="1"/>
      <c r="K7" s="1"/>
      <c r="L7" s="1"/>
      <c r="M7" s="1"/>
      <c r="N7" s="1"/>
    </row>
    <row r="8" spans="1:14">
      <c r="A8" s="1"/>
      <c r="B8" s="1"/>
      <c r="C8" s="1"/>
      <c r="D8" s="1"/>
      <c r="E8" s="1"/>
      <c r="F8" s="1"/>
      <c r="G8" s="1"/>
      <c r="H8" s="1"/>
      <c r="I8" s="1"/>
      <c r="J8" s="1"/>
      <c r="K8" s="1"/>
      <c r="L8" s="1"/>
      <c r="M8" s="1"/>
      <c r="N8" s="1"/>
    </row>
    <row r="9" spans="1:14">
      <c r="A9" s="1"/>
      <c r="B9" s="1"/>
      <c r="C9" s="1"/>
      <c r="D9" s="1"/>
      <c r="E9" s="1"/>
      <c r="F9" s="1"/>
      <c r="G9" s="1"/>
      <c r="H9" s="1"/>
      <c r="I9" s="1"/>
      <c r="J9" s="1"/>
      <c r="K9" s="1"/>
      <c r="L9" s="1"/>
      <c r="M9" s="1"/>
      <c r="N9" s="1"/>
    </row>
    <row r="10" spans="1:14">
      <c r="A10" s="1"/>
      <c r="B10" s="1"/>
      <c r="C10" s="1"/>
      <c r="D10" s="1"/>
      <c r="E10" s="1"/>
      <c r="F10" s="1"/>
      <c r="G10" s="1"/>
      <c r="H10" s="1"/>
      <c r="I10" s="1"/>
      <c r="J10" s="1"/>
      <c r="K10" s="1"/>
      <c r="L10" s="1"/>
      <c r="M10" s="1"/>
      <c r="N10" s="1"/>
    </row>
    <row r="11" spans="1:14">
      <c r="A11" s="1"/>
      <c r="B11" s="1"/>
      <c r="C11" s="1"/>
      <c r="D11" s="1"/>
      <c r="E11" s="1"/>
      <c r="F11" s="1"/>
      <c r="G11" s="1"/>
      <c r="H11" s="1"/>
      <c r="I11" s="1"/>
      <c r="J11" s="1"/>
      <c r="K11" s="1"/>
      <c r="L11" s="1"/>
      <c r="M11" s="1"/>
      <c r="N11" s="1"/>
    </row>
    <row r="12" spans="1:14">
      <c r="A12" s="1"/>
      <c r="B12" s="1"/>
      <c r="C12" s="1"/>
      <c r="D12" s="1"/>
      <c r="E12" s="1"/>
      <c r="F12" s="1"/>
      <c r="G12" s="1"/>
      <c r="H12" s="1"/>
      <c r="I12" s="1"/>
      <c r="J12" s="1"/>
      <c r="K12" s="1"/>
      <c r="L12" s="1"/>
      <c r="M12" s="1"/>
      <c r="N12" s="1"/>
    </row>
    <row r="13" spans="1:14">
      <c r="A13" s="1"/>
      <c r="B13" s="1"/>
      <c r="C13" s="1"/>
      <c r="D13" s="1"/>
      <c r="E13" s="1"/>
      <c r="F13" s="1"/>
      <c r="G13" s="1"/>
      <c r="H13" s="1"/>
      <c r="I13" s="1"/>
      <c r="J13" s="1"/>
      <c r="K13" s="1"/>
      <c r="L13" s="1"/>
      <c r="M13" s="1"/>
      <c r="N13" s="1"/>
    </row>
    <row r="14" spans="1:14">
      <c r="A14" s="1"/>
      <c r="B14" s="1"/>
      <c r="C14" s="1"/>
      <c r="D14" s="1"/>
      <c r="E14" s="1"/>
      <c r="F14" s="1"/>
      <c r="G14" s="1"/>
      <c r="H14" s="1"/>
      <c r="I14" s="1"/>
      <c r="J14" s="1"/>
      <c r="K14" s="1"/>
      <c r="L14" s="1"/>
      <c r="M14" s="1"/>
      <c r="N14" s="1"/>
    </row>
    <row r="15" spans="1:14">
      <c r="A15" s="1"/>
      <c r="B15" s="1"/>
      <c r="C15" s="1"/>
      <c r="D15" s="1"/>
      <c r="E15" s="1"/>
      <c r="F15" s="1"/>
      <c r="G15" s="1"/>
      <c r="H15" s="1"/>
      <c r="I15" s="1"/>
      <c r="J15" s="1"/>
      <c r="K15" s="1"/>
      <c r="L15" s="1"/>
      <c r="M15" s="1"/>
      <c r="N15" s="1"/>
    </row>
    <row r="16" spans="1:14">
      <c r="A16" s="1"/>
      <c r="B16" s="1"/>
      <c r="C16" s="1"/>
      <c r="D16" s="1"/>
      <c r="E16" s="1"/>
      <c r="F16" s="1"/>
      <c r="G16" s="1"/>
      <c r="H16" s="1"/>
      <c r="I16" s="1"/>
      <c r="J16" s="1"/>
      <c r="K16" s="1"/>
      <c r="L16" s="1"/>
      <c r="M16" s="1"/>
      <c r="N16" s="1"/>
    </row>
    <row r="17" spans="1:14">
      <c r="A17" s="1"/>
      <c r="B17" s="1"/>
      <c r="C17" s="1"/>
      <c r="D17" s="1"/>
      <c r="E17" s="1"/>
      <c r="F17" s="1"/>
      <c r="G17" s="1"/>
      <c r="H17" s="1"/>
      <c r="I17" s="1"/>
      <c r="J17" s="1"/>
      <c r="K17" s="1"/>
      <c r="L17" s="1"/>
      <c r="M17" s="1"/>
      <c r="N17" s="1"/>
    </row>
    <row r="18" spans="1:14">
      <c r="A18" s="1"/>
      <c r="B18" s="1"/>
      <c r="C18" s="1"/>
      <c r="D18" s="1"/>
      <c r="E18" s="1"/>
      <c r="F18" s="1"/>
      <c r="G18" s="1"/>
      <c r="H18" s="1"/>
      <c r="I18" s="1"/>
      <c r="J18" s="1"/>
      <c r="K18" s="1"/>
      <c r="L18" s="1"/>
      <c r="M18" s="1"/>
      <c r="N18" s="1"/>
    </row>
    <row r="19" spans="1:14">
      <c r="A19" s="1"/>
      <c r="B19" s="1"/>
      <c r="C19" s="1"/>
      <c r="D19" s="1"/>
      <c r="E19" s="1"/>
      <c r="F19" s="1"/>
      <c r="G19" s="1"/>
      <c r="H19" s="1"/>
      <c r="I19" s="1"/>
      <c r="J19" s="1"/>
      <c r="K19" s="1"/>
      <c r="L19" s="1"/>
      <c r="M19" s="1"/>
      <c r="N19" s="1"/>
    </row>
    <row r="20" spans="1:14">
      <c r="A20" s="1"/>
      <c r="B20" s="1"/>
      <c r="C20" s="1"/>
      <c r="D20" s="1"/>
      <c r="E20" s="1"/>
      <c r="F20" s="1"/>
      <c r="G20" s="1"/>
      <c r="H20" s="1"/>
      <c r="I20" s="1"/>
      <c r="J20" s="1"/>
      <c r="K20" s="1"/>
      <c r="L20" s="1"/>
      <c r="M20" s="1"/>
      <c r="N20" s="1"/>
    </row>
    <row r="21" spans="1:14">
      <c r="A21" s="1"/>
      <c r="B21" s="1"/>
      <c r="C21" s="1"/>
      <c r="D21" s="1"/>
      <c r="E21" s="1"/>
      <c r="F21" s="1"/>
      <c r="G21" s="1"/>
      <c r="H21" s="1"/>
      <c r="I21" s="1"/>
      <c r="J21" s="1"/>
      <c r="K21" s="1"/>
      <c r="L21" s="1"/>
      <c r="M21" s="1"/>
      <c r="N21" s="1"/>
    </row>
    <row r="22" spans="1:14">
      <c r="A22" s="1"/>
      <c r="B22" s="1"/>
      <c r="C22" s="1"/>
      <c r="D22" s="1"/>
      <c r="E22" s="1"/>
      <c r="F22" s="1"/>
      <c r="G22" s="1"/>
      <c r="H22" s="1"/>
      <c r="I22" s="1"/>
      <c r="J22" s="2" t="s">
        <v>1022</v>
      </c>
      <c r="K22" s="1"/>
      <c r="L22" s="1"/>
      <c r="M22" s="1"/>
      <c r="N22" s="1"/>
    </row>
    <row r="23" spans="1:14">
      <c r="A23" s="1"/>
      <c r="B23" s="1"/>
      <c r="C23" s="1"/>
      <c r="D23" s="1"/>
      <c r="E23" s="1"/>
      <c r="F23" s="1"/>
      <c r="G23" s="1"/>
      <c r="H23" s="1"/>
      <c r="I23" s="1"/>
      <c r="J23" s="1"/>
      <c r="K23" s="1"/>
      <c r="L23" s="1"/>
      <c r="M23" s="1"/>
      <c r="N23" s="1"/>
    </row>
    <row r="24" spans="1:14">
      <c r="A24" s="1"/>
      <c r="B24" s="1"/>
      <c r="C24" s="1"/>
      <c r="D24" s="1"/>
      <c r="E24" s="1"/>
      <c r="F24" s="1"/>
      <c r="G24" s="1"/>
      <c r="H24" s="1"/>
      <c r="I24" s="1"/>
      <c r="J24" s="2" t="s">
        <v>0</v>
      </c>
      <c r="K24" s="1"/>
      <c r="L24" s="1"/>
      <c r="M24" s="1"/>
      <c r="N24" s="1"/>
    </row>
    <row r="25" spans="1:14">
      <c r="A25" s="1"/>
      <c r="B25" s="1"/>
      <c r="C25" s="1"/>
      <c r="D25" s="1"/>
      <c r="E25" s="1"/>
      <c r="F25" s="1"/>
      <c r="G25" s="1"/>
      <c r="H25" s="1"/>
      <c r="I25" s="1"/>
      <c r="J25" s="2" t="s">
        <v>1</v>
      </c>
      <c r="K25" s="1"/>
      <c r="L25" s="1"/>
      <c r="M25" s="1"/>
      <c r="N25" s="1"/>
    </row>
    <row r="26" spans="1:14">
      <c r="A26" s="1"/>
      <c r="B26" s="1"/>
      <c r="C26" s="1"/>
      <c r="D26" s="1"/>
      <c r="E26" s="1"/>
      <c r="F26" s="1"/>
      <c r="G26" s="1"/>
      <c r="H26" s="1"/>
      <c r="I26" s="1"/>
      <c r="J26" s="1"/>
      <c r="K26" s="1"/>
      <c r="L26" s="1"/>
      <c r="M26" s="1"/>
      <c r="N26" s="1"/>
    </row>
    <row r="27" spans="1:14">
      <c r="A27" s="1"/>
      <c r="B27" s="1"/>
      <c r="C27" s="1"/>
      <c r="D27" s="1"/>
      <c r="E27" s="1"/>
      <c r="F27" s="1"/>
      <c r="G27" s="1"/>
      <c r="H27" s="1"/>
      <c r="I27" s="1"/>
      <c r="J27" s="2" t="s">
        <v>2</v>
      </c>
      <c r="K27" s="1"/>
      <c r="L27" s="1"/>
      <c r="M27" s="1"/>
      <c r="N27" s="1"/>
    </row>
    <row r="28" spans="1:14">
      <c r="A28" s="1"/>
      <c r="B28" s="1"/>
      <c r="C28" s="1"/>
      <c r="D28" s="1"/>
      <c r="E28" s="1"/>
      <c r="F28" s="1"/>
      <c r="G28" s="1"/>
      <c r="H28" s="1"/>
      <c r="I28" s="1"/>
      <c r="J28" s="1"/>
      <c r="K28" s="1"/>
      <c r="L28" s="1"/>
      <c r="M28" s="1"/>
      <c r="N28" s="1"/>
    </row>
    <row r="29" spans="1:14">
      <c r="A29" s="1"/>
      <c r="B29" s="1"/>
      <c r="C29" s="1"/>
      <c r="D29" s="1"/>
      <c r="E29" s="1"/>
      <c r="F29" s="1"/>
      <c r="G29" s="1"/>
      <c r="H29" s="1"/>
      <c r="I29" s="1"/>
      <c r="J29" s="1"/>
      <c r="K29" s="1"/>
      <c r="L29" s="1"/>
      <c r="M29" s="1"/>
      <c r="N29" s="1"/>
    </row>
    <row r="30" spans="1:14">
      <c r="A30" s="1"/>
      <c r="B30" s="1"/>
      <c r="C30" s="1"/>
      <c r="D30" s="1"/>
      <c r="E30" s="1"/>
      <c r="F30" s="1"/>
      <c r="G30" s="1"/>
      <c r="H30" s="1"/>
      <c r="I30" s="1"/>
      <c r="J30" s="1"/>
      <c r="K30" s="1"/>
      <c r="L30" s="1"/>
      <c r="M30" s="1"/>
      <c r="N30" s="1"/>
    </row>
    <row r="31" spans="1:14">
      <c r="A31" s="1"/>
      <c r="B31" s="1"/>
      <c r="C31" s="1"/>
      <c r="D31" s="1"/>
      <c r="E31" s="1"/>
      <c r="F31" s="1"/>
      <c r="G31" s="1"/>
      <c r="H31" s="1"/>
      <c r="I31" s="1"/>
      <c r="J31" s="1"/>
      <c r="K31" s="1"/>
      <c r="L31" s="1"/>
      <c r="M31" s="1"/>
      <c r="N31" s="1"/>
    </row>
    <row r="32" spans="1:14">
      <c r="A32" s="1"/>
      <c r="B32" s="1"/>
      <c r="C32" s="1"/>
      <c r="D32" s="1"/>
      <c r="E32" s="1"/>
      <c r="F32" s="1"/>
      <c r="G32" s="1"/>
      <c r="H32" s="1"/>
      <c r="I32" s="1"/>
      <c r="J32" s="1"/>
      <c r="K32" s="1"/>
      <c r="L32" s="1"/>
      <c r="M32" s="1"/>
      <c r="N32" s="1"/>
    </row>
    <row r="33" spans="1:14">
      <c r="A33" s="1"/>
      <c r="B33" s="1"/>
      <c r="C33" s="1"/>
      <c r="D33" s="1"/>
      <c r="E33" s="1"/>
      <c r="F33" s="1"/>
      <c r="G33" s="1"/>
      <c r="H33" s="1"/>
      <c r="I33" s="1"/>
      <c r="J33" s="1"/>
      <c r="K33" s="1"/>
      <c r="L33" s="1"/>
      <c r="M33" s="1"/>
      <c r="N33" s="1"/>
    </row>
  </sheetData>
  <pageMargins left="0.7" right="0.7" top="0.75" bottom="0.75" header="0.3" footer="0.3"/>
  <pageSetup paperSize="8" orientation="landscape" r:id="rId1"/>
  <headerFooter>
    <oddHeader>&amp;C&amp;"Calibri"&amp;10&amp;K000000Confidential&amp;1#</oddHeader>
    <oddFooter>&amp;R&amp;1#&amp;"Calibri"&amp;10&amp;K000000Confidential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N46"/>
  <sheetViews>
    <sheetView topLeftCell="A8" zoomScale="115" zoomScaleNormal="115" workbookViewId="0">
      <selection activeCell="F27" sqref="F27"/>
    </sheetView>
  </sheetViews>
  <sheetFormatPr defaultRowHeight="15"/>
  <cols>
    <col min="1" max="1" width="11.42578125" customWidth="1"/>
    <col min="8" max="8" width="10.5703125" customWidth="1"/>
  </cols>
  <sheetData>
    <row r="1" spans="1:14">
      <c r="A1" s="1"/>
      <c r="B1" s="1"/>
      <c r="C1" s="1"/>
      <c r="D1" s="1"/>
      <c r="E1" s="1"/>
      <c r="F1" s="1"/>
      <c r="G1" s="1"/>
      <c r="H1" s="1"/>
      <c r="I1" s="1"/>
      <c r="J1" s="1"/>
      <c r="K1" s="1"/>
      <c r="L1" s="1"/>
      <c r="M1" s="1"/>
      <c r="N1" s="1"/>
    </row>
    <row r="2" spans="1:14">
      <c r="A2" s="1"/>
      <c r="B2" s="3"/>
      <c r="C2" s="3"/>
      <c r="D2" s="3"/>
      <c r="E2" s="3"/>
      <c r="F2" s="3"/>
      <c r="G2" s="3"/>
      <c r="H2" s="3"/>
      <c r="I2" s="3"/>
      <c r="J2" s="3"/>
      <c r="K2" s="3"/>
      <c r="L2" s="3"/>
      <c r="M2" s="3"/>
      <c r="N2" s="4"/>
    </row>
    <row r="3" spans="1:14">
      <c r="A3" s="1"/>
      <c r="B3" s="1"/>
      <c r="C3" s="1"/>
      <c r="D3" s="3"/>
      <c r="E3" s="3"/>
      <c r="F3" s="3"/>
      <c r="G3" s="109" t="s">
        <v>3</v>
      </c>
      <c r="H3" s="3"/>
      <c r="I3" s="3"/>
      <c r="J3" s="3"/>
      <c r="K3" s="3"/>
      <c r="L3" s="3"/>
      <c r="M3" s="109" t="s">
        <v>4</v>
      </c>
      <c r="N3" s="4"/>
    </row>
    <row r="4" spans="1:14">
      <c r="A4" s="1"/>
      <c r="B4" s="1"/>
      <c r="C4" s="1"/>
      <c r="D4" s="3"/>
      <c r="E4" s="3"/>
      <c r="F4" s="3"/>
      <c r="G4" s="109" t="s">
        <v>5</v>
      </c>
      <c r="H4" s="3"/>
      <c r="I4" s="3"/>
      <c r="J4" s="3"/>
      <c r="K4" s="3"/>
      <c r="L4" s="3"/>
      <c r="M4" s="109" t="s">
        <v>6</v>
      </c>
      <c r="N4" s="4"/>
    </row>
    <row r="5" spans="1:14">
      <c r="A5" s="1"/>
      <c r="B5" s="1"/>
      <c r="C5" s="1"/>
      <c r="D5" s="3"/>
      <c r="E5" s="3"/>
      <c r="F5" s="3"/>
      <c r="G5" s="109" t="s">
        <v>7</v>
      </c>
      <c r="H5" s="3"/>
      <c r="I5" s="3"/>
      <c r="J5" s="3"/>
      <c r="K5" s="3"/>
      <c r="L5" s="3"/>
      <c r="M5" s="109" t="s">
        <v>8</v>
      </c>
      <c r="N5" s="4"/>
    </row>
    <row r="6" spans="1:14">
      <c r="A6" s="1"/>
      <c r="B6" s="1"/>
      <c r="C6" s="1"/>
      <c r="D6" s="3"/>
      <c r="E6" s="3"/>
      <c r="F6" s="3"/>
      <c r="G6" s="109" t="s">
        <v>9</v>
      </c>
      <c r="H6" s="3"/>
      <c r="I6" s="3"/>
      <c r="J6" s="3"/>
      <c r="K6" s="3"/>
      <c r="L6" s="3"/>
      <c r="M6" s="109" t="s">
        <v>10</v>
      </c>
      <c r="N6" s="4"/>
    </row>
    <row r="7" spans="1:14">
      <c r="A7" s="1"/>
      <c r="B7" s="1"/>
      <c r="C7" s="1"/>
      <c r="D7" s="3"/>
      <c r="E7" s="3"/>
      <c r="F7" s="3"/>
      <c r="G7" s="3" t="s">
        <v>11</v>
      </c>
      <c r="H7" s="3"/>
      <c r="I7" s="3"/>
      <c r="J7" s="3"/>
      <c r="K7" s="3"/>
      <c r="L7" s="3"/>
      <c r="M7" s="3"/>
      <c r="N7" s="4"/>
    </row>
    <row r="8" spans="1:14">
      <c r="A8" s="1"/>
      <c r="B8" s="1"/>
      <c r="C8" s="1"/>
      <c r="D8" s="3"/>
      <c r="E8" s="3"/>
      <c r="F8" s="3"/>
      <c r="G8" s="3"/>
      <c r="H8" s="109" t="s">
        <v>12</v>
      </c>
      <c r="I8" s="3"/>
      <c r="J8" s="3"/>
      <c r="K8" s="3"/>
      <c r="L8" s="3"/>
      <c r="M8" s="109" t="s">
        <v>13</v>
      </c>
      <c r="N8" s="4"/>
    </row>
    <row r="9" spans="1:14">
      <c r="A9" s="1"/>
      <c r="B9" s="1"/>
      <c r="C9" s="1"/>
      <c r="D9" s="3"/>
      <c r="E9" s="3"/>
      <c r="F9" s="3"/>
      <c r="G9" s="3"/>
      <c r="H9" s="109" t="s">
        <v>14</v>
      </c>
      <c r="I9" s="3"/>
      <c r="J9" s="3"/>
      <c r="K9" s="3"/>
      <c r="L9" s="3"/>
      <c r="M9" s="109" t="s">
        <v>15</v>
      </c>
      <c r="N9" s="4"/>
    </row>
    <row r="10" spans="1:14">
      <c r="A10" s="1"/>
      <c r="B10" s="1"/>
      <c r="C10" s="1"/>
      <c r="D10" s="3"/>
      <c r="E10" s="3"/>
      <c r="F10" s="3"/>
      <c r="G10" s="3" t="s">
        <v>16</v>
      </c>
      <c r="H10" s="3"/>
      <c r="I10" s="3"/>
      <c r="J10" s="3"/>
      <c r="K10" s="3"/>
      <c r="L10" s="3"/>
      <c r="M10" s="3"/>
      <c r="N10" s="4"/>
    </row>
    <row r="11" spans="1:14">
      <c r="A11" s="1"/>
      <c r="B11" s="1"/>
      <c r="C11" s="1"/>
      <c r="D11" s="3"/>
      <c r="E11" s="3"/>
      <c r="F11" s="3"/>
      <c r="G11" s="3"/>
      <c r="H11" s="109" t="s">
        <v>12</v>
      </c>
      <c r="I11" s="3"/>
      <c r="J11" s="3"/>
      <c r="K11" s="3"/>
      <c r="L11" s="3"/>
      <c r="M11" s="109" t="s">
        <v>17</v>
      </c>
      <c r="N11" s="4"/>
    </row>
    <row r="12" spans="1:14">
      <c r="A12" s="1"/>
      <c r="B12" s="1"/>
      <c r="C12" s="1"/>
      <c r="D12" s="3"/>
      <c r="E12" s="3"/>
      <c r="F12" s="3"/>
      <c r="G12" s="3"/>
      <c r="H12" s="109" t="s">
        <v>14</v>
      </c>
      <c r="I12" s="3"/>
      <c r="J12" s="3"/>
      <c r="K12" s="3"/>
      <c r="L12" s="3"/>
      <c r="M12" s="109" t="s">
        <v>18</v>
      </c>
      <c r="N12" s="4"/>
    </row>
    <row r="13" spans="1:14">
      <c r="A13" s="1"/>
      <c r="B13" s="1"/>
      <c r="C13" s="1"/>
      <c r="D13" s="3"/>
      <c r="E13" s="3"/>
      <c r="F13" s="3"/>
      <c r="G13" s="3" t="s">
        <v>19</v>
      </c>
      <c r="H13" s="3"/>
      <c r="I13" s="3"/>
      <c r="J13" s="3"/>
      <c r="K13" s="3"/>
      <c r="L13" s="3"/>
      <c r="M13" s="3"/>
      <c r="N13" s="4"/>
    </row>
    <row r="14" spans="1:14">
      <c r="A14" s="1"/>
      <c r="B14" s="1"/>
      <c r="C14" s="1"/>
      <c r="D14" s="3"/>
      <c r="E14" s="3"/>
      <c r="F14" s="3"/>
      <c r="G14" s="3"/>
      <c r="H14" s="109" t="s">
        <v>12</v>
      </c>
      <c r="I14" s="3"/>
      <c r="J14" s="3"/>
      <c r="K14" s="3"/>
      <c r="L14" s="3"/>
      <c r="M14" s="109" t="s">
        <v>20</v>
      </c>
      <c r="N14" s="4"/>
    </row>
    <row r="15" spans="1:14">
      <c r="A15" s="1"/>
      <c r="B15" s="1"/>
      <c r="C15" s="1"/>
      <c r="D15" s="3"/>
      <c r="E15" s="3"/>
      <c r="F15" s="3"/>
      <c r="G15" s="3"/>
      <c r="H15" s="109" t="s">
        <v>14</v>
      </c>
      <c r="I15" s="3"/>
      <c r="J15" s="3"/>
      <c r="K15" s="3"/>
      <c r="L15" s="3"/>
      <c r="M15" s="109" t="s">
        <v>21</v>
      </c>
      <c r="N15" s="4"/>
    </row>
    <row r="16" spans="1:14">
      <c r="A16" s="1"/>
      <c r="B16" s="1"/>
      <c r="C16" s="1"/>
      <c r="D16" s="3"/>
      <c r="E16" s="3"/>
      <c r="F16" s="3"/>
      <c r="G16" s="3"/>
      <c r="H16" s="109" t="s">
        <v>22</v>
      </c>
      <c r="I16" s="3"/>
      <c r="J16" s="3"/>
      <c r="K16" s="3"/>
      <c r="L16" s="3"/>
      <c r="M16" s="109" t="s">
        <v>23</v>
      </c>
      <c r="N16" s="4"/>
    </row>
    <row r="17" spans="1:14">
      <c r="A17" s="1"/>
      <c r="B17" s="1"/>
      <c r="C17" s="1"/>
      <c r="D17" s="3"/>
      <c r="E17" s="3"/>
      <c r="F17" s="3"/>
      <c r="G17" s="3" t="s">
        <v>24</v>
      </c>
      <c r="H17" s="109"/>
      <c r="I17" s="3"/>
      <c r="J17" s="3"/>
      <c r="K17" s="3"/>
      <c r="L17" s="3"/>
      <c r="M17" s="109" t="s">
        <v>25</v>
      </c>
      <c r="N17" s="4"/>
    </row>
    <row r="18" spans="1:14">
      <c r="A18" s="1"/>
      <c r="B18" s="3"/>
      <c r="C18" s="3"/>
      <c r="D18" s="3"/>
      <c r="E18" s="3"/>
      <c r="F18" s="3"/>
      <c r="G18" s="3" t="s">
        <v>26</v>
      </c>
      <c r="H18" s="3"/>
      <c r="I18" s="3"/>
      <c r="J18" s="3"/>
      <c r="K18" s="3"/>
      <c r="L18" s="3"/>
      <c r="M18" s="3"/>
      <c r="N18" s="4"/>
    </row>
    <row r="19" spans="1:14">
      <c r="A19" s="1"/>
      <c r="B19" s="3"/>
      <c r="C19" s="3"/>
      <c r="D19" s="3"/>
      <c r="E19" s="3"/>
      <c r="F19" s="3"/>
      <c r="G19" s="3"/>
      <c r="H19" s="109" t="s">
        <v>27</v>
      </c>
      <c r="I19" s="3"/>
      <c r="J19" s="3"/>
      <c r="K19" s="3"/>
      <c r="L19" s="3"/>
      <c r="M19" s="109" t="s">
        <v>28</v>
      </c>
      <c r="N19" s="4"/>
    </row>
    <row r="20" spans="1:14">
      <c r="A20" s="1"/>
      <c r="B20" s="4"/>
      <c r="C20" s="4"/>
      <c r="D20" s="4"/>
      <c r="E20" s="4"/>
      <c r="F20" s="4"/>
      <c r="G20" s="3"/>
      <c r="H20" s="109" t="s">
        <v>29</v>
      </c>
      <c r="I20" s="3"/>
      <c r="J20" s="3"/>
      <c r="K20" s="3"/>
      <c r="L20" s="3"/>
      <c r="M20" s="109" t="s">
        <v>30</v>
      </c>
      <c r="N20" s="4"/>
    </row>
    <row r="21" spans="1:14">
      <c r="A21" s="1"/>
      <c r="B21" s="1"/>
      <c r="C21" s="1"/>
      <c r="D21" s="1"/>
      <c r="E21" s="1"/>
      <c r="F21" s="1"/>
      <c r="G21" s="3"/>
      <c r="H21" s="109" t="s">
        <v>31</v>
      </c>
      <c r="I21" s="3"/>
      <c r="J21" s="3"/>
      <c r="K21" s="3"/>
      <c r="L21" s="3"/>
      <c r="M21" s="109" t="s">
        <v>32</v>
      </c>
      <c r="N21" s="1"/>
    </row>
    <row r="22" spans="1:14">
      <c r="A22" s="1"/>
      <c r="B22" s="1"/>
      <c r="C22" s="1"/>
      <c r="D22" s="1"/>
      <c r="E22" s="1"/>
      <c r="F22" s="1"/>
      <c r="G22" s="3"/>
      <c r="H22" s="109" t="s">
        <v>33</v>
      </c>
      <c r="I22" s="3"/>
      <c r="J22" s="3"/>
      <c r="K22" s="3"/>
      <c r="L22" s="3"/>
      <c r="M22" s="109" t="s">
        <v>34</v>
      </c>
      <c r="N22" s="2"/>
    </row>
    <row r="23" spans="1:14">
      <c r="A23" s="1"/>
      <c r="B23" s="1"/>
      <c r="C23" s="1"/>
      <c r="D23" s="1"/>
      <c r="E23" s="1"/>
      <c r="F23" s="1"/>
      <c r="G23" s="3"/>
      <c r="H23" s="109" t="s">
        <v>35</v>
      </c>
      <c r="I23" s="3"/>
      <c r="J23" s="3"/>
      <c r="K23" s="3"/>
      <c r="L23" s="3"/>
      <c r="M23" s="109" t="s">
        <v>36</v>
      </c>
      <c r="N23" s="2"/>
    </row>
    <row r="24" spans="1:14">
      <c r="A24" s="1"/>
      <c r="B24" s="1"/>
      <c r="C24" s="1"/>
      <c r="D24" s="1"/>
      <c r="E24" s="1"/>
      <c r="F24" s="1"/>
      <c r="G24" s="3" t="s">
        <v>37</v>
      </c>
      <c r="H24" s="109"/>
      <c r="I24" s="3"/>
      <c r="J24" s="3"/>
      <c r="K24" s="3"/>
      <c r="L24" s="3"/>
      <c r="M24" s="109" t="s">
        <v>38</v>
      </c>
      <c r="N24" s="2"/>
    </row>
    <row r="25" spans="1:14">
      <c r="A25" s="1"/>
      <c r="B25" s="1"/>
      <c r="C25" s="1"/>
      <c r="D25" s="1"/>
      <c r="E25" s="1"/>
      <c r="F25" s="1"/>
      <c r="G25" s="3"/>
      <c r="H25" s="109" t="s">
        <v>39</v>
      </c>
      <c r="I25" s="3"/>
      <c r="J25" s="3"/>
      <c r="K25" s="3"/>
      <c r="L25" s="3"/>
      <c r="M25" s="109" t="s">
        <v>40</v>
      </c>
      <c r="N25" s="2"/>
    </row>
    <row r="26" spans="1:14">
      <c r="A26" s="1"/>
      <c r="B26" s="1"/>
      <c r="C26" s="1"/>
      <c r="D26" s="1"/>
      <c r="E26" s="1"/>
      <c r="F26" s="1"/>
      <c r="G26" s="3"/>
      <c r="H26" s="109" t="s">
        <v>41</v>
      </c>
      <c r="I26" s="3"/>
      <c r="J26" s="3"/>
      <c r="K26" s="3"/>
      <c r="L26" s="3"/>
      <c r="M26" s="109" t="s">
        <v>42</v>
      </c>
      <c r="N26" s="2"/>
    </row>
    <row r="27" spans="1:14">
      <c r="A27" s="1"/>
      <c r="B27" s="1"/>
      <c r="C27" s="1"/>
      <c r="D27" s="1"/>
      <c r="E27" s="1"/>
      <c r="F27" s="1"/>
      <c r="G27" s="3"/>
      <c r="H27" s="109" t="s">
        <v>43</v>
      </c>
      <c r="I27" s="3"/>
      <c r="J27" s="3"/>
      <c r="K27" s="3"/>
      <c r="L27" s="3"/>
      <c r="M27" s="109" t="s">
        <v>44</v>
      </c>
      <c r="N27" s="2"/>
    </row>
    <row r="28" spans="1:14">
      <c r="A28" s="1"/>
      <c r="B28" s="1"/>
      <c r="C28" s="1"/>
      <c r="D28" s="1"/>
      <c r="E28" s="1"/>
      <c r="F28" s="1"/>
      <c r="G28" s="3"/>
      <c r="H28" s="109" t="s">
        <v>45</v>
      </c>
      <c r="I28" s="3"/>
      <c r="J28" s="3"/>
      <c r="K28" s="3"/>
      <c r="L28" s="3"/>
      <c r="M28" s="109" t="s">
        <v>46</v>
      </c>
      <c r="N28" s="2"/>
    </row>
    <row r="29" spans="1:14">
      <c r="A29" s="1"/>
      <c r="B29" s="1"/>
      <c r="C29" s="1"/>
      <c r="D29" s="1"/>
      <c r="E29" s="1"/>
      <c r="F29" s="1"/>
      <c r="G29" s="3"/>
      <c r="H29" s="109" t="s">
        <v>47</v>
      </c>
      <c r="I29" s="3"/>
      <c r="J29" s="3"/>
      <c r="K29" s="3"/>
      <c r="L29" s="3"/>
      <c r="M29" s="109" t="s">
        <v>48</v>
      </c>
      <c r="N29" s="2"/>
    </row>
    <row r="30" spans="1:14">
      <c r="A30" s="1"/>
      <c r="B30" s="1"/>
      <c r="C30" s="1"/>
      <c r="D30" s="1"/>
      <c r="E30" s="1"/>
      <c r="F30" s="1"/>
      <c r="G30" s="3" t="s">
        <v>49</v>
      </c>
      <c r="H30" s="109"/>
      <c r="I30" s="3"/>
      <c r="J30" s="3"/>
      <c r="K30" s="3"/>
      <c r="L30" s="3"/>
      <c r="M30" s="109" t="s">
        <v>50</v>
      </c>
      <c r="N30" s="2"/>
    </row>
    <row r="31" spans="1:14">
      <c r="A31" s="1"/>
      <c r="B31" s="1"/>
      <c r="C31" s="1"/>
      <c r="D31" s="1"/>
      <c r="E31" s="1"/>
      <c r="F31" s="1"/>
      <c r="G31" s="3"/>
      <c r="H31" s="109" t="s">
        <v>51</v>
      </c>
      <c r="I31" s="3"/>
      <c r="J31" s="3"/>
      <c r="K31" s="3"/>
      <c r="L31" s="3"/>
      <c r="M31" s="109" t="s">
        <v>52</v>
      </c>
      <c r="N31" s="2"/>
    </row>
    <row r="32" spans="1:14">
      <c r="A32" s="1"/>
      <c r="B32" s="1"/>
      <c r="C32" s="1"/>
      <c r="D32" s="1"/>
      <c r="E32" s="1"/>
      <c r="F32" s="1"/>
      <c r="G32" s="3"/>
      <c r="H32" s="109" t="s">
        <v>53</v>
      </c>
      <c r="I32" s="3"/>
      <c r="J32" s="3"/>
      <c r="K32" s="3"/>
      <c r="L32" s="3"/>
      <c r="M32" s="109" t="s">
        <v>54</v>
      </c>
      <c r="N32" s="2"/>
    </row>
    <row r="33" spans="1:14">
      <c r="A33" s="1"/>
      <c r="B33" s="1"/>
      <c r="C33" s="1"/>
      <c r="D33" s="1"/>
      <c r="E33" s="1"/>
      <c r="F33" s="1"/>
      <c r="G33" s="3"/>
      <c r="H33" s="109" t="s">
        <v>43</v>
      </c>
      <c r="I33" s="3"/>
      <c r="J33" s="3"/>
      <c r="K33" s="3"/>
      <c r="L33" s="3"/>
      <c r="M33" s="109" t="s">
        <v>55</v>
      </c>
      <c r="N33" s="2"/>
    </row>
    <row r="34" spans="1:14">
      <c r="A34" s="1"/>
      <c r="B34" s="1"/>
      <c r="C34" s="1"/>
      <c r="D34" s="1"/>
      <c r="E34" s="1"/>
      <c r="F34" s="1"/>
      <c r="G34" s="3"/>
      <c r="H34" s="109" t="s">
        <v>56</v>
      </c>
      <c r="I34" s="3"/>
      <c r="J34" s="3"/>
      <c r="K34" s="3"/>
      <c r="L34" s="3"/>
      <c r="M34" s="109" t="s">
        <v>57</v>
      </c>
      <c r="N34" s="2"/>
    </row>
    <row r="35" spans="1:14">
      <c r="A35" s="1"/>
      <c r="B35" s="1"/>
      <c r="C35" s="1"/>
      <c r="D35" s="1"/>
      <c r="E35" s="1"/>
      <c r="F35" s="1"/>
      <c r="G35" s="3"/>
      <c r="H35" s="109" t="s">
        <v>58</v>
      </c>
      <c r="I35" s="3"/>
      <c r="J35" s="3"/>
      <c r="K35" s="3"/>
      <c r="L35" s="3"/>
      <c r="M35" s="109" t="s">
        <v>59</v>
      </c>
      <c r="N35" s="2"/>
    </row>
    <row r="36" spans="1:14">
      <c r="A36" s="1"/>
      <c r="B36" s="1"/>
      <c r="C36" s="1"/>
      <c r="D36" s="1"/>
      <c r="E36" s="1"/>
      <c r="F36" s="1"/>
      <c r="G36" s="3" t="s">
        <v>60</v>
      </c>
      <c r="H36" s="109"/>
      <c r="I36" s="3"/>
      <c r="J36" s="3"/>
      <c r="K36" s="3"/>
      <c r="L36" s="3"/>
      <c r="M36" s="109" t="s">
        <v>61</v>
      </c>
      <c r="N36" s="2"/>
    </row>
    <row r="37" spans="1:14">
      <c r="A37" s="1"/>
      <c r="B37" s="1"/>
      <c r="C37" s="1"/>
      <c r="D37" s="1"/>
      <c r="E37" s="1"/>
      <c r="F37" s="1"/>
      <c r="G37" s="3"/>
      <c r="H37" s="109" t="s">
        <v>53</v>
      </c>
      <c r="I37" s="3"/>
      <c r="J37" s="3"/>
      <c r="K37" s="3"/>
      <c r="L37" s="3"/>
      <c r="M37" s="109" t="s">
        <v>62</v>
      </c>
      <c r="N37" s="2"/>
    </row>
    <row r="38" spans="1:14">
      <c r="A38" s="1"/>
      <c r="B38" s="1"/>
      <c r="C38" s="1"/>
      <c r="D38" s="1"/>
      <c r="E38" s="1"/>
      <c r="F38" s="1"/>
      <c r="G38" s="3"/>
      <c r="H38" s="109" t="s">
        <v>43</v>
      </c>
      <c r="I38" s="3"/>
      <c r="J38" s="3"/>
      <c r="K38" s="3"/>
      <c r="L38" s="3"/>
      <c r="M38" s="109" t="s">
        <v>63</v>
      </c>
      <c r="N38" s="2"/>
    </row>
    <row r="39" spans="1:14">
      <c r="A39" s="1"/>
      <c r="B39" s="1"/>
      <c r="C39" s="1"/>
      <c r="D39" s="1"/>
      <c r="E39" s="1"/>
      <c r="F39" s="1"/>
      <c r="G39" s="3"/>
      <c r="H39" s="109"/>
      <c r="I39" s="3"/>
      <c r="J39" s="3"/>
      <c r="K39" s="3"/>
      <c r="L39" s="3"/>
      <c r="M39" s="109"/>
      <c r="N39" s="2"/>
    </row>
    <row r="40" spans="1:14">
      <c r="A40" s="1"/>
      <c r="B40" s="1"/>
      <c r="C40" s="1"/>
      <c r="D40" s="1"/>
      <c r="E40" s="1"/>
      <c r="F40" s="1"/>
      <c r="G40" s="3"/>
      <c r="H40" s="109"/>
      <c r="I40" s="3"/>
      <c r="J40" s="3"/>
      <c r="K40" s="3"/>
      <c r="L40" s="3"/>
      <c r="M40" s="109"/>
      <c r="N40" s="2"/>
    </row>
    <row r="41" spans="1:14">
      <c r="A41" s="1"/>
      <c r="B41" s="1"/>
      <c r="C41" s="1"/>
      <c r="D41" s="1"/>
      <c r="E41" s="1"/>
      <c r="F41" s="1"/>
      <c r="G41" s="3"/>
      <c r="H41" s="109"/>
      <c r="I41" s="3"/>
      <c r="J41" s="3"/>
      <c r="K41" s="3"/>
      <c r="L41" s="3"/>
      <c r="M41" s="109"/>
      <c r="N41" s="2"/>
    </row>
    <row r="42" spans="1:14">
      <c r="A42" s="1"/>
      <c r="B42" s="1"/>
      <c r="C42" s="1"/>
      <c r="D42" s="1"/>
      <c r="E42" s="1"/>
      <c r="F42" s="1"/>
      <c r="G42" s="3"/>
      <c r="H42" s="109"/>
      <c r="I42" s="3"/>
      <c r="J42" s="3"/>
      <c r="K42" s="3"/>
      <c r="L42" s="3"/>
      <c r="M42" s="109"/>
      <c r="N42" s="2"/>
    </row>
    <row r="43" spans="1:14">
      <c r="A43" s="1"/>
      <c r="B43" s="1"/>
      <c r="C43" s="1"/>
      <c r="D43" s="1"/>
      <c r="E43" s="1"/>
      <c r="F43" s="1"/>
      <c r="G43" s="3"/>
      <c r="H43" s="109"/>
      <c r="I43" s="3"/>
      <c r="J43" s="3"/>
      <c r="K43" s="3"/>
      <c r="L43" s="3"/>
      <c r="M43" s="109"/>
      <c r="N43" s="2"/>
    </row>
    <row r="44" spans="1:14">
      <c r="A44" s="1"/>
      <c r="B44" s="1"/>
      <c r="C44" s="1"/>
      <c r="D44" s="1"/>
      <c r="E44" s="1"/>
      <c r="F44" s="1"/>
      <c r="G44" s="3"/>
      <c r="H44" s="109"/>
      <c r="I44" s="3"/>
      <c r="J44" s="3"/>
      <c r="K44" s="3"/>
      <c r="L44" s="3"/>
      <c r="M44" s="109"/>
      <c r="N44" s="2"/>
    </row>
    <row r="45" spans="1:14">
      <c r="A45" s="1"/>
      <c r="B45" s="1"/>
      <c r="C45" s="1"/>
      <c r="D45" s="1"/>
      <c r="E45" s="1"/>
      <c r="F45" s="1"/>
      <c r="G45" s="4"/>
      <c r="H45" s="4"/>
      <c r="I45" s="4"/>
      <c r="J45" s="4"/>
      <c r="K45" s="4"/>
      <c r="L45" s="4"/>
      <c r="M45" s="4"/>
      <c r="N45" s="1"/>
    </row>
    <row r="46" spans="1:14">
      <c r="A46" s="1"/>
      <c r="B46" s="1"/>
      <c r="C46" s="1"/>
      <c r="D46" s="1"/>
      <c r="E46" s="1"/>
      <c r="F46" s="1"/>
      <c r="G46" s="1"/>
      <c r="H46" s="1"/>
      <c r="I46" s="1"/>
      <c r="J46" s="1"/>
      <c r="K46" s="1"/>
      <c r="L46" s="1"/>
      <c r="M46" s="1"/>
      <c r="N46" s="1"/>
    </row>
  </sheetData>
  <hyperlinks>
    <hyperlink ref="G3" display="User Notes" xr:uid="{00000000-0004-0000-0200-000000000000}"/>
    <hyperlink ref="G5" display="Escalation" xr:uid="{00000000-0004-0000-0200-000001000000}"/>
    <hyperlink ref="H8" display="Assumptions &amp; Allowances" xr:uid="{00000000-0004-0000-0200-000002000000}"/>
    <hyperlink ref="H9" display="Cost Rates Summary" xr:uid="{00000000-0004-0000-0200-000003000000}"/>
    <hyperlink ref="H11" display="Assumptions &amp; Allowances" xr:uid="{00000000-0004-0000-0200-000004000000}"/>
    <hyperlink ref="H12" display="Cost Rates Summary" xr:uid="{00000000-0004-0000-0200-000005000000}"/>
    <hyperlink ref="H14" display="Assumptions &amp; Allowances" xr:uid="{00000000-0004-0000-0200-000006000000}"/>
    <hyperlink ref="H15" display="Cost Rates Summary" xr:uid="{00000000-0004-0000-0200-000007000000}"/>
    <hyperlink ref="H16" display="Rate Build Up Tool" xr:uid="{00000000-0004-0000-0200-000008000000}"/>
    <hyperlink ref="H19" display="Project Justification" xr:uid="{00000000-0004-0000-0200-000009000000}"/>
    <hyperlink ref="H20" display="Estimate" xr:uid="{00000000-0004-0000-0200-00000A000000}"/>
    <hyperlink ref="H21" display="Cashflow" xr:uid="{00000000-0004-0000-0200-00000B000000}"/>
    <hyperlink ref="H23" display="Indices" xr:uid="{00000000-0004-0000-0200-00000C000000}"/>
    <hyperlink ref="M3" display="Page 1" xr:uid="{00000000-0004-0000-0200-00000D000000}"/>
    <hyperlink ref="M5" display="Page 2" xr:uid="{00000000-0004-0000-0200-00000E000000}"/>
    <hyperlink ref="M8" display="Page 3" xr:uid="{00000000-0004-0000-0200-00000F000000}"/>
    <hyperlink ref="M9" display="Page 4" xr:uid="{00000000-0004-0000-0200-000010000000}"/>
    <hyperlink ref="M11" display="Page 5" xr:uid="{00000000-0004-0000-0200-000011000000}"/>
    <hyperlink ref="M12" display="Page 6" xr:uid="{00000000-0004-0000-0200-000012000000}"/>
    <hyperlink ref="M14" display="Page 7" xr:uid="{00000000-0004-0000-0200-000013000000}"/>
    <hyperlink ref="M15" display="Page 8" xr:uid="{00000000-0004-0000-0200-000014000000}"/>
    <hyperlink ref="M16" display="Page 9" xr:uid="{00000000-0004-0000-0200-000015000000}"/>
    <hyperlink ref="M19" display="Page 10" xr:uid="{00000000-0004-0000-0200-000016000000}"/>
    <hyperlink ref="M20" display="Page 11" xr:uid="{00000000-0004-0000-0200-000017000000}"/>
    <hyperlink ref="M21" display="Page 12" xr:uid="{00000000-0004-0000-0200-000018000000}"/>
    <hyperlink ref="M23" display="Page 14" xr:uid="{00000000-0004-0000-0200-000019000000}"/>
    <hyperlink ref="H22" display="Cost Programming " xr:uid="{00000000-0004-0000-0200-00001A000000}"/>
    <hyperlink ref="M22" display="Page 13" xr:uid="{00000000-0004-0000-0200-00001B000000}"/>
    <hyperlink ref="G4" display="User Notes" xr:uid="{00000000-0004-0000-0200-00001C000000}"/>
    <hyperlink ref="M4" display="Page 1" xr:uid="{00000000-0004-0000-0200-00001D000000}"/>
    <hyperlink ref="M24:M38" display="Page 14" xr:uid="{00000000-0004-0000-0200-00001E000000}"/>
  </hyperlinks>
  <pageMargins left="0.7" right="0.7" top="0.75" bottom="0.75" header="0.3" footer="0.3"/>
  <pageSetup paperSize="8" orientation="landscape" r:id="rId1"/>
  <headerFooter>
    <oddHeader>&amp;C&amp;"Calibri"&amp;10&amp;K000000Confidential&amp;1#</oddHeader>
    <oddFooter>&amp;R&amp;1#&amp;"Calibri"&amp;10&amp;K000000Confidential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355D5-CEEB-4952-9FBF-86822A991D4D}">
  <sheetPr codeName="Sheet4">
    <tabColor theme="4"/>
    <pageSetUpPr fitToPage="1"/>
  </sheetPr>
  <dimension ref="B2:Y75"/>
  <sheetViews>
    <sheetView showGridLines="0" topLeftCell="A44" zoomScale="70" zoomScaleNormal="70" workbookViewId="0">
      <selection activeCell="H42" sqref="H42:L42"/>
    </sheetView>
  </sheetViews>
  <sheetFormatPr defaultColWidth="10.7109375" defaultRowHeight="12"/>
  <cols>
    <col min="1" max="1" width="10.7109375" style="840"/>
    <col min="2" max="2" width="18.28515625" style="840" customWidth="1"/>
    <col min="3" max="3" width="13" style="841" customWidth="1"/>
    <col min="4" max="4" width="21.7109375" style="842" customWidth="1"/>
    <col min="5" max="5" width="15.28515625" style="840" customWidth="1"/>
    <col min="6" max="6" width="25.85546875" style="840" customWidth="1"/>
    <col min="7" max="7" width="25.7109375" style="840" customWidth="1"/>
    <col min="8" max="19" width="13" style="840" customWidth="1"/>
    <col min="20" max="20" width="15.85546875" style="840" customWidth="1"/>
    <col min="21" max="22" width="21.7109375" style="840" customWidth="1"/>
    <col min="23" max="24" width="13" style="840" customWidth="1"/>
    <col min="25" max="25" width="23.7109375" style="840" customWidth="1"/>
    <col min="26" max="16384" width="10.7109375" style="840"/>
  </cols>
  <sheetData>
    <row r="2" spans="2:25" s="834" customFormat="1" ht="28.5">
      <c r="B2" s="833" t="s">
        <v>1098</v>
      </c>
      <c r="C2" s="833"/>
      <c r="D2" s="833"/>
    </row>
    <row r="3" spans="2:25" s="834" customFormat="1" ht="29.25" thickBot="1">
      <c r="B3" s="835" t="s">
        <v>1099</v>
      </c>
      <c r="C3" s="835"/>
      <c r="D3" s="835"/>
      <c r="E3" s="836"/>
      <c r="F3" s="836"/>
      <c r="G3" s="836"/>
      <c r="H3" s="836"/>
      <c r="I3" s="836"/>
      <c r="J3" s="836"/>
      <c r="K3" s="836"/>
      <c r="L3" s="836"/>
      <c r="M3" s="836"/>
      <c r="N3" s="836"/>
      <c r="O3" s="836"/>
      <c r="P3" s="836"/>
      <c r="Q3" s="836"/>
      <c r="R3" s="836"/>
      <c r="S3" s="836"/>
      <c r="T3" s="836"/>
      <c r="U3" s="836"/>
      <c r="V3" s="836"/>
      <c r="W3" s="836"/>
      <c r="X3" s="836"/>
      <c r="Y3" s="836"/>
    </row>
    <row r="4" spans="2:25" s="839" customFormat="1" ht="18.75">
      <c r="B4" s="837"/>
      <c r="C4" s="838"/>
      <c r="D4" s="838"/>
    </row>
    <row r="5" spans="2:25" s="839" customFormat="1" ht="18.75">
      <c r="B5" s="837"/>
      <c r="C5" s="838"/>
      <c r="D5" s="838"/>
    </row>
    <row r="6" spans="2:25" s="839" customFormat="1" ht="18.75">
      <c r="B6" s="837"/>
      <c r="C6" s="838"/>
      <c r="D6" s="838"/>
    </row>
    <row r="7" spans="2:25" s="839" customFormat="1" ht="18.75">
      <c r="B7" s="837"/>
      <c r="C7" s="838"/>
      <c r="D7" s="838"/>
    </row>
    <row r="8" spans="2:25" s="839" customFormat="1" ht="18.75">
      <c r="B8" s="837"/>
      <c r="C8" s="838"/>
      <c r="D8" s="838"/>
    </row>
    <row r="9" spans="2:25" s="839" customFormat="1" ht="18.75">
      <c r="B9" s="838"/>
      <c r="C9" s="837"/>
      <c r="D9" s="838"/>
    </row>
    <row r="10" spans="2:25" s="839" customFormat="1" ht="18.75">
      <c r="B10" s="838"/>
      <c r="C10" s="837"/>
      <c r="D10" s="838"/>
    </row>
    <row r="11" spans="2:25" s="839" customFormat="1" ht="18.75">
      <c r="B11" s="838"/>
      <c r="C11" s="837"/>
      <c r="D11" s="838"/>
    </row>
    <row r="12" spans="2:25" s="839" customFormat="1" ht="18.75">
      <c r="B12" s="838"/>
      <c r="C12" s="837"/>
      <c r="D12" s="838"/>
    </row>
    <row r="13" spans="2:25" s="839" customFormat="1" ht="18.75">
      <c r="B13" s="838"/>
      <c r="C13" s="837"/>
      <c r="D13" s="838"/>
    </row>
    <row r="14" spans="2:25" s="839" customFormat="1" ht="18.75">
      <c r="B14" s="838"/>
      <c r="C14" s="837"/>
      <c r="D14" s="838"/>
    </row>
    <row r="15" spans="2:25" s="839" customFormat="1" ht="18.75">
      <c r="B15" s="838"/>
      <c r="C15" s="837"/>
      <c r="D15" s="838"/>
    </row>
    <row r="16" spans="2:25" s="839" customFormat="1" ht="18.75">
      <c r="B16" s="838"/>
      <c r="C16" s="837"/>
      <c r="D16" s="838"/>
    </row>
    <row r="17" spans="2:4" s="839" customFormat="1" ht="18.75">
      <c r="B17" s="838"/>
      <c r="C17" s="837"/>
      <c r="D17" s="838"/>
    </row>
    <row r="18" spans="2:4" s="839" customFormat="1" ht="18.75">
      <c r="B18" s="838"/>
      <c r="C18" s="837"/>
      <c r="D18" s="838"/>
    </row>
    <row r="19" spans="2:4" s="839" customFormat="1" ht="18.75">
      <c r="B19" s="838"/>
      <c r="C19" s="837"/>
      <c r="D19" s="838"/>
    </row>
    <row r="20" spans="2:4" s="839" customFormat="1" ht="18.75">
      <c r="B20" s="838"/>
      <c r="C20" s="837"/>
      <c r="D20" s="838"/>
    </row>
    <row r="21" spans="2:4" s="839" customFormat="1" ht="18.75">
      <c r="B21" s="838"/>
      <c r="C21" s="837"/>
      <c r="D21" s="838"/>
    </row>
    <row r="22" spans="2:4" s="839" customFormat="1" ht="18.75">
      <c r="B22" s="838"/>
      <c r="C22" s="837"/>
      <c r="D22" s="838"/>
    </row>
    <row r="23" spans="2:4" s="839" customFormat="1" ht="18.75">
      <c r="B23" s="838"/>
      <c r="C23" s="837"/>
      <c r="D23" s="838"/>
    </row>
    <row r="24" spans="2:4" s="839" customFormat="1" ht="18.75">
      <c r="B24" s="838"/>
      <c r="C24" s="837"/>
      <c r="D24" s="838"/>
    </row>
    <row r="25" spans="2:4" s="839" customFormat="1" ht="18.75">
      <c r="B25" s="838"/>
      <c r="C25" s="837"/>
      <c r="D25" s="838"/>
    </row>
    <row r="26" spans="2:4" s="839" customFormat="1" ht="25.9" customHeight="1">
      <c r="B26" s="838"/>
      <c r="C26" s="837"/>
      <c r="D26" s="838"/>
    </row>
    <row r="27" spans="2:4" s="839" customFormat="1" ht="18.75">
      <c r="B27" s="838"/>
      <c r="C27" s="837"/>
      <c r="D27" s="838"/>
    </row>
    <row r="39" spans="2:25" ht="12.75" thickBot="1"/>
    <row r="40" spans="2:25" ht="11.65" customHeight="1" thickBot="1">
      <c r="D40" s="1530" t="s">
        <v>1100</v>
      </c>
      <c r="E40" s="1531"/>
      <c r="F40" s="1531"/>
      <c r="G40" s="1531"/>
      <c r="H40" s="1531"/>
      <c r="I40" s="1531"/>
      <c r="J40" s="1531"/>
      <c r="K40" s="1531"/>
      <c r="L40" s="1531"/>
      <c r="M40" s="1531"/>
      <c r="N40" s="1531"/>
      <c r="O40" s="1531"/>
      <c r="P40" s="1531"/>
      <c r="Q40" s="1531"/>
      <c r="R40" s="1532"/>
    </row>
    <row r="41" spans="2:25" s="843" customFormat="1" ht="39.4" customHeight="1">
      <c r="B41" s="1533" t="s">
        <v>1099</v>
      </c>
      <c r="C41" s="1535" t="s">
        <v>1101</v>
      </c>
      <c r="D41" s="1537" t="s">
        <v>1102</v>
      </c>
      <c r="E41" s="1537" t="s">
        <v>1103</v>
      </c>
      <c r="F41" s="1539" t="s">
        <v>1104</v>
      </c>
      <c r="G41" s="1540"/>
      <c r="H41" s="1543" t="s">
        <v>1105</v>
      </c>
      <c r="I41" s="1544"/>
      <c r="J41" s="1544"/>
      <c r="K41" s="1544"/>
      <c r="L41" s="1544"/>
      <c r="M41" s="1545" t="s">
        <v>1106</v>
      </c>
      <c r="N41" s="1546"/>
      <c r="O41" s="1546"/>
      <c r="P41" s="1546"/>
      <c r="Q41" s="1546"/>
      <c r="R41" s="1546"/>
      <c r="S41" s="1495" t="s">
        <v>1107</v>
      </c>
      <c r="T41" s="1495"/>
      <c r="U41" s="1495"/>
      <c r="V41" s="1496"/>
      <c r="W41" s="1499" t="s">
        <v>1108</v>
      </c>
      <c r="X41" s="1500"/>
      <c r="Y41" s="1503" t="s">
        <v>1109</v>
      </c>
    </row>
    <row r="42" spans="2:25" s="843" customFormat="1" ht="33.4" customHeight="1" thickBot="1">
      <c r="B42" s="1534"/>
      <c r="C42" s="1536"/>
      <c r="D42" s="1538"/>
      <c r="E42" s="1538"/>
      <c r="F42" s="1541"/>
      <c r="G42" s="1542"/>
      <c r="H42" s="1507" t="s">
        <v>1110</v>
      </c>
      <c r="I42" s="1508"/>
      <c r="J42" s="1508"/>
      <c r="K42" s="1508"/>
      <c r="L42" s="1508"/>
      <c r="M42" s="1509" t="s">
        <v>1111</v>
      </c>
      <c r="N42" s="1510"/>
      <c r="O42" s="1510"/>
      <c r="P42" s="1510"/>
      <c r="Q42" s="1510"/>
      <c r="R42" s="1510"/>
      <c r="S42" s="1497"/>
      <c r="T42" s="1497"/>
      <c r="U42" s="1497"/>
      <c r="V42" s="1498"/>
      <c r="W42" s="1501"/>
      <c r="X42" s="1502"/>
      <c r="Y42" s="1504"/>
    </row>
    <row r="43" spans="2:25" ht="19.149999999999999" customHeight="1" thickBot="1">
      <c r="D43" s="844"/>
      <c r="E43" s="845"/>
      <c r="F43" s="845"/>
      <c r="G43" s="845" t="s">
        <v>1112</v>
      </c>
      <c r="H43" s="845"/>
      <c r="I43" s="845"/>
      <c r="J43" s="845"/>
      <c r="K43" s="845"/>
      <c r="L43" s="846"/>
      <c r="M43" s="847"/>
      <c r="N43" s="847"/>
      <c r="O43" s="847"/>
      <c r="P43" s="847"/>
      <c r="Q43" s="847"/>
      <c r="R43" s="847"/>
      <c r="S43" s="847"/>
      <c r="T43" s="847"/>
      <c r="U43" s="847"/>
      <c r="V43" s="847"/>
      <c r="W43" s="847"/>
      <c r="X43" s="847"/>
      <c r="Y43" s="1505"/>
    </row>
    <row r="44" spans="2:25" ht="12.75" customHeight="1">
      <c r="B44" s="1522" t="s">
        <v>1113</v>
      </c>
      <c r="C44" s="1465" t="s">
        <v>1114</v>
      </c>
      <c r="D44" s="1527" t="s">
        <v>1115</v>
      </c>
      <c r="E44" s="1528"/>
      <c r="F44" s="1528"/>
      <c r="G44" s="1528"/>
      <c r="H44" s="1528"/>
      <c r="I44" s="1528"/>
      <c r="J44" s="1528"/>
      <c r="K44" s="1528"/>
      <c r="L44" s="1529"/>
      <c r="M44" s="1467" t="s">
        <v>1116</v>
      </c>
      <c r="N44" s="1468"/>
      <c r="O44" s="1468"/>
      <c r="P44" s="1468"/>
      <c r="Q44" s="1468"/>
      <c r="R44" s="1469"/>
      <c r="S44" s="1467" t="s">
        <v>1117</v>
      </c>
      <c r="T44" s="1468"/>
      <c r="U44" s="1468"/>
      <c r="V44" s="1469"/>
      <c r="W44" s="1511" t="s">
        <v>1118</v>
      </c>
      <c r="X44" s="1512"/>
      <c r="Y44" s="1504"/>
    </row>
    <row r="45" spans="2:25" ht="11.25" customHeight="1">
      <c r="B45" s="1523"/>
      <c r="C45" s="1525"/>
      <c r="D45" s="1513" t="s">
        <v>1119</v>
      </c>
      <c r="E45" s="1514"/>
      <c r="F45" s="1514"/>
      <c r="G45" s="1514"/>
      <c r="H45" s="1514"/>
      <c r="I45" s="1514"/>
      <c r="J45" s="1514"/>
      <c r="K45" s="1514"/>
      <c r="L45" s="1514"/>
      <c r="M45" s="1514"/>
      <c r="N45" s="1514"/>
      <c r="O45" s="1514"/>
      <c r="P45" s="1514"/>
      <c r="Q45" s="1514"/>
      <c r="R45" s="1514"/>
      <c r="S45" s="1514"/>
      <c r="T45" s="1514"/>
      <c r="U45" s="1514"/>
      <c r="V45" s="1514"/>
      <c r="W45" s="1514"/>
      <c r="X45" s="1515"/>
      <c r="Y45" s="1504"/>
    </row>
    <row r="46" spans="2:25" ht="11.65" customHeight="1">
      <c r="B46" s="1523"/>
      <c r="C46" s="1526"/>
      <c r="D46" s="1516" t="s">
        <v>1120</v>
      </c>
      <c r="E46" s="1517"/>
      <c r="F46" s="1517"/>
      <c r="G46" s="1517"/>
      <c r="H46" s="1517"/>
      <c r="I46" s="1517"/>
      <c r="J46" s="1517"/>
      <c r="K46" s="1517"/>
      <c r="L46" s="1517"/>
      <c r="M46" s="1517"/>
      <c r="N46" s="1517"/>
      <c r="O46" s="1517"/>
      <c r="P46" s="1517"/>
      <c r="Q46" s="1517"/>
      <c r="R46" s="1517"/>
      <c r="S46" s="1517"/>
      <c r="T46" s="1517"/>
      <c r="U46" s="1517"/>
      <c r="V46" s="1517"/>
      <c r="W46" s="1517"/>
      <c r="X46" s="1518"/>
      <c r="Y46" s="1504"/>
    </row>
    <row r="47" spans="2:25" ht="13.5" customHeight="1" thickBot="1">
      <c r="B47" s="1523"/>
      <c r="C47" s="1466"/>
      <c r="D47" s="1519" t="s">
        <v>1121</v>
      </c>
      <c r="E47" s="1520"/>
      <c r="F47" s="1520"/>
      <c r="G47" s="1520"/>
      <c r="H47" s="1520"/>
      <c r="I47" s="1520"/>
      <c r="J47" s="1520"/>
      <c r="K47" s="1520"/>
      <c r="L47" s="1520"/>
      <c r="M47" s="1520"/>
      <c r="N47" s="1520"/>
      <c r="O47" s="1520"/>
      <c r="P47" s="1520"/>
      <c r="Q47" s="1520"/>
      <c r="R47" s="1520"/>
      <c r="S47" s="1520"/>
      <c r="T47" s="1520"/>
      <c r="U47" s="1520"/>
      <c r="V47" s="1520"/>
      <c r="W47" s="1520"/>
      <c r="X47" s="1521"/>
      <c r="Y47" s="1504"/>
    </row>
    <row r="48" spans="2:25" ht="12.75" thickBot="1">
      <c r="B48" s="1523"/>
      <c r="D48" s="844"/>
      <c r="E48" s="845"/>
      <c r="F48" s="845"/>
      <c r="G48" s="845"/>
      <c r="H48" s="845"/>
      <c r="I48" s="845"/>
      <c r="J48" s="845"/>
      <c r="K48" s="845"/>
      <c r="L48" s="846"/>
      <c r="M48" s="847"/>
      <c r="N48" s="847"/>
      <c r="O48" s="847"/>
      <c r="P48" s="847"/>
      <c r="Q48" s="847"/>
      <c r="R48" s="847"/>
      <c r="S48" s="847"/>
      <c r="T48" s="847"/>
      <c r="U48" s="847"/>
      <c r="V48" s="847"/>
      <c r="W48" s="847"/>
      <c r="X48" s="847"/>
      <c r="Y48" s="1505"/>
    </row>
    <row r="49" spans="2:25" ht="46.5" customHeight="1" thickBot="1">
      <c r="B49" s="1523"/>
      <c r="C49" s="848" t="s">
        <v>1122</v>
      </c>
      <c r="D49" s="849"/>
      <c r="E49" s="850"/>
      <c r="F49" s="850"/>
      <c r="G49" s="850"/>
      <c r="H49" s="850"/>
      <c r="I49" s="850"/>
      <c r="J49" s="850"/>
      <c r="K49" s="850"/>
      <c r="L49" s="851"/>
      <c r="M49" s="1474" t="s">
        <v>1123</v>
      </c>
      <c r="N49" s="1476"/>
      <c r="O49" s="852" t="s">
        <v>1124</v>
      </c>
      <c r="P49" s="1493" t="s">
        <v>1125</v>
      </c>
      <c r="Q49" s="1493"/>
      <c r="R49" s="852" t="s">
        <v>1126</v>
      </c>
      <c r="S49" s="1493" t="s">
        <v>1127</v>
      </c>
      <c r="T49" s="1493"/>
      <c r="U49" s="1477" t="s">
        <v>298</v>
      </c>
      <c r="V49" s="1476"/>
      <c r="W49" s="1493" t="s">
        <v>1128</v>
      </c>
      <c r="X49" s="1494"/>
      <c r="Y49" s="1505"/>
    </row>
    <row r="50" spans="2:25" ht="12.75" thickBot="1">
      <c r="B50" s="1523"/>
      <c r="D50" s="844"/>
      <c r="E50" s="845"/>
      <c r="F50" s="845"/>
      <c r="G50" s="845"/>
      <c r="H50" s="845"/>
      <c r="I50" s="845"/>
      <c r="J50" s="845"/>
      <c r="K50" s="845"/>
      <c r="L50" s="845"/>
      <c r="M50" s="847"/>
      <c r="N50" s="847"/>
      <c r="O50" s="847"/>
      <c r="P50" s="847"/>
      <c r="Q50" s="847"/>
      <c r="R50" s="847"/>
      <c r="S50" s="847"/>
      <c r="T50" s="847"/>
      <c r="U50" s="847"/>
      <c r="V50" s="847"/>
      <c r="W50" s="847"/>
      <c r="X50" s="847"/>
      <c r="Y50" s="1505"/>
    </row>
    <row r="51" spans="2:25" ht="45" customHeight="1" thickBot="1">
      <c r="B51" s="1523"/>
      <c r="C51" s="848" t="s">
        <v>1129</v>
      </c>
      <c r="D51" s="849"/>
      <c r="E51" s="850"/>
      <c r="F51" s="850"/>
      <c r="G51" s="850"/>
      <c r="H51" s="850"/>
      <c r="I51" s="850"/>
      <c r="J51" s="850"/>
      <c r="K51" s="850"/>
      <c r="L51" s="850"/>
      <c r="M51" s="1477" t="s">
        <v>1130</v>
      </c>
      <c r="N51" s="1475"/>
      <c r="O51" s="1476"/>
      <c r="P51" s="1477" t="s">
        <v>1131</v>
      </c>
      <c r="Q51" s="1476"/>
      <c r="R51" s="852" t="s">
        <v>1126</v>
      </c>
      <c r="S51" s="1493" t="s">
        <v>1132</v>
      </c>
      <c r="T51" s="1493"/>
      <c r="U51" s="1477" t="s">
        <v>1133</v>
      </c>
      <c r="V51" s="1476"/>
      <c r="W51" s="1493" t="s">
        <v>1061</v>
      </c>
      <c r="X51" s="1494"/>
      <c r="Y51" s="1505"/>
    </row>
    <row r="52" spans="2:25" ht="12.75" thickBot="1">
      <c r="B52" s="1523"/>
      <c r="D52" s="844"/>
      <c r="E52" s="845"/>
      <c r="F52" s="845"/>
      <c r="G52" s="845"/>
      <c r="H52" s="845"/>
      <c r="I52" s="845"/>
      <c r="J52" s="845"/>
      <c r="K52" s="845"/>
      <c r="L52" s="845"/>
      <c r="M52" s="847"/>
      <c r="N52" s="847"/>
      <c r="O52" s="847"/>
      <c r="P52" s="847"/>
      <c r="Q52" s="847"/>
      <c r="R52" s="847"/>
      <c r="S52" s="847"/>
      <c r="T52" s="847"/>
      <c r="U52" s="847"/>
      <c r="V52" s="847"/>
      <c r="W52" s="847"/>
      <c r="X52" s="847"/>
      <c r="Y52" s="1505"/>
    </row>
    <row r="53" spans="2:25" ht="45" customHeight="1" thickBot="1">
      <c r="B53" s="1523"/>
      <c r="C53" s="848" t="s">
        <v>1134</v>
      </c>
      <c r="D53" s="849"/>
      <c r="E53" s="850"/>
      <c r="F53" s="850"/>
      <c r="G53" s="850"/>
      <c r="H53" s="850"/>
      <c r="I53" s="850"/>
      <c r="J53" s="850"/>
      <c r="K53" s="850"/>
      <c r="L53" s="850"/>
      <c r="M53" s="1477" t="s">
        <v>1124</v>
      </c>
      <c r="N53" s="1475"/>
      <c r="O53" s="1476"/>
      <c r="P53" s="1477" t="s">
        <v>1125</v>
      </c>
      <c r="Q53" s="1476"/>
      <c r="R53" s="852" t="s">
        <v>1126</v>
      </c>
      <c r="S53" s="1493" t="s">
        <v>1127</v>
      </c>
      <c r="T53" s="1493"/>
      <c r="U53" s="1477" t="s">
        <v>1135</v>
      </c>
      <c r="V53" s="1476"/>
      <c r="W53" s="1493" t="s">
        <v>1128</v>
      </c>
      <c r="X53" s="1494"/>
      <c r="Y53" s="1505"/>
    </row>
    <row r="54" spans="2:25" ht="12.75" thickBot="1">
      <c r="B54" s="1523"/>
      <c r="D54" s="844"/>
      <c r="E54" s="845"/>
      <c r="F54" s="845"/>
      <c r="G54" s="845"/>
      <c r="H54" s="845"/>
      <c r="I54" s="845"/>
      <c r="J54" s="845"/>
      <c r="K54" s="845"/>
      <c r="L54" s="846"/>
      <c r="M54" s="847"/>
      <c r="N54" s="847"/>
      <c r="O54" s="847"/>
      <c r="P54" s="847"/>
      <c r="Q54" s="847"/>
      <c r="R54" s="847"/>
      <c r="S54" s="847"/>
      <c r="T54" s="847"/>
      <c r="U54" s="847"/>
      <c r="V54" s="847"/>
      <c r="W54" s="847"/>
      <c r="X54" s="847"/>
      <c r="Y54" s="1505"/>
    </row>
    <row r="55" spans="2:25" ht="45" customHeight="1" thickBot="1">
      <c r="B55" s="1523"/>
      <c r="C55" s="848" t="s">
        <v>1136</v>
      </c>
      <c r="D55" s="849"/>
      <c r="E55" s="850"/>
      <c r="F55" s="850"/>
      <c r="G55" s="850"/>
      <c r="H55" s="850"/>
      <c r="I55" s="850"/>
      <c r="J55" s="850"/>
      <c r="K55" s="850"/>
      <c r="L55" s="851"/>
      <c r="M55" s="1474" t="s">
        <v>1124</v>
      </c>
      <c r="N55" s="1475"/>
      <c r="O55" s="1476"/>
      <c r="P55" s="1493" t="s">
        <v>1125</v>
      </c>
      <c r="Q55" s="1493"/>
      <c r="R55" s="852" t="s">
        <v>1126</v>
      </c>
      <c r="S55" s="1493" t="s">
        <v>1127</v>
      </c>
      <c r="T55" s="1493"/>
      <c r="U55" s="1477" t="s">
        <v>298</v>
      </c>
      <c r="V55" s="1476"/>
      <c r="W55" s="1493" t="s">
        <v>1128</v>
      </c>
      <c r="X55" s="1494"/>
      <c r="Y55" s="1505"/>
    </row>
    <row r="56" spans="2:25" ht="12.75" thickBot="1">
      <c r="B56" s="1523"/>
      <c r="D56" s="844"/>
      <c r="E56" s="845"/>
      <c r="F56" s="845"/>
      <c r="G56" s="845"/>
      <c r="H56" s="845"/>
      <c r="I56" s="845"/>
      <c r="J56" s="845"/>
      <c r="K56" s="845"/>
      <c r="L56" s="845"/>
      <c r="M56" s="847"/>
      <c r="N56" s="847"/>
      <c r="O56" s="847"/>
      <c r="P56" s="847"/>
      <c r="Q56" s="847"/>
      <c r="R56" s="847"/>
      <c r="S56" s="847"/>
      <c r="T56" s="847"/>
      <c r="U56" s="847"/>
      <c r="V56" s="847"/>
      <c r="W56" s="847"/>
      <c r="X56" s="847"/>
      <c r="Y56" s="1505"/>
    </row>
    <row r="57" spans="2:25" ht="46.5" customHeight="1" thickBot="1">
      <c r="B57" s="1523"/>
      <c r="C57" s="848" t="s">
        <v>1137</v>
      </c>
      <c r="D57" s="849"/>
      <c r="E57" s="850"/>
      <c r="F57" s="850"/>
      <c r="G57" s="850"/>
      <c r="H57" s="850"/>
      <c r="I57" s="850"/>
      <c r="J57" s="850"/>
      <c r="K57" s="850"/>
      <c r="L57" s="851"/>
      <c r="M57" s="1474" t="s">
        <v>1124</v>
      </c>
      <c r="N57" s="1475"/>
      <c r="O57" s="1476"/>
      <c r="P57" s="1493" t="s">
        <v>1125</v>
      </c>
      <c r="Q57" s="1493"/>
      <c r="R57" s="852" t="s">
        <v>1126</v>
      </c>
      <c r="S57" s="1493" t="s">
        <v>1127</v>
      </c>
      <c r="T57" s="1493"/>
      <c r="U57" s="1477" t="s">
        <v>298</v>
      </c>
      <c r="V57" s="1476"/>
      <c r="W57" s="1493" t="s">
        <v>1128</v>
      </c>
      <c r="X57" s="1494"/>
      <c r="Y57" s="1504"/>
    </row>
    <row r="58" spans="2:25" ht="12.75" thickBot="1">
      <c r="B58" s="1523"/>
      <c r="D58" s="844"/>
      <c r="E58" s="845"/>
      <c r="F58" s="845"/>
      <c r="G58" s="845"/>
      <c r="H58" s="845"/>
      <c r="I58" s="845"/>
      <c r="J58" s="845"/>
      <c r="K58" s="845"/>
      <c r="L58" s="845"/>
      <c r="M58" s="847"/>
      <c r="N58" s="847"/>
      <c r="O58" s="847"/>
      <c r="P58" s="847"/>
      <c r="Q58" s="847"/>
      <c r="R58" s="847"/>
      <c r="S58" s="847"/>
      <c r="T58" s="847"/>
      <c r="U58" s="847"/>
      <c r="V58" s="847"/>
      <c r="W58" s="847"/>
      <c r="X58" s="847"/>
      <c r="Y58" s="1504"/>
    </row>
    <row r="59" spans="2:25" ht="45" customHeight="1">
      <c r="B59" s="1523"/>
      <c r="C59" s="1465" t="s">
        <v>1138</v>
      </c>
      <c r="D59" s="853"/>
      <c r="E59" s="854"/>
      <c r="F59" s="854"/>
      <c r="G59" s="854"/>
      <c r="H59" s="854"/>
      <c r="I59" s="854"/>
      <c r="J59" s="854"/>
      <c r="K59" s="854"/>
      <c r="L59" s="854"/>
      <c r="M59" s="1467" t="s">
        <v>1139</v>
      </c>
      <c r="N59" s="1468"/>
      <c r="O59" s="1469"/>
      <c r="P59" s="1467" t="s">
        <v>1140</v>
      </c>
      <c r="Q59" s="1468"/>
      <c r="R59" s="1469"/>
      <c r="S59" s="1467" t="s">
        <v>1141</v>
      </c>
      <c r="T59" s="1468"/>
      <c r="U59" s="1468"/>
      <c r="V59" s="1469"/>
      <c r="W59" s="1470" t="s">
        <v>1142</v>
      </c>
      <c r="X59" s="1471"/>
      <c r="Y59" s="1504"/>
    </row>
    <row r="60" spans="2:25" ht="12.75" thickBot="1">
      <c r="B60" s="1523"/>
      <c r="C60" s="1466"/>
      <c r="D60" s="855"/>
      <c r="E60" s="856"/>
      <c r="F60" s="856"/>
      <c r="G60" s="856"/>
      <c r="H60" s="856"/>
      <c r="I60" s="856"/>
      <c r="J60" s="856"/>
      <c r="K60" s="856"/>
      <c r="L60" s="856"/>
      <c r="M60" s="1472" t="s">
        <v>1143</v>
      </c>
      <c r="N60" s="1472"/>
      <c r="O60" s="1472"/>
      <c r="P60" s="1472"/>
      <c r="Q60" s="1472"/>
      <c r="R60" s="1472"/>
      <c r="S60" s="1472"/>
      <c r="T60" s="1472"/>
      <c r="U60" s="1472"/>
      <c r="V60" s="1472"/>
      <c r="W60" s="1472"/>
      <c r="X60" s="1473"/>
      <c r="Y60" s="1504"/>
    </row>
    <row r="61" spans="2:25" ht="12.75" thickBot="1">
      <c r="B61" s="1523"/>
      <c r="D61" s="844"/>
      <c r="E61" s="845"/>
      <c r="F61" s="845"/>
      <c r="G61" s="845"/>
      <c r="H61" s="845"/>
      <c r="I61" s="845"/>
      <c r="J61" s="845"/>
      <c r="K61" s="845"/>
      <c r="L61" s="846"/>
      <c r="M61" s="847"/>
      <c r="N61" s="847"/>
      <c r="O61" s="847"/>
      <c r="P61" s="847"/>
      <c r="Q61" s="847"/>
      <c r="R61" s="847"/>
      <c r="S61" s="847"/>
      <c r="T61" s="847"/>
      <c r="U61" s="847"/>
      <c r="V61" s="847"/>
      <c r="W61" s="847"/>
      <c r="X61" s="847"/>
      <c r="Y61" s="1505"/>
    </row>
    <row r="62" spans="2:25" ht="56.65" customHeight="1" thickBot="1">
      <c r="B62" s="1524"/>
      <c r="C62" s="848" t="s">
        <v>1144</v>
      </c>
      <c r="D62" s="849"/>
      <c r="E62" s="850"/>
      <c r="F62" s="850"/>
      <c r="G62" s="850"/>
      <c r="H62" s="857" t="s">
        <v>1145</v>
      </c>
      <c r="I62" s="857" t="s">
        <v>1146</v>
      </c>
      <c r="J62" s="857" t="s">
        <v>1147</v>
      </c>
      <c r="K62" s="858" t="s">
        <v>1148</v>
      </c>
      <c r="L62" s="859" t="s">
        <v>1149</v>
      </c>
      <c r="M62" s="1474" t="s">
        <v>1150</v>
      </c>
      <c r="N62" s="1475"/>
      <c r="O62" s="1475"/>
      <c r="P62" s="1475"/>
      <c r="Q62" s="1476"/>
      <c r="R62" s="852" t="s">
        <v>1151</v>
      </c>
      <c r="S62" s="852" t="s">
        <v>1152</v>
      </c>
      <c r="T62" s="852" t="s">
        <v>1153</v>
      </c>
      <c r="U62" s="852" t="s">
        <v>1154</v>
      </c>
      <c r="V62" s="852" t="s">
        <v>1155</v>
      </c>
      <c r="W62" s="1477" t="s">
        <v>1156</v>
      </c>
      <c r="X62" s="1478"/>
      <c r="Y62" s="1505"/>
    </row>
    <row r="63" spans="2:25" ht="13.5" customHeight="1">
      <c r="D63" s="844"/>
      <c r="E63" s="845"/>
      <c r="F63" s="845"/>
      <c r="G63" s="845"/>
      <c r="H63" s="845"/>
      <c r="I63" s="845"/>
      <c r="J63" s="845"/>
      <c r="K63" s="845"/>
      <c r="L63" s="846"/>
      <c r="M63" s="847"/>
      <c r="N63" s="847"/>
      <c r="O63" s="847"/>
      <c r="P63" s="847"/>
      <c r="Q63" s="847"/>
      <c r="R63" s="847"/>
      <c r="S63" s="847"/>
      <c r="T63" s="847"/>
      <c r="U63" s="847"/>
      <c r="V63" s="847"/>
      <c r="W63" s="1479" t="s">
        <v>1109</v>
      </c>
      <c r="X63" s="1480"/>
      <c r="Y63" s="1505"/>
    </row>
    <row r="64" spans="2:25" ht="13.5" customHeight="1">
      <c r="D64" s="844"/>
      <c r="E64" s="845"/>
      <c r="F64" s="845"/>
      <c r="G64" s="845"/>
      <c r="H64" s="845"/>
      <c r="I64" s="845"/>
      <c r="J64" s="845"/>
      <c r="K64" s="845"/>
      <c r="L64" s="846"/>
      <c r="M64" s="847"/>
      <c r="N64" s="847"/>
      <c r="O64" s="847"/>
      <c r="P64" s="847"/>
      <c r="Q64" s="847"/>
      <c r="R64" s="847"/>
      <c r="S64" s="847"/>
      <c r="T64" s="847"/>
      <c r="U64" s="847"/>
      <c r="V64" s="847"/>
      <c r="W64" s="1479"/>
      <c r="X64" s="1480"/>
      <c r="Y64" s="1505"/>
    </row>
    <row r="65" spans="3:25" ht="13.5" customHeight="1">
      <c r="D65" s="844"/>
      <c r="E65" s="845"/>
      <c r="F65" s="845"/>
      <c r="G65" s="845"/>
      <c r="H65" s="845"/>
      <c r="I65" s="845"/>
      <c r="J65" s="845"/>
      <c r="K65" s="845"/>
      <c r="L65" s="846"/>
      <c r="M65" s="847"/>
      <c r="N65" s="847"/>
      <c r="O65" s="847"/>
      <c r="P65" s="847"/>
      <c r="Q65" s="847"/>
      <c r="R65" s="847"/>
      <c r="S65" s="847"/>
      <c r="T65" s="847"/>
      <c r="U65" s="847"/>
      <c r="V65" s="847"/>
      <c r="W65" s="1479"/>
      <c r="X65" s="1480"/>
      <c r="Y65" s="1505"/>
    </row>
    <row r="66" spans="3:25" ht="13.9" customHeight="1" thickBot="1">
      <c r="D66" s="844"/>
      <c r="E66" s="845"/>
      <c r="F66" s="845"/>
      <c r="G66" s="845"/>
      <c r="H66" s="845"/>
      <c r="I66" s="845"/>
      <c r="J66" s="845"/>
      <c r="K66" s="845"/>
      <c r="L66" s="846"/>
      <c r="M66" s="847"/>
      <c r="N66" s="847"/>
      <c r="O66" s="847"/>
      <c r="P66" s="847"/>
      <c r="Q66" s="847"/>
      <c r="R66" s="847"/>
      <c r="S66" s="847"/>
      <c r="T66" s="847"/>
      <c r="U66" s="847"/>
      <c r="V66" s="847"/>
      <c r="W66" s="1479"/>
      <c r="X66" s="1480"/>
      <c r="Y66" s="1505"/>
    </row>
    <row r="67" spans="3:25" s="860" customFormat="1" ht="13.9" customHeight="1">
      <c r="D67" s="1481" t="s">
        <v>1157</v>
      </c>
      <c r="E67" s="1482"/>
      <c r="F67" s="1482"/>
      <c r="G67" s="1482"/>
      <c r="H67" s="1482"/>
      <c r="I67" s="1482"/>
      <c r="J67" s="1482"/>
      <c r="K67" s="1482"/>
      <c r="L67" s="1483"/>
      <c r="M67" s="1487" t="s">
        <v>1158</v>
      </c>
      <c r="N67" s="1488"/>
      <c r="O67" s="1488"/>
      <c r="P67" s="1488"/>
      <c r="Q67" s="1488"/>
      <c r="R67" s="1488"/>
      <c r="S67" s="1488"/>
      <c r="T67" s="1488"/>
      <c r="U67" s="1488"/>
      <c r="V67" s="1488"/>
      <c r="W67" s="1488"/>
      <c r="X67" s="1489"/>
      <c r="Y67" s="1505"/>
    </row>
    <row r="68" spans="3:25" s="860" customFormat="1" ht="13.9" customHeight="1" thickBot="1">
      <c r="D68" s="1484"/>
      <c r="E68" s="1485"/>
      <c r="F68" s="1485"/>
      <c r="G68" s="1485"/>
      <c r="H68" s="1485"/>
      <c r="I68" s="1485"/>
      <c r="J68" s="1485"/>
      <c r="K68" s="1485"/>
      <c r="L68" s="1486"/>
      <c r="M68" s="1490"/>
      <c r="N68" s="1491"/>
      <c r="O68" s="1491"/>
      <c r="P68" s="1491"/>
      <c r="Q68" s="1491"/>
      <c r="R68" s="1491"/>
      <c r="S68" s="1491"/>
      <c r="T68" s="1491"/>
      <c r="U68" s="1491"/>
      <c r="V68" s="1491"/>
      <c r="W68" s="1491"/>
      <c r="X68" s="1492"/>
      <c r="Y68" s="1505"/>
    </row>
    <row r="69" spans="3:25" s="839" customFormat="1" ht="35.25" customHeight="1" thickBot="1">
      <c r="C69" s="860"/>
      <c r="D69" s="1459" t="s">
        <v>1159</v>
      </c>
      <c r="E69" s="1460"/>
      <c r="F69" s="1460"/>
      <c r="G69" s="1460"/>
      <c r="H69" s="1460"/>
      <c r="I69" s="1460"/>
      <c r="J69" s="1460"/>
      <c r="K69" s="1460"/>
      <c r="L69" s="1461"/>
      <c r="M69" s="1462" t="s">
        <v>1160</v>
      </c>
      <c r="N69" s="1463"/>
      <c r="O69" s="1463"/>
      <c r="P69" s="1463"/>
      <c r="Q69" s="1463"/>
      <c r="R69" s="1463"/>
      <c r="S69" s="1463"/>
      <c r="T69" s="1463"/>
      <c r="U69" s="1463"/>
      <c r="V69" s="1463"/>
      <c r="W69" s="1463"/>
      <c r="X69" s="1464"/>
      <c r="Y69" s="1506"/>
    </row>
    <row r="70" spans="3:25" ht="102.75" customHeight="1" thickBot="1">
      <c r="D70" s="1447"/>
      <c r="E70" s="1448"/>
      <c r="F70" s="1448"/>
      <c r="G70" s="1448"/>
      <c r="H70" s="1448"/>
      <c r="I70" s="1448"/>
      <c r="J70" s="1448"/>
      <c r="K70" s="1448"/>
      <c r="L70" s="1448"/>
      <c r="M70" s="1448"/>
      <c r="N70" s="1448"/>
      <c r="O70" s="1448"/>
      <c r="P70" s="1448"/>
      <c r="Q70" s="1448"/>
      <c r="R70" s="1449"/>
    </row>
    <row r="71" spans="3:25" ht="25.9" customHeight="1" thickBot="1">
      <c r="D71" s="1450" t="s">
        <v>1161</v>
      </c>
      <c r="E71" s="1451"/>
      <c r="F71" s="1451"/>
      <c r="G71" s="1451"/>
      <c r="H71" s="1451"/>
      <c r="I71" s="1451"/>
      <c r="J71" s="1451"/>
      <c r="K71" s="1451"/>
      <c r="L71" s="1451"/>
      <c r="M71" s="1451"/>
      <c r="N71" s="1451"/>
      <c r="O71" s="1451"/>
      <c r="P71" s="1451"/>
      <c r="Q71" s="1451"/>
      <c r="R71" s="1451"/>
      <c r="S71" s="1451"/>
      <c r="T71" s="1451"/>
      <c r="U71" s="1451"/>
      <c r="V71" s="1451"/>
      <c r="W71" s="1451"/>
      <c r="X71" s="1452"/>
    </row>
    <row r="73" spans="3:25" ht="12.75" thickBot="1"/>
    <row r="74" spans="3:25" s="862" customFormat="1" ht="33" customHeight="1" thickBot="1">
      <c r="C74" s="861"/>
      <c r="D74" s="1453" t="s">
        <v>1162</v>
      </c>
      <c r="E74" s="1454"/>
      <c r="F74" s="1454"/>
      <c r="G74" s="1454"/>
      <c r="H74" s="1454"/>
      <c r="I74" s="1454"/>
      <c r="J74" s="1454"/>
      <c r="K74" s="1454"/>
      <c r="L74" s="1455"/>
      <c r="M74" s="1453" t="s">
        <v>1163</v>
      </c>
      <c r="N74" s="1454"/>
      <c r="O74" s="1454"/>
      <c r="P74" s="1454"/>
      <c r="Q74" s="1454"/>
      <c r="R74" s="1454"/>
      <c r="S74" s="1454"/>
      <c r="T74" s="1454"/>
      <c r="U74" s="1454"/>
      <c r="V74" s="1454"/>
      <c r="W74" s="1454"/>
      <c r="X74" s="1455"/>
    </row>
    <row r="75" spans="3:25" s="839" customFormat="1" ht="36" customHeight="1" thickBot="1">
      <c r="C75" s="860"/>
      <c r="D75" s="863"/>
      <c r="H75" s="1456" t="s">
        <v>1164</v>
      </c>
      <c r="I75" s="1457"/>
      <c r="J75" s="1457"/>
      <c r="K75" s="1457"/>
      <c r="L75" s="1457"/>
      <c r="M75" s="1457"/>
      <c r="N75" s="1457"/>
      <c r="O75" s="1457"/>
      <c r="P75" s="1457"/>
      <c r="Q75" s="1457"/>
      <c r="R75" s="1457"/>
      <c r="S75" s="1457"/>
      <c r="T75" s="1457"/>
      <c r="U75" s="1457"/>
      <c r="V75" s="1457"/>
      <c r="W75" s="1457"/>
      <c r="X75" s="1458"/>
    </row>
  </sheetData>
  <sheetProtection algorithmName="SHA-512" hashValue="xBaF9xn3ojwtKqVmSteQQyI7UoesbxntSZv5nZSbeb9mQyEwSefajAru+5Y7vDViOH88kxhAVQMxEqd7vDBK8A==" saltValue="QJY52QARqHMjyCsiUzwa2A==" spinCount="100000" sheet="1" objects="1" scenarios="1"/>
  <mergeCells count="65">
    <mergeCell ref="D40:R40"/>
    <mergeCell ref="B41:B42"/>
    <mergeCell ref="C41:C42"/>
    <mergeCell ref="D41:D42"/>
    <mergeCell ref="E41:E42"/>
    <mergeCell ref="F41:G42"/>
    <mergeCell ref="H41:L41"/>
    <mergeCell ref="M41:R41"/>
    <mergeCell ref="B44:B62"/>
    <mergeCell ref="C44:C47"/>
    <mergeCell ref="D44:L44"/>
    <mergeCell ref="M44:R44"/>
    <mergeCell ref="S44:V44"/>
    <mergeCell ref="S53:T53"/>
    <mergeCell ref="U53:V53"/>
    <mergeCell ref="M57:O57"/>
    <mergeCell ref="P57:Q57"/>
    <mergeCell ref="S57:T57"/>
    <mergeCell ref="U57:V57"/>
    <mergeCell ref="S41:V42"/>
    <mergeCell ref="W41:X42"/>
    <mergeCell ref="Y41:Y69"/>
    <mergeCell ref="H42:L42"/>
    <mergeCell ref="M42:R42"/>
    <mergeCell ref="W44:X44"/>
    <mergeCell ref="D45:X45"/>
    <mergeCell ref="D46:X46"/>
    <mergeCell ref="D47:X47"/>
    <mergeCell ref="M49:N49"/>
    <mergeCell ref="P49:Q49"/>
    <mergeCell ref="S49:T49"/>
    <mergeCell ref="U49:V49"/>
    <mergeCell ref="W49:X49"/>
    <mergeCell ref="M53:O53"/>
    <mergeCell ref="P53:Q53"/>
    <mergeCell ref="W53:X53"/>
    <mergeCell ref="M51:O51"/>
    <mergeCell ref="P51:Q51"/>
    <mergeCell ref="S51:T51"/>
    <mergeCell ref="U51:V51"/>
    <mergeCell ref="W51:X51"/>
    <mergeCell ref="W57:X57"/>
    <mergeCell ref="M55:O55"/>
    <mergeCell ref="P55:Q55"/>
    <mergeCell ref="S55:T55"/>
    <mergeCell ref="U55:V55"/>
    <mergeCell ref="W55:X55"/>
    <mergeCell ref="D69:L69"/>
    <mergeCell ref="M69:X69"/>
    <mergeCell ref="C59:C60"/>
    <mergeCell ref="M59:O59"/>
    <mergeCell ref="P59:R59"/>
    <mergeCell ref="S59:V59"/>
    <mergeCell ref="W59:X59"/>
    <mergeCell ref="M60:X60"/>
    <mergeCell ref="M62:Q62"/>
    <mergeCell ref="W62:X62"/>
    <mergeCell ref="W63:X66"/>
    <mergeCell ref="D67:L68"/>
    <mergeCell ref="M67:X68"/>
    <mergeCell ref="D70:R70"/>
    <mergeCell ref="D71:X71"/>
    <mergeCell ref="D74:L74"/>
    <mergeCell ref="M74:X74"/>
    <mergeCell ref="H75:X75"/>
  </mergeCells>
  <pageMargins left="0.7" right="0.7" top="0.75" bottom="0.75" header="0.3" footer="0.3"/>
  <pageSetup paperSize="9" scale="30" orientation="landscape" r:id="rId1"/>
  <headerFooter>
    <oddHeader>&amp;C&amp;"Calibri"&amp;10&amp;K000000Confidential&amp;1#</oddHeader>
    <oddFooter>&amp;R&amp;1#&amp;"Calibri"&amp;10&amp;K000000Confidential</oddFooter>
  </headerFooter>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O55"/>
  <sheetViews>
    <sheetView topLeftCell="F30" zoomScale="115" zoomScaleNormal="115" workbookViewId="0">
      <selection activeCell="J51" sqref="J51"/>
    </sheetView>
  </sheetViews>
  <sheetFormatPr defaultRowHeight="15"/>
  <cols>
    <col min="1" max="1" width="11.42578125" customWidth="1"/>
    <col min="3" max="3" width="18.42578125" customWidth="1"/>
    <col min="9" max="9" width="32.28515625" customWidth="1"/>
    <col min="10" max="10" width="64.28515625" customWidth="1"/>
  </cols>
  <sheetData>
    <row r="1" spans="1:15">
      <c r="A1" s="1"/>
      <c r="B1" s="1"/>
      <c r="C1" s="1"/>
      <c r="D1" s="1"/>
      <c r="E1" s="1"/>
      <c r="F1" s="1"/>
      <c r="G1" s="1"/>
      <c r="H1" s="1"/>
      <c r="I1" s="1"/>
      <c r="J1" s="1"/>
      <c r="K1" s="1"/>
      <c r="L1" s="1"/>
      <c r="M1" s="1"/>
      <c r="N1" s="1"/>
      <c r="O1" s="1"/>
    </row>
    <row r="2" spans="1:15">
      <c r="A2" s="1"/>
      <c r="B2" s="1"/>
      <c r="C2" s="1"/>
      <c r="D2" s="1"/>
      <c r="E2" s="1"/>
      <c r="F2" s="1"/>
      <c r="G2" s="1"/>
      <c r="H2" s="1"/>
      <c r="I2" s="1"/>
      <c r="J2" s="1"/>
      <c r="K2" s="1"/>
      <c r="L2" s="1"/>
      <c r="M2" s="1"/>
      <c r="N2" s="1"/>
      <c r="O2" s="1"/>
    </row>
    <row r="3" spans="1:15">
      <c r="A3" s="1"/>
      <c r="B3" s="1"/>
      <c r="C3" s="1"/>
      <c r="D3" s="1"/>
      <c r="E3" s="1"/>
      <c r="F3" s="1"/>
      <c r="G3" s="1"/>
      <c r="H3" s="1"/>
      <c r="I3" s="1"/>
      <c r="J3" s="1"/>
      <c r="K3" s="1"/>
      <c r="L3" s="1"/>
      <c r="M3" s="1"/>
      <c r="N3" s="1"/>
      <c r="O3" s="1"/>
    </row>
    <row r="4" spans="1:15">
      <c r="A4" s="1"/>
      <c r="B4" s="1"/>
      <c r="C4" s="1"/>
      <c r="D4" s="1"/>
      <c r="E4" s="1"/>
      <c r="F4" s="1"/>
      <c r="G4" s="1"/>
      <c r="H4" s="1"/>
      <c r="I4" s="1"/>
      <c r="J4" s="1"/>
      <c r="K4" s="1"/>
      <c r="L4" s="1"/>
      <c r="M4" s="1"/>
      <c r="N4" s="1"/>
      <c r="O4" s="1"/>
    </row>
    <row r="5" spans="1:15">
      <c r="A5" s="1"/>
      <c r="B5" s="1"/>
      <c r="C5" s="1"/>
      <c r="D5" s="1"/>
      <c r="E5" s="1"/>
      <c r="F5" s="1"/>
      <c r="G5" s="1"/>
      <c r="H5" s="1"/>
      <c r="I5" s="1"/>
      <c r="J5" s="1"/>
      <c r="K5" s="1"/>
      <c r="L5" s="1"/>
      <c r="M5" s="1"/>
      <c r="N5" s="1"/>
      <c r="O5" s="1"/>
    </row>
    <row r="6" spans="1:15">
      <c r="A6" s="1"/>
      <c r="B6" s="1"/>
      <c r="C6" s="1"/>
      <c r="D6" s="1"/>
      <c r="E6" s="1"/>
      <c r="F6" s="1"/>
      <c r="G6" s="1"/>
      <c r="H6" s="1"/>
      <c r="I6" s="1"/>
      <c r="J6" s="1"/>
      <c r="K6" s="1"/>
      <c r="L6" s="1"/>
      <c r="M6" s="1"/>
      <c r="N6" s="1"/>
      <c r="O6" s="1"/>
    </row>
    <row r="7" spans="1:15">
      <c r="A7" s="1"/>
      <c r="B7" s="1"/>
      <c r="C7" s="1"/>
      <c r="D7" s="1"/>
      <c r="E7" s="1"/>
      <c r="F7" s="1"/>
      <c r="G7" s="1"/>
      <c r="H7" s="1"/>
      <c r="I7" s="1"/>
      <c r="J7" s="1"/>
      <c r="K7" s="1"/>
      <c r="L7" s="1"/>
      <c r="M7" s="1"/>
      <c r="N7" s="1"/>
      <c r="O7" s="1"/>
    </row>
    <row r="8" spans="1:15">
      <c r="A8" s="1"/>
      <c r="B8" s="1"/>
      <c r="C8" s="1"/>
      <c r="D8" s="1"/>
      <c r="E8" s="1"/>
      <c r="F8" s="1"/>
      <c r="G8" s="1"/>
      <c r="H8" s="1"/>
      <c r="I8" s="1"/>
      <c r="J8" s="1"/>
      <c r="K8" s="1"/>
      <c r="L8" s="1"/>
      <c r="M8" s="1"/>
      <c r="N8" s="1"/>
      <c r="O8" s="1"/>
    </row>
    <row r="9" spans="1:15">
      <c r="A9" s="1"/>
      <c r="B9" s="1"/>
      <c r="C9" s="1"/>
      <c r="D9" s="1"/>
      <c r="E9" s="1"/>
      <c r="F9" s="1"/>
      <c r="G9" s="1"/>
      <c r="H9" s="1"/>
      <c r="I9" s="1"/>
      <c r="J9" s="1"/>
      <c r="K9" s="1"/>
      <c r="L9" s="1"/>
      <c r="M9" s="1"/>
      <c r="N9" s="1"/>
      <c r="O9" s="1"/>
    </row>
    <row r="10" spans="1:15">
      <c r="A10" s="1"/>
      <c r="B10" s="1"/>
      <c r="C10" s="1"/>
      <c r="D10" s="1"/>
      <c r="E10" s="1"/>
      <c r="F10" s="1"/>
      <c r="G10" s="1"/>
      <c r="H10" s="1"/>
      <c r="I10" s="1"/>
      <c r="J10" s="1"/>
      <c r="K10" s="1"/>
      <c r="L10" s="1"/>
      <c r="M10" s="1"/>
      <c r="N10" s="1"/>
      <c r="O10" s="1"/>
    </row>
    <row r="11" spans="1:15">
      <c r="A11" s="1"/>
      <c r="B11" s="1"/>
      <c r="C11" s="1"/>
      <c r="D11" s="1"/>
      <c r="E11" s="1"/>
      <c r="F11" s="1"/>
      <c r="G11" s="1"/>
      <c r="H11" s="1"/>
      <c r="I11" s="1"/>
      <c r="J11" s="1"/>
      <c r="K11" s="1"/>
      <c r="L11" s="1"/>
      <c r="M11" s="1"/>
      <c r="N11" s="1"/>
      <c r="O11" s="1"/>
    </row>
    <row r="12" spans="1:15">
      <c r="A12" s="1"/>
      <c r="B12" s="1"/>
      <c r="C12" s="1"/>
      <c r="D12" s="1"/>
      <c r="E12" s="1"/>
      <c r="F12" s="1"/>
      <c r="G12" s="1"/>
      <c r="H12" s="1"/>
      <c r="I12" s="1"/>
      <c r="J12" s="1"/>
      <c r="K12" s="1"/>
      <c r="L12" s="1"/>
      <c r="M12" s="1"/>
      <c r="N12" s="1"/>
      <c r="O12" s="1"/>
    </row>
    <row r="13" spans="1:15">
      <c r="A13" s="1"/>
      <c r="B13" s="2" t="s">
        <v>65</v>
      </c>
      <c r="C13" s="1"/>
      <c r="D13" s="1"/>
      <c r="E13" s="1"/>
      <c r="F13" s="1"/>
      <c r="G13" s="1"/>
      <c r="H13" s="1"/>
      <c r="I13" s="1"/>
      <c r="J13" s="1"/>
      <c r="K13" s="1"/>
      <c r="L13" s="1"/>
      <c r="M13" s="1"/>
      <c r="N13" s="1"/>
      <c r="O13" s="1"/>
    </row>
    <row r="14" spans="1:15">
      <c r="A14" s="1"/>
      <c r="B14" s="2" t="s">
        <v>66</v>
      </c>
      <c r="C14" s="1"/>
      <c r="D14" s="1"/>
      <c r="E14" s="1"/>
      <c r="F14" s="1"/>
      <c r="G14" s="1"/>
      <c r="H14" s="1"/>
      <c r="I14" s="1"/>
      <c r="J14" s="1"/>
      <c r="K14" s="1"/>
      <c r="L14" s="1"/>
      <c r="M14" s="1"/>
      <c r="N14" s="1"/>
      <c r="O14" s="1"/>
    </row>
    <row r="15" spans="1:15">
      <c r="A15" s="1"/>
      <c r="B15" s="2" t="s">
        <v>67</v>
      </c>
      <c r="C15" s="1"/>
      <c r="D15" s="1"/>
      <c r="E15" s="1"/>
      <c r="F15" s="1"/>
      <c r="G15" s="1"/>
      <c r="H15" s="1"/>
      <c r="I15" s="1"/>
      <c r="J15" s="1"/>
      <c r="K15" s="1"/>
      <c r="L15" s="1"/>
      <c r="M15" s="1"/>
      <c r="N15" s="1"/>
      <c r="O15" s="1"/>
    </row>
    <row r="16" spans="1:15">
      <c r="A16" s="1"/>
      <c r="B16" s="1"/>
      <c r="C16" s="1"/>
      <c r="D16" s="1"/>
      <c r="E16" s="1"/>
      <c r="F16" s="1"/>
      <c r="G16" s="1"/>
      <c r="H16" s="1"/>
      <c r="I16" s="1"/>
      <c r="J16" s="1"/>
      <c r="K16" s="1"/>
      <c r="L16" s="1"/>
      <c r="M16" s="1"/>
      <c r="N16" s="1"/>
      <c r="O16" s="1"/>
    </row>
    <row r="17" spans="1:15">
      <c r="A17" s="1"/>
      <c r="B17" s="2" t="s">
        <v>68</v>
      </c>
      <c r="C17" s="2"/>
      <c r="D17" s="2"/>
      <c r="E17" s="2"/>
      <c r="F17" s="2"/>
      <c r="G17" s="2"/>
      <c r="H17" s="1"/>
      <c r="I17" s="1"/>
      <c r="J17" s="1"/>
      <c r="K17" s="1"/>
      <c r="L17" s="1"/>
      <c r="M17" s="1"/>
      <c r="N17" s="1"/>
      <c r="O17" s="1"/>
    </row>
    <row r="18" spans="1:15">
      <c r="A18" s="1"/>
      <c r="B18" s="1"/>
      <c r="C18" s="1"/>
      <c r="D18" s="1"/>
      <c r="E18" s="1"/>
      <c r="F18" s="1"/>
      <c r="G18" s="1"/>
      <c r="H18" s="1"/>
      <c r="I18" s="1"/>
      <c r="J18" s="1"/>
      <c r="K18" s="1"/>
      <c r="L18" s="1"/>
      <c r="M18" s="1"/>
      <c r="N18" s="1"/>
      <c r="O18" s="1"/>
    </row>
    <row r="19" spans="1:15">
      <c r="A19" s="1"/>
      <c r="B19" s="2"/>
      <c r="C19" s="2"/>
      <c r="D19" s="2"/>
      <c r="E19" s="2"/>
      <c r="F19" s="2"/>
      <c r="G19" s="2"/>
      <c r="H19" s="2"/>
      <c r="I19" s="2"/>
      <c r="J19" s="2"/>
      <c r="K19" s="2"/>
      <c r="L19" s="2"/>
      <c r="M19" s="2"/>
      <c r="N19" s="1"/>
      <c r="O19" s="1"/>
    </row>
    <row r="20" spans="1:15">
      <c r="A20" s="1"/>
      <c r="B20" s="2"/>
      <c r="C20" s="2"/>
      <c r="D20" s="2"/>
      <c r="E20" s="2"/>
      <c r="F20" s="2"/>
      <c r="G20" s="2"/>
      <c r="H20" s="2"/>
      <c r="I20" s="2"/>
      <c r="J20" s="2"/>
      <c r="K20" s="2"/>
      <c r="L20" s="2"/>
      <c r="M20" s="2"/>
      <c r="N20" s="1"/>
      <c r="O20" s="1"/>
    </row>
    <row r="21" spans="1:15">
      <c r="A21" s="1"/>
      <c r="B21" s="2"/>
      <c r="C21" s="2"/>
      <c r="D21" s="2"/>
      <c r="E21" s="2"/>
      <c r="F21" s="2"/>
      <c r="G21" s="2"/>
      <c r="H21" s="2"/>
      <c r="I21" s="2"/>
      <c r="J21" s="2"/>
      <c r="K21" s="2"/>
      <c r="L21" s="2"/>
      <c r="M21" s="2"/>
      <c r="N21" s="1"/>
      <c r="O21" s="1"/>
    </row>
    <row r="22" spans="1:15">
      <c r="A22" s="1"/>
      <c r="B22" s="2"/>
      <c r="C22" s="2"/>
      <c r="D22" s="2"/>
      <c r="E22" s="2"/>
      <c r="F22" s="2"/>
      <c r="G22" s="2"/>
      <c r="H22" s="2"/>
      <c r="I22" s="2"/>
      <c r="J22" s="2"/>
      <c r="K22" s="2"/>
      <c r="L22" s="2"/>
      <c r="M22" s="2"/>
      <c r="N22" s="1"/>
      <c r="O22" s="1"/>
    </row>
    <row r="23" spans="1:15">
      <c r="A23" s="1"/>
      <c r="B23" s="2"/>
      <c r="C23" s="2"/>
      <c r="D23" s="2"/>
      <c r="E23" s="2"/>
      <c r="F23" s="2"/>
      <c r="G23" s="2"/>
      <c r="H23" s="2"/>
      <c r="I23" s="2"/>
      <c r="J23" s="2"/>
      <c r="K23" s="2"/>
      <c r="L23" s="2"/>
      <c r="M23" s="2"/>
      <c r="N23" s="1"/>
      <c r="O23" s="1"/>
    </row>
    <row r="24" spans="1:15">
      <c r="A24" s="1"/>
      <c r="B24" s="2"/>
      <c r="C24" s="2"/>
      <c r="D24" s="2"/>
      <c r="E24" s="2"/>
      <c r="F24" s="2"/>
      <c r="G24" s="2"/>
      <c r="H24" s="2"/>
      <c r="I24" s="2"/>
      <c r="J24" s="2"/>
      <c r="K24" s="2"/>
      <c r="L24" s="2"/>
      <c r="M24" s="2"/>
      <c r="N24" s="1"/>
      <c r="O24" s="1"/>
    </row>
    <row r="25" spans="1:15">
      <c r="A25" s="1"/>
      <c r="B25" s="2"/>
      <c r="C25" s="2"/>
      <c r="D25" s="2"/>
      <c r="E25" s="2"/>
      <c r="F25" s="2"/>
      <c r="G25" s="2"/>
      <c r="H25" s="2"/>
      <c r="I25" s="2"/>
      <c r="J25" s="2"/>
      <c r="K25" s="2"/>
      <c r="L25" s="2"/>
      <c r="M25" s="2"/>
      <c r="N25" s="1"/>
      <c r="O25" s="1"/>
    </row>
    <row r="26" spans="1:15">
      <c r="A26" s="1"/>
      <c r="B26" s="2"/>
      <c r="C26" s="2"/>
      <c r="D26" s="2"/>
      <c r="E26" s="2"/>
      <c r="F26" s="2"/>
      <c r="G26" s="2"/>
      <c r="H26" s="2"/>
      <c r="I26" s="2"/>
      <c r="J26" s="2"/>
      <c r="K26" s="2"/>
      <c r="L26" s="2"/>
      <c r="M26" s="2"/>
      <c r="N26" s="1"/>
      <c r="O26" s="1"/>
    </row>
    <row r="27" spans="1:15">
      <c r="A27" s="1"/>
      <c r="B27" s="2"/>
      <c r="C27" s="2"/>
      <c r="D27" s="2"/>
      <c r="E27" s="2"/>
      <c r="F27" s="2"/>
      <c r="G27" s="2"/>
      <c r="H27" s="2"/>
      <c r="I27" s="2"/>
      <c r="J27" s="2"/>
      <c r="K27" s="2"/>
      <c r="L27" s="2"/>
      <c r="M27" s="2"/>
      <c r="N27" s="1"/>
      <c r="O27" s="1"/>
    </row>
    <row r="28" spans="1:15">
      <c r="A28" s="1"/>
      <c r="B28" s="2"/>
      <c r="C28" s="2"/>
      <c r="D28" s="2"/>
      <c r="E28" s="2"/>
      <c r="F28" s="2"/>
      <c r="G28" s="2"/>
      <c r="H28" s="2"/>
      <c r="I28" s="2"/>
      <c r="J28" s="197" t="s">
        <v>69</v>
      </c>
      <c r="K28" s="2"/>
      <c r="L28" s="2"/>
      <c r="M28" s="2"/>
      <c r="N28" s="1"/>
      <c r="O28" s="1"/>
    </row>
    <row r="29" spans="1:15">
      <c r="A29" s="1"/>
      <c r="B29" s="2" t="s">
        <v>1015</v>
      </c>
      <c r="C29" s="2"/>
      <c r="D29" s="2"/>
      <c r="E29" s="2"/>
      <c r="F29" s="2"/>
      <c r="G29" s="2"/>
      <c r="H29" s="2"/>
      <c r="I29" s="2"/>
      <c r="J29" s="2"/>
      <c r="K29" s="2"/>
      <c r="L29" s="2"/>
      <c r="M29" s="2"/>
      <c r="N29" s="1"/>
      <c r="O29" s="1"/>
    </row>
    <row r="30" spans="1:15">
      <c r="A30" s="1"/>
      <c r="B30" s="2" t="s">
        <v>1017</v>
      </c>
      <c r="C30" s="2"/>
      <c r="D30" s="2"/>
      <c r="E30" s="2"/>
      <c r="F30" s="2"/>
      <c r="G30" s="2"/>
      <c r="H30" s="2"/>
      <c r="I30" s="2"/>
      <c r="J30" s="2"/>
      <c r="K30" s="2"/>
      <c r="L30" s="2"/>
      <c r="M30" s="2"/>
      <c r="N30" s="1"/>
      <c r="O30" s="1"/>
    </row>
    <row r="31" spans="1:15">
      <c r="A31" s="1"/>
      <c r="B31" s="2"/>
      <c r="C31" s="2"/>
      <c r="D31" s="2"/>
      <c r="E31" s="2"/>
      <c r="F31" s="2"/>
      <c r="G31" s="2"/>
      <c r="H31" s="2"/>
      <c r="I31" s="2"/>
      <c r="J31" s="2"/>
      <c r="K31" s="2"/>
      <c r="L31" s="2"/>
      <c r="M31" s="2"/>
      <c r="N31" s="1"/>
      <c r="O31" s="1"/>
    </row>
    <row r="32" spans="1:15">
      <c r="A32" s="1"/>
      <c r="B32" s="2" t="s">
        <v>1019</v>
      </c>
      <c r="C32" s="1"/>
      <c r="D32" s="2"/>
      <c r="E32" s="2"/>
      <c r="F32" s="2"/>
      <c r="G32" s="2"/>
      <c r="H32" s="2"/>
      <c r="I32" s="2"/>
      <c r="J32" s="2" t="s">
        <v>70</v>
      </c>
      <c r="K32" s="2"/>
      <c r="L32" s="2"/>
      <c r="M32" s="2"/>
      <c r="N32" s="1"/>
      <c r="O32" s="1"/>
    </row>
    <row r="33" spans="1:15">
      <c r="A33" s="1"/>
      <c r="B33" s="2" t="s">
        <v>1018</v>
      </c>
      <c r="C33" s="1"/>
      <c r="D33" s="2"/>
      <c r="E33" s="2"/>
      <c r="F33" s="2"/>
      <c r="G33" s="2"/>
      <c r="H33" s="2"/>
      <c r="I33" s="2"/>
      <c r="J33" s="2" t="s">
        <v>71</v>
      </c>
      <c r="K33" s="2"/>
      <c r="L33" s="2"/>
      <c r="M33" s="2"/>
      <c r="N33" s="1"/>
      <c r="O33" s="1"/>
    </row>
    <row r="34" spans="1:15">
      <c r="A34" s="1"/>
      <c r="B34" s="2" t="s">
        <v>1016</v>
      </c>
      <c r="C34" s="1"/>
      <c r="D34" s="2"/>
      <c r="E34" s="2"/>
      <c r="F34" s="2"/>
      <c r="G34" s="2"/>
      <c r="H34" s="2"/>
      <c r="I34" s="2"/>
      <c r="J34" s="2"/>
      <c r="K34" s="2"/>
      <c r="L34" s="2"/>
      <c r="M34" s="2"/>
      <c r="N34" s="1"/>
      <c r="O34" s="1"/>
    </row>
    <row r="35" spans="1:15">
      <c r="A35" s="2"/>
      <c r="B35" s="2"/>
      <c r="C35" s="1"/>
      <c r="D35" s="2"/>
      <c r="E35" s="2"/>
      <c r="F35" s="2"/>
      <c r="G35" s="2"/>
      <c r="H35" s="2"/>
      <c r="I35" s="2"/>
      <c r="J35" s="2"/>
      <c r="K35" s="2" t="s">
        <v>72</v>
      </c>
      <c r="L35" s="2"/>
      <c r="M35" s="2"/>
      <c r="N35" s="1"/>
      <c r="O35" s="1"/>
    </row>
    <row r="36" spans="1:15">
      <c r="A36" s="2"/>
      <c r="B36" s="2" t="s">
        <v>1020</v>
      </c>
      <c r="C36" s="1"/>
      <c r="D36" s="2"/>
      <c r="E36" s="2"/>
      <c r="F36" s="2"/>
      <c r="G36" s="2"/>
      <c r="H36" s="2"/>
      <c r="I36" s="2"/>
      <c r="J36" s="2"/>
      <c r="K36" s="2" t="s">
        <v>73</v>
      </c>
      <c r="L36" s="2"/>
      <c r="M36" s="2"/>
      <c r="N36" s="1"/>
      <c r="O36" s="1"/>
    </row>
    <row r="37" spans="1:15">
      <c r="A37" s="2"/>
      <c r="B37" s="2" t="s">
        <v>74</v>
      </c>
      <c r="C37" s="1"/>
      <c r="D37" s="2"/>
      <c r="E37" s="2"/>
      <c r="F37" s="2"/>
      <c r="G37" s="2"/>
      <c r="H37" s="2"/>
      <c r="I37" s="2"/>
      <c r="J37" s="2"/>
      <c r="K37" s="2" t="s">
        <v>75</v>
      </c>
      <c r="L37" s="2"/>
      <c r="M37" s="2"/>
      <c r="N37" s="1"/>
      <c r="O37" s="1"/>
    </row>
    <row r="38" spans="1:15">
      <c r="A38" s="2"/>
      <c r="B38" s="1"/>
      <c r="C38" s="1"/>
      <c r="D38" s="2"/>
      <c r="E38" s="2"/>
      <c r="F38" s="2"/>
      <c r="G38" s="2"/>
      <c r="H38" s="2"/>
      <c r="I38" s="2"/>
      <c r="J38" s="2"/>
      <c r="K38" s="2" t="s">
        <v>76</v>
      </c>
      <c r="L38" s="2"/>
      <c r="M38" s="2"/>
      <c r="N38" s="1"/>
      <c r="O38" s="1"/>
    </row>
    <row r="39" spans="1:15">
      <c r="A39" s="2"/>
      <c r="B39" s="2" t="s">
        <v>1021</v>
      </c>
      <c r="C39" s="1"/>
      <c r="D39" s="2"/>
      <c r="E39" s="2"/>
      <c r="F39" s="2"/>
      <c r="G39" s="2"/>
      <c r="H39" s="2"/>
      <c r="I39" s="2"/>
      <c r="J39" s="2"/>
      <c r="K39" s="2" t="s">
        <v>77</v>
      </c>
      <c r="L39" s="2"/>
      <c r="M39" s="2"/>
      <c r="N39" s="1"/>
      <c r="O39" s="1"/>
    </row>
    <row r="40" spans="1:15">
      <c r="A40" s="2"/>
      <c r="B40" s="1"/>
      <c r="C40" s="1"/>
      <c r="D40" s="2"/>
      <c r="E40" s="2"/>
      <c r="F40" s="2"/>
      <c r="G40" s="2"/>
      <c r="H40" s="2"/>
      <c r="I40" s="2"/>
      <c r="J40" s="2"/>
      <c r="K40" s="2" t="s">
        <v>78</v>
      </c>
      <c r="L40" s="2"/>
      <c r="M40" s="2"/>
      <c r="N40" s="1"/>
      <c r="O40" s="1"/>
    </row>
    <row r="41" spans="1:15">
      <c r="A41" s="2"/>
      <c r="B41" s="1"/>
      <c r="C41" s="1"/>
      <c r="D41" s="2"/>
      <c r="E41" s="2"/>
      <c r="F41" s="2"/>
      <c r="G41" s="2"/>
      <c r="H41" s="2"/>
      <c r="I41" s="2"/>
      <c r="J41" s="2"/>
      <c r="K41" s="2" t="s">
        <v>79</v>
      </c>
      <c r="L41" s="2"/>
      <c r="M41" s="2"/>
      <c r="N41" s="1"/>
      <c r="O41" s="1"/>
    </row>
    <row r="42" spans="1:15">
      <c r="A42" s="2"/>
      <c r="B42" s="1"/>
      <c r="C42" s="1"/>
      <c r="D42" s="2"/>
      <c r="E42" s="2"/>
      <c r="F42" s="2"/>
      <c r="G42" s="2"/>
      <c r="H42" s="2"/>
      <c r="I42" s="2"/>
      <c r="J42" s="2"/>
      <c r="K42" s="2" t="s">
        <v>80</v>
      </c>
      <c r="L42" s="2"/>
      <c r="M42" s="2"/>
      <c r="N42" s="1"/>
      <c r="O42" s="1"/>
    </row>
    <row r="43" spans="1:15">
      <c r="A43" s="2"/>
      <c r="B43" s="1"/>
      <c r="C43" s="1"/>
      <c r="D43" s="2"/>
      <c r="E43" s="2"/>
      <c r="F43" s="2"/>
      <c r="G43" s="2"/>
      <c r="H43" s="2"/>
      <c r="I43" s="2"/>
      <c r="J43" s="2"/>
      <c r="K43" s="2"/>
      <c r="L43" s="2"/>
      <c r="M43" s="2"/>
      <c r="N43" s="1"/>
      <c r="O43" s="1"/>
    </row>
    <row r="44" spans="1:15">
      <c r="A44" s="2"/>
      <c r="B44" s="1"/>
      <c r="C44" s="1"/>
      <c r="D44" s="2"/>
      <c r="E44" s="2"/>
      <c r="F44" s="2"/>
      <c r="G44" s="2"/>
      <c r="H44" s="2"/>
      <c r="I44" s="2"/>
      <c r="J44" s="2" t="s">
        <v>81</v>
      </c>
      <c r="K44" s="2"/>
      <c r="L44" s="2"/>
      <c r="M44" s="2"/>
      <c r="N44" s="2"/>
      <c r="O44" s="2" t="s">
        <v>6</v>
      </c>
    </row>
    <row r="45" spans="1:15">
      <c r="A45" s="2"/>
      <c r="B45" s="1"/>
      <c r="C45" s="1"/>
      <c r="D45" s="2"/>
      <c r="E45" s="2"/>
      <c r="F45" s="2"/>
      <c r="G45" s="2"/>
      <c r="H45" s="2"/>
      <c r="I45" s="2"/>
      <c r="J45" s="2"/>
      <c r="K45" s="2" t="s">
        <v>82</v>
      </c>
      <c r="L45" s="2"/>
      <c r="M45" s="2"/>
      <c r="N45" s="2"/>
      <c r="O45" s="2"/>
    </row>
    <row r="46" spans="1:15">
      <c r="A46" s="2"/>
      <c r="B46" s="1"/>
      <c r="C46" s="1"/>
      <c r="D46" s="2"/>
      <c r="E46" s="2"/>
      <c r="F46" s="2"/>
      <c r="G46" s="2"/>
      <c r="H46" s="2"/>
      <c r="I46" s="2"/>
      <c r="J46" s="2"/>
      <c r="K46" s="2" t="s">
        <v>83</v>
      </c>
      <c r="L46" s="2"/>
      <c r="M46" s="2"/>
      <c r="N46" s="2"/>
      <c r="O46" s="2"/>
    </row>
    <row r="47" spans="1:15">
      <c r="A47" s="2"/>
      <c r="B47" s="1"/>
      <c r="C47" s="1"/>
      <c r="D47" s="2"/>
      <c r="E47" s="2"/>
      <c r="F47" s="2"/>
      <c r="G47" s="2"/>
      <c r="H47" s="2"/>
      <c r="I47" s="2"/>
      <c r="J47" s="2"/>
      <c r="K47" s="2" t="s">
        <v>84</v>
      </c>
      <c r="L47" s="2"/>
      <c r="M47" s="2"/>
      <c r="N47" s="2"/>
      <c r="O47" s="2"/>
    </row>
    <row r="48" spans="1:15">
      <c r="A48" s="2"/>
      <c r="B48" s="1"/>
      <c r="C48" s="1"/>
      <c r="D48" s="2"/>
      <c r="E48" s="2"/>
      <c r="F48" s="2"/>
      <c r="G48" s="2"/>
      <c r="H48" s="2"/>
      <c r="I48" s="2"/>
      <c r="J48" s="2"/>
      <c r="K48" s="2" t="s">
        <v>85</v>
      </c>
      <c r="L48" s="2"/>
      <c r="M48" s="2"/>
      <c r="N48" s="2"/>
      <c r="O48" s="2"/>
    </row>
    <row r="49" spans="1:15">
      <c r="A49" s="2"/>
      <c r="B49" s="1"/>
      <c r="C49" s="1"/>
      <c r="D49" s="2"/>
      <c r="E49" s="2"/>
      <c r="F49" s="2"/>
      <c r="G49" s="2"/>
      <c r="H49" s="2"/>
      <c r="I49" s="2"/>
      <c r="J49" s="2"/>
      <c r="K49" s="2" t="s">
        <v>86</v>
      </c>
      <c r="L49" s="2"/>
      <c r="M49" s="2"/>
      <c r="N49" s="2"/>
      <c r="O49" s="2"/>
    </row>
    <row r="50" spans="1:15">
      <c r="A50" s="2"/>
      <c r="B50" s="1"/>
      <c r="C50" s="1"/>
      <c r="D50" s="2"/>
      <c r="E50" s="2"/>
      <c r="F50" s="2"/>
      <c r="G50" s="2"/>
      <c r="H50" s="2"/>
      <c r="I50" s="2"/>
      <c r="J50" s="2"/>
      <c r="K50" s="2" t="s">
        <v>87</v>
      </c>
      <c r="L50" s="2"/>
      <c r="M50" s="2"/>
      <c r="N50" s="2"/>
      <c r="O50" s="2"/>
    </row>
    <row r="51" spans="1:15">
      <c r="A51" s="2"/>
      <c r="B51" s="1"/>
      <c r="C51" s="2"/>
      <c r="D51" s="1"/>
      <c r="E51" s="1"/>
      <c r="F51" s="1"/>
      <c r="G51" s="1"/>
      <c r="H51" s="1"/>
      <c r="I51" s="1"/>
      <c r="J51" s="1"/>
      <c r="K51" s="1"/>
      <c r="L51" s="1"/>
      <c r="M51" s="1"/>
      <c r="N51" s="2"/>
      <c r="O51" s="2"/>
    </row>
    <row r="52" spans="1:15">
      <c r="A52" s="2"/>
      <c r="B52" s="1"/>
      <c r="C52" s="1"/>
      <c r="D52" s="1"/>
      <c r="E52" s="1"/>
      <c r="F52" s="1"/>
      <c r="G52" s="1"/>
      <c r="H52" s="1"/>
      <c r="I52" s="1"/>
      <c r="J52" s="1"/>
      <c r="K52" s="1"/>
      <c r="L52" s="1"/>
      <c r="M52" s="1"/>
      <c r="N52" s="2"/>
      <c r="O52" s="2"/>
    </row>
    <row r="53" spans="1:15">
      <c r="A53" s="2"/>
      <c r="B53" s="1"/>
      <c r="C53" s="1"/>
      <c r="D53" s="1"/>
      <c r="E53" s="1"/>
      <c r="F53" s="1"/>
      <c r="G53" s="1"/>
      <c r="H53" s="1"/>
      <c r="I53" s="1"/>
      <c r="J53" s="1"/>
      <c r="K53" s="1"/>
      <c r="L53" s="1"/>
      <c r="M53" s="1"/>
      <c r="N53" s="2"/>
      <c r="O53" s="2"/>
    </row>
    <row r="54" spans="1:15">
      <c r="A54" s="2"/>
      <c r="B54" s="1"/>
      <c r="C54" s="1"/>
      <c r="D54" s="1"/>
      <c r="E54" s="1"/>
      <c r="F54" s="1"/>
      <c r="G54" s="1"/>
      <c r="H54" s="1"/>
      <c r="I54" s="1"/>
      <c r="J54" s="1"/>
      <c r="K54" s="1"/>
      <c r="L54" s="1"/>
      <c r="M54" s="1"/>
      <c r="N54" s="2"/>
      <c r="O54" s="2"/>
    </row>
    <row r="55" spans="1:15">
      <c r="A55" s="1"/>
      <c r="B55" s="1"/>
      <c r="C55" s="1"/>
      <c r="D55" s="1"/>
      <c r="E55" s="1"/>
      <c r="F55" s="1"/>
      <c r="G55" s="1"/>
      <c r="H55" s="1"/>
      <c r="I55" s="1"/>
      <c r="J55" s="1"/>
      <c r="K55" s="1"/>
      <c r="L55" s="1"/>
      <c r="M55" s="1"/>
      <c r="N55" s="109" t="s">
        <v>64</v>
      </c>
      <c r="O55" s="1"/>
    </row>
  </sheetData>
  <hyperlinks>
    <hyperlink ref="N55" display="Back to Contents" xr:uid="{00000000-0004-0000-0400-000000000000}"/>
  </hyperlinks>
  <pageMargins left="0.7" right="0.7" top="0.75" bottom="0.75" header="0.3" footer="0.3"/>
  <pageSetup paperSize="8" orientation="landscape" r:id="rId1"/>
  <headerFooter>
    <oddHeader>&amp;C&amp;"Calibri"&amp;10&amp;K000000Confidential&amp;1#</oddHeader>
    <oddFooter>&amp;R&amp;1#&amp;"Calibri"&amp;10&amp;K000000Confidential</oddFooter>
  </headerFooter>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5" tint="-0.249977111117893"/>
  </sheetPr>
  <dimension ref="A2:G14"/>
  <sheetViews>
    <sheetView zoomScale="110" zoomScaleNormal="110" workbookViewId="0">
      <selection activeCell="D20" sqref="D20"/>
    </sheetView>
  </sheetViews>
  <sheetFormatPr defaultRowHeight="15"/>
  <cols>
    <col min="1" max="1" width="11.5703125" customWidth="1"/>
    <col min="2" max="2" width="14.140625" customWidth="1"/>
    <col min="3" max="3" width="17.28515625" customWidth="1"/>
    <col min="4" max="5" width="12.7109375" customWidth="1"/>
    <col min="6" max="6" width="17.7109375" customWidth="1"/>
    <col min="7" max="7" width="15.42578125" customWidth="1"/>
    <col min="8" max="9" width="13.42578125" bestFit="1" customWidth="1"/>
    <col min="10" max="10" width="17.85546875" bestFit="1" customWidth="1"/>
    <col min="11" max="11" width="10.5703125" customWidth="1"/>
    <col min="12" max="12" width="11.42578125" customWidth="1"/>
    <col min="13" max="13" width="9.7109375" customWidth="1"/>
    <col min="14" max="14" width="10.5703125" customWidth="1"/>
  </cols>
  <sheetData>
    <row r="2" spans="1:7" ht="15.75" thickBot="1"/>
    <row r="3" spans="1:7">
      <c r="A3" s="1557" t="s">
        <v>1228</v>
      </c>
      <c r="B3" s="1560" t="s">
        <v>1229</v>
      </c>
      <c r="C3" s="1561"/>
      <c r="D3" s="1163" t="s">
        <v>88</v>
      </c>
      <c r="E3" s="1164" t="s">
        <v>89</v>
      </c>
      <c r="F3" s="1164" t="s">
        <v>90</v>
      </c>
      <c r="G3" s="1165" t="s">
        <v>91</v>
      </c>
    </row>
    <row r="4" spans="1:7">
      <c r="A4" s="1558"/>
      <c r="B4" s="1562"/>
      <c r="C4" s="1563"/>
      <c r="D4" s="1166" t="s">
        <v>92</v>
      </c>
      <c r="E4" s="1167" t="s">
        <v>1230</v>
      </c>
      <c r="F4" s="1564" t="s">
        <v>94</v>
      </c>
      <c r="G4" s="1565"/>
    </row>
    <row r="5" spans="1:7">
      <c r="A5" s="1558"/>
      <c r="B5" s="1562" t="s">
        <v>1231</v>
      </c>
      <c r="C5" s="1168" t="s">
        <v>1232</v>
      </c>
      <c r="D5" s="1169" t="s">
        <v>1233</v>
      </c>
      <c r="E5" s="203" t="s">
        <v>100</v>
      </c>
      <c r="F5" s="203" t="s">
        <v>100</v>
      </c>
      <c r="G5" s="1170" t="s">
        <v>1234</v>
      </c>
    </row>
    <row r="6" spans="1:7" ht="25.5" thickBot="1">
      <c r="A6" s="1559"/>
      <c r="B6" s="1566"/>
      <c r="C6" s="1171" t="s">
        <v>1235</v>
      </c>
      <c r="D6" s="1567" t="s">
        <v>1233</v>
      </c>
      <c r="E6" s="1568"/>
      <c r="F6" s="1172" t="s">
        <v>1236</v>
      </c>
      <c r="G6" s="1173" t="s">
        <v>1237</v>
      </c>
    </row>
    <row r="7" spans="1:7" ht="15.75" thickBot="1"/>
    <row r="8" spans="1:7" ht="15.75" thickBot="1">
      <c r="A8" s="215"/>
      <c r="B8" s="216" t="s">
        <v>88</v>
      </c>
      <c r="C8" s="216" t="s">
        <v>89</v>
      </c>
      <c r="D8" s="216" t="s">
        <v>90</v>
      </c>
      <c r="E8" s="216" t="s">
        <v>91</v>
      </c>
      <c r="F8" s="1555" t="s">
        <v>1107</v>
      </c>
      <c r="G8" s="1556"/>
    </row>
    <row r="9" spans="1:7">
      <c r="A9" s="212"/>
      <c r="B9" s="1174" t="s">
        <v>92</v>
      </c>
      <c r="C9" s="213" t="s">
        <v>93</v>
      </c>
      <c r="D9" s="1550" t="s">
        <v>94</v>
      </c>
      <c r="E9" s="1551"/>
      <c r="F9" s="213" t="s">
        <v>95</v>
      </c>
      <c r="G9" s="214" t="s">
        <v>96</v>
      </c>
    </row>
    <row r="10" spans="1:7">
      <c r="A10" s="205"/>
      <c r="B10" s="202"/>
      <c r="C10" s="202" t="s">
        <v>97</v>
      </c>
      <c r="D10" s="1552" t="s">
        <v>98</v>
      </c>
      <c r="E10" s="1553"/>
      <c r="F10" s="1552" t="s">
        <v>96</v>
      </c>
      <c r="G10" s="1554"/>
    </row>
    <row r="11" spans="1:7">
      <c r="A11" s="205" t="s">
        <v>99</v>
      </c>
      <c r="B11" s="202"/>
      <c r="C11" s="203" t="s">
        <v>100</v>
      </c>
      <c r="D11" s="202" t="s">
        <v>100</v>
      </c>
      <c r="E11" s="202" t="s">
        <v>1234</v>
      </c>
      <c r="F11" s="202" t="s">
        <v>101</v>
      </c>
      <c r="G11" s="206" t="s">
        <v>102</v>
      </c>
    </row>
    <row r="12" spans="1:7">
      <c r="A12" s="205" t="s">
        <v>103</v>
      </c>
      <c r="B12" s="201"/>
      <c r="C12" s="203" t="s">
        <v>104</v>
      </c>
      <c r="D12" s="203" t="s">
        <v>104</v>
      </c>
      <c r="E12" s="204" t="s">
        <v>1238</v>
      </c>
      <c r="F12" s="204">
        <v>0.75</v>
      </c>
      <c r="G12" s="210">
        <v>1</v>
      </c>
    </row>
    <row r="13" spans="1:7">
      <c r="A13" s="205" t="s">
        <v>105</v>
      </c>
      <c r="B13" s="201"/>
      <c r="C13" s="203">
        <v>100</v>
      </c>
      <c r="D13" s="1552">
        <v>20</v>
      </c>
      <c r="E13" s="1553"/>
      <c r="F13" s="1552">
        <v>10</v>
      </c>
      <c r="G13" s="1554"/>
    </row>
    <row r="14" spans="1:7" ht="15.75" thickBot="1">
      <c r="A14" s="207" t="s">
        <v>106</v>
      </c>
      <c r="B14" s="208"/>
      <c r="C14" s="209">
        <v>10</v>
      </c>
      <c r="D14" s="1547">
        <v>10</v>
      </c>
      <c r="E14" s="1548"/>
      <c r="F14" s="1547">
        <v>10</v>
      </c>
      <c r="G14" s="1549"/>
    </row>
  </sheetData>
  <sheetProtection algorithmName="SHA-512" hashValue="xepRbyL6Ff9aANv+F2tuCFCPD85nhS7t1QhlmUET6UDwIomumD/l7WeaDpiK6G5yy8PiI8/Dm7l6oIA/ITi3EA==" saltValue="ZAYH5l7ZQgdh7NiQ2CEfdA==" spinCount="100000" sheet="1" objects="1" scenarios="1"/>
  <mergeCells count="13">
    <mergeCell ref="F8:G8"/>
    <mergeCell ref="A3:A6"/>
    <mergeCell ref="B3:C4"/>
    <mergeCell ref="F4:G4"/>
    <mergeCell ref="B5:B6"/>
    <mergeCell ref="D6:E6"/>
    <mergeCell ref="D14:E14"/>
    <mergeCell ref="F14:G14"/>
    <mergeCell ref="D9:E9"/>
    <mergeCell ref="D10:E10"/>
    <mergeCell ref="F10:G10"/>
    <mergeCell ref="D13:E13"/>
    <mergeCell ref="F13:G13"/>
  </mergeCells>
  <pageMargins left="0.7" right="0.7" top="0.75" bottom="0.75" header="0.3" footer="0.3"/>
  <pageSetup paperSize="9" orientation="portrait" r:id="rId1"/>
  <headerFooter>
    <oddHeader>&amp;C&amp;"Calibri"&amp;10&amp;K000000Confidential&amp;1#</oddHeader>
    <oddFooter>&amp;R&amp;1#&amp;"Calibri"&amp;10&amp;K000000Confidential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4" tint="-0.249977111117893"/>
  </sheetPr>
  <dimension ref="A1:Q42"/>
  <sheetViews>
    <sheetView topLeftCell="A19" zoomScale="115" zoomScaleNormal="115" workbookViewId="0">
      <selection activeCell="I34" sqref="I34"/>
    </sheetView>
  </sheetViews>
  <sheetFormatPr defaultRowHeight="15"/>
  <cols>
    <col min="1" max="1" width="11.42578125" customWidth="1"/>
    <col min="4" max="4" width="9.5703125" customWidth="1"/>
    <col min="16" max="16" width="8.85546875" customWidth="1"/>
  </cols>
  <sheetData>
    <row r="1" spans="1:17">
      <c r="A1" s="1"/>
      <c r="B1" s="1"/>
      <c r="C1" s="1"/>
      <c r="D1" s="1"/>
      <c r="E1" s="1"/>
      <c r="F1" s="1"/>
      <c r="G1" s="1"/>
      <c r="H1" s="1"/>
      <c r="I1" s="1"/>
      <c r="J1" s="1"/>
      <c r="K1" s="1"/>
      <c r="L1" s="1"/>
      <c r="M1" s="1"/>
      <c r="N1" s="1"/>
      <c r="O1" s="1"/>
      <c r="P1" s="1"/>
      <c r="Q1" s="1"/>
    </row>
    <row r="2" spans="1:17">
      <c r="A2" s="1"/>
      <c r="B2" s="1"/>
      <c r="C2" s="1"/>
      <c r="D2" s="1"/>
      <c r="E2" s="1"/>
      <c r="F2" s="1"/>
      <c r="G2" s="1"/>
      <c r="H2" s="1"/>
      <c r="I2" s="1"/>
      <c r="J2" s="1"/>
      <c r="K2" s="1"/>
      <c r="L2" s="1"/>
      <c r="M2" s="1"/>
      <c r="N2" s="1"/>
      <c r="O2" s="1"/>
      <c r="P2" s="1"/>
      <c r="Q2" s="1"/>
    </row>
    <row r="3" spans="1:17">
      <c r="A3" s="1"/>
      <c r="B3" s="1"/>
      <c r="C3" s="1"/>
      <c r="D3" s="1"/>
      <c r="E3" s="1"/>
      <c r="F3" s="1"/>
      <c r="G3" s="1"/>
      <c r="H3" s="1"/>
      <c r="I3" s="1"/>
      <c r="J3" s="1"/>
      <c r="K3" s="1"/>
      <c r="L3" s="1"/>
      <c r="M3" s="1"/>
      <c r="N3" s="1"/>
      <c r="O3" s="1"/>
      <c r="P3" s="1"/>
      <c r="Q3" s="1"/>
    </row>
    <row r="4" spans="1:17">
      <c r="A4" s="1"/>
      <c r="B4" s="1"/>
      <c r="C4" s="1"/>
      <c r="D4" s="1"/>
      <c r="E4" s="1"/>
      <c r="F4" s="1"/>
      <c r="G4" s="1"/>
      <c r="H4" s="1"/>
      <c r="I4" s="1"/>
      <c r="J4" s="1"/>
      <c r="K4" s="1"/>
      <c r="L4" s="1"/>
      <c r="M4" s="1"/>
      <c r="N4" s="1"/>
      <c r="O4" s="1"/>
      <c r="P4" s="1"/>
      <c r="Q4" s="1"/>
    </row>
    <row r="5" spans="1:17">
      <c r="A5" s="1"/>
      <c r="B5" s="1"/>
      <c r="C5" s="1"/>
      <c r="D5" s="1"/>
      <c r="E5" s="1"/>
      <c r="F5" s="1"/>
      <c r="G5" s="1"/>
      <c r="H5" s="1"/>
      <c r="I5" s="1"/>
      <c r="J5" s="1"/>
      <c r="K5" s="1"/>
      <c r="L5" s="1"/>
      <c r="M5" s="1"/>
      <c r="N5" s="1"/>
      <c r="O5" s="1"/>
      <c r="P5" s="1"/>
      <c r="Q5" s="1"/>
    </row>
    <row r="6" spans="1:17">
      <c r="A6" s="1"/>
      <c r="B6" s="1"/>
      <c r="C6" s="1"/>
      <c r="D6" s="1"/>
      <c r="E6" s="1"/>
      <c r="F6" s="1"/>
      <c r="G6" s="1"/>
      <c r="H6" s="1"/>
      <c r="I6" s="1"/>
      <c r="J6" s="1"/>
      <c r="K6" s="1"/>
      <c r="L6" s="1"/>
      <c r="M6" s="1"/>
      <c r="N6" s="1"/>
      <c r="O6" s="1"/>
      <c r="P6" s="1"/>
      <c r="Q6" s="1"/>
    </row>
    <row r="7" spans="1:17">
      <c r="A7" s="1"/>
      <c r="B7" s="1"/>
      <c r="C7" s="1"/>
      <c r="D7" s="1"/>
      <c r="E7" s="1"/>
      <c r="F7" s="1"/>
      <c r="G7" s="1"/>
      <c r="H7" s="1"/>
      <c r="I7" s="1"/>
      <c r="J7" s="1"/>
      <c r="K7" s="1"/>
      <c r="L7" s="1"/>
      <c r="M7" s="1"/>
      <c r="N7" s="1"/>
      <c r="O7" s="1"/>
      <c r="P7" s="1"/>
      <c r="Q7" s="1"/>
    </row>
    <row r="8" spans="1:17">
      <c r="A8" s="1"/>
      <c r="B8" s="1"/>
      <c r="C8" s="1"/>
      <c r="D8" s="1"/>
      <c r="E8" s="1"/>
      <c r="F8" s="1"/>
      <c r="G8" s="1"/>
      <c r="H8" s="1"/>
      <c r="I8" s="1"/>
      <c r="J8" s="1"/>
      <c r="K8" s="1"/>
      <c r="L8" s="1"/>
      <c r="M8" s="1"/>
      <c r="N8" s="1"/>
      <c r="O8" s="1"/>
      <c r="P8" s="1"/>
      <c r="Q8" s="1"/>
    </row>
    <row r="9" spans="1:17">
      <c r="A9" s="1"/>
      <c r="B9" s="1"/>
      <c r="C9" s="1"/>
      <c r="D9" s="1"/>
      <c r="E9" s="1"/>
      <c r="F9" s="1"/>
      <c r="G9" s="1"/>
      <c r="H9" s="1"/>
      <c r="I9" s="1"/>
      <c r="J9" s="1"/>
      <c r="K9" s="1"/>
      <c r="L9" s="1"/>
      <c r="M9" s="1"/>
      <c r="N9" s="1"/>
      <c r="O9" s="1"/>
      <c r="P9" s="1"/>
      <c r="Q9" s="1"/>
    </row>
    <row r="10" spans="1:17">
      <c r="A10" s="1"/>
      <c r="B10" s="1"/>
      <c r="C10" s="1"/>
      <c r="D10" s="1"/>
      <c r="E10" s="1"/>
      <c r="F10" s="1"/>
      <c r="G10" s="1"/>
      <c r="H10" s="1"/>
      <c r="I10" s="1"/>
      <c r="J10" s="1"/>
      <c r="K10" s="1"/>
      <c r="L10" s="1"/>
      <c r="M10" s="1"/>
      <c r="N10" s="1"/>
      <c r="O10" s="1"/>
      <c r="P10" s="1"/>
      <c r="Q10" s="1"/>
    </row>
    <row r="11" spans="1:17">
      <c r="A11" s="1"/>
      <c r="B11" s="1"/>
      <c r="C11" s="1"/>
      <c r="D11" s="1"/>
      <c r="E11" s="1"/>
      <c r="F11" s="1"/>
      <c r="G11" s="1"/>
      <c r="H11" s="1"/>
      <c r="I11" s="1"/>
      <c r="J11" s="1"/>
      <c r="K11" s="1"/>
      <c r="L11" s="1"/>
      <c r="M11" s="1"/>
      <c r="N11" s="1"/>
      <c r="O11" s="1"/>
      <c r="P11" s="1"/>
      <c r="Q11" s="1"/>
    </row>
    <row r="12" spans="1:17">
      <c r="A12" s="1"/>
      <c r="B12" s="2" t="s">
        <v>107</v>
      </c>
      <c r="C12" s="2"/>
      <c r="D12" s="2"/>
      <c r="E12" s="2"/>
      <c r="F12" s="2"/>
      <c r="G12" s="2"/>
      <c r="H12" s="2"/>
      <c r="I12" s="2"/>
      <c r="J12" s="2"/>
      <c r="K12" s="2"/>
      <c r="L12" s="2"/>
      <c r="M12" s="1"/>
      <c r="N12" s="1"/>
      <c r="O12" s="1"/>
      <c r="P12" s="1"/>
      <c r="Q12" s="1"/>
    </row>
    <row r="13" spans="1:17">
      <c r="A13" s="1"/>
      <c r="B13" s="2"/>
      <c r="C13" s="2"/>
      <c r="D13" s="2"/>
      <c r="E13" s="2"/>
      <c r="F13" s="2"/>
      <c r="G13" s="2"/>
      <c r="H13" s="2"/>
      <c r="I13" s="2"/>
      <c r="J13" s="2"/>
      <c r="K13" s="2"/>
      <c r="L13" s="2"/>
      <c r="M13" s="1"/>
      <c r="N13" s="1"/>
      <c r="O13" s="1"/>
      <c r="P13" s="1"/>
      <c r="Q13" s="1"/>
    </row>
    <row r="14" spans="1:17">
      <c r="A14" s="1"/>
      <c r="B14" s="2" t="s">
        <v>108</v>
      </c>
      <c r="C14" s="2"/>
      <c r="D14" s="2"/>
      <c r="E14" s="2"/>
      <c r="F14" s="2"/>
      <c r="G14" s="2"/>
      <c r="H14" s="2"/>
      <c r="I14" s="2"/>
      <c r="J14" s="2"/>
      <c r="K14" s="2"/>
      <c r="L14" s="2"/>
      <c r="M14" s="1"/>
      <c r="N14" s="1"/>
      <c r="O14" s="1"/>
      <c r="P14" s="1"/>
      <c r="Q14" s="1"/>
    </row>
    <row r="15" spans="1:17">
      <c r="A15" s="1"/>
      <c r="B15" s="2" t="s">
        <v>109</v>
      </c>
      <c r="C15" s="2"/>
      <c r="D15" s="2"/>
      <c r="E15" s="2"/>
      <c r="F15" s="2"/>
      <c r="G15" s="2"/>
      <c r="H15" s="2"/>
      <c r="I15" s="2"/>
      <c r="J15" s="2"/>
      <c r="K15" s="2"/>
      <c r="L15" s="2"/>
      <c r="M15" s="1"/>
      <c r="N15" s="1"/>
      <c r="O15" s="1"/>
      <c r="P15" s="1"/>
      <c r="Q15" s="1"/>
    </row>
    <row r="16" spans="1:17">
      <c r="A16" s="1"/>
      <c r="B16" s="2"/>
      <c r="C16" s="2" t="s">
        <v>110</v>
      </c>
      <c r="D16" s="2"/>
      <c r="E16" s="2"/>
      <c r="F16" s="2"/>
      <c r="G16" s="2"/>
      <c r="H16" s="2"/>
      <c r="I16" s="2"/>
      <c r="J16" s="2"/>
      <c r="K16" s="2"/>
      <c r="L16" s="2"/>
      <c r="M16" s="1"/>
      <c r="N16" s="1"/>
      <c r="O16" s="1"/>
      <c r="P16" s="1"/>
      <c r="Q16" s="1"/>
    </row>
    <row r="17" spans="1:17">
      <c r="A17" s="1"/>
      <c r="B17" s="2"/>
      <c r="C17" s="2" t="s">
        <v>111</v>
      </c>
      <c r="D17" s="2"/>
      <c r="E17" s="2"/>
      <c r="F17" s="2"/>
      <c r="G17" s="2"/>
      <c r="H17" s="2"/>
      <c r="I17" s="2"/>
      <c r="J17" s="2"/>
      <c r="K17" s="2"/>
      <c r="L17" s="2"/>
      <c r="M17" s="1"/>
      <c r="N17" s="1"/>
      <c r="O17" s="1"/>
      <c r="P17" s="1"/>
      <c r="Q17" s="1"/>
    </row>
    <row r="18" spans="1:17">
      <c r="A18" s="1"/>
      <c r="B18" s="2"/>
      <c r="C18" s="2" t="s">
        <v>112</v>
      </c>
      <c r="D18" s="2"/>
      <c r="E18" s="2"/>
      <c r="F18" s="2"/>
      <c r="G18" s="2"/>
      <c r="H18" s="2"/>
      <c r="I18" s="2"/>
      <c r="J18" s="2"/>
      <c r="K18" s="2"/>
      <c r="L18" s="2"/>
      <c r="M18" s="1"/>
      <c r="N18" s="1"/>
      <c r="O18" s="1"/>
      <c r="P18" s="1"/>
      <c r="Q18" s="1"/>
    </row>
    <row r="19" spans="1:17">
      <c r="A19" s="1"/>
      <c r="B19" s="2"/>
      <c r="C19" s="2"/>
      <c r="D19" s="2"/>
      <c r="E19" s="2"/>
      <c r="F19" s="2"/>
      <c r="G19" s="2"/>
      <c r="H19" s="2"/>
      <c r="I19" s="2"/>
      <c r="J19" s="2"/>
      <c r="K19" s="2"/>
      <c r="L19" s="2"/>
      <c r="M19" s="1"/>
      <c r="N19" s="1"/>
      <c r="O19" s="1"/>
      <c r="P19" s="1"/>
      <c r="Q19" s="1"/>
    </row>
    <row r="20" spans="1:17">
      <c r="A20" s="1"/>
      <c r="B20" s="2" t="s">
        <v>1084</v>
      </c>
      <c r="C20" s="2"/>
      <c r="D20" s="2"/>
      <c r="E20" s="2"/>
      <c r="F20" s="2"/>
      <c r="G20" s="2"/>
      <c r="H20" s="2"/>
      <c r="I20" s="2"/>
      <c r="J20" s="2"/>
      <c r="K20" s="2"/>
      <c r="L20" s="2"/>
      <c r="M20" s="1"/>
      <c r="N20" s="1"/>
      <c r="O20" s="1"/>
      <c r="P20" s="1"/>
      <c r="Q20" s="1"/>
    </row>
    <row r="21" spans="1:17">
      <c r="A21" s="1"/>
      <c r="B21" s="2" t="s">
        <v>1240</v>
      </c>
      <c r="C21" s="2"/>
      <c r="D21" s="2"/>
      <c r="E21" s="2"/>
      <c r="F21" s="2"/>
      <c r="G21" s="2"/>
      <c r="H21" s="2"/>
      <c r="I21" s="2"/>
      <c r="J21" s="2"/>
      <c r="K21" s="2"/>
      <c r="L21" s="2"/>
      <c r="M21" s="1"/>
      <c r="N21" s="1"/>
      <c r="O21" s="1"/>
      <c r="P21" s="1"/>
      <c r="Q21" s="1"/>
    </row>
    <row r="22" spans="1:17">
      <c r="A22" s="1"/>
      <c r="B22" s="2" t="s">
        <v>113</v>
      </c>
      <c r="C22" s="2"/>
      <c r="D22" s="2"/>
      <c r="E22" s="2"/>
      <c r="F22" s="2"/>
      <c r="G22" s="2"/>
      <c r="H22" s="5"/>
      <c r="I22" s="5"/>
      <c r="J22" s="5"/>
      <c r="K22" s="5"/>
      <c r="L22" s="5"/>
      <c r="M22" s="1"/>
      <c r="N22" s="1"/>
      <c r="O22" s="1"/>
      <c r="P22" s="1"/>
      <c r="Q22" s="1"/>
    </row>
    <row r="23" spans="1:17">
      <c r="A23" s="1"/>
      <c r="B23" s="2" t="s">
        <v>114</v>
      </c>
      <c r="C23" s="2"/>
      <c r="D23" s="2"/>
      <c r="E23" s="2"/>
      <c r="F23" s="2"/>
      <c r="G23" s="2"/>
      <c r="H23" s="2"/>
      <c r="I23" s="2"/>
      <c r="J23" s="6"/>
      <c r="K23" s="2"/>
      <c r="L23" s="1"/>
      <c r="M23" s="1"/>
      <c r="N23" s="1"/>
      <c r="O23" s="1"/>
      <c r="P23" s="1"/>
      <c r="Q23" s="1"/>
    </row>
    <row r="24" spans="1:17">
      <c r="A24" s="1"/>
      <c r="B24" s="2"/>
      <c r="C24" s="2"/>
      <c r="D24" s="2"/>
      <c r="E24" s="2"/>
      <c r="F24" s="2"/>
      <c r="G24" s="2"/>
      <c r="H24" s="2"/>
      <c r="I24" s="2"/>
      <c r="J24" s="6"/>
      <c r="K24" s="2"/>
      <c r="L24" s="1"/>
      <c r="M24" s="1"/>
      <c r="N24" s="1"/>
      <c r="O24" s="1"/>
      <c r="P24" s="1"/>
      <c r="Q24" s="1"/>
    </row>
    <row r="25" spans="1:17">
      <c r="A25" s="1"/>
      <c r="B25" s="2" t="s">
        <v>1267</v>
      </c>
      <c r="C25" s="2"/>
      <c r="D25" s="2"/>
      <c r="E25" s="2"/>
      <c r="F25" s="2"/>
      <c r="G25" s="2"/>
      <c r="H25" s="2"/>
      <c r="I25" s="2"/>
      <c r="J25" s="6"/>
      <c r="K25" s="2"/>
      <c r="L25" s="1"/>
      <c r="M25" s="1"/>
      <c r="N25" s="1"/>
      <c r="O25" s="1"/>
      <c r="P25" s="1"/>
      <c r="Q25" s="1"/>
    </row>
    <row r="26" spans="1:17">
      <c r="A26" s="1"/>
      <c r="B26" s="2"/>
      <c r="C26" s="2"/>
      <c r="D26" s="2"/>
      <c r="E26" s="2"/>
      <c r="F26" s="2"/>
      <c r="G26" s="2"/>
      <c r="H26" s="2"/>
      <c r="I26" s="2"/>
      <c r="J26" s="6"/>
      <c r="K26" s="2"/>
      <c r="L26" s="1"/>
      <c r="M26" s="1"/>
      <c r="N26" s="1"/>
      <c r="O26" s="1"/>
      <c r="P26" s="1"/>
      <c r="Q26" s="1"/>
    </row>
    <row r="27" spans="1:17">
      <c r="A27" s="1"/>
      <c r="B27" s="2"/>
      <c r="C27" s="2"/>
      <c r="D27" s="2"/>
      <c r="E27" s="1569" t="s">
        <v>1014</v>
      </c>
      <c r="F27" s="1570"/>
      <c r="G27" s="1570"/>
      <c r="H27" s="1570"/>
      <c r="I27" s="1570"/>
      <c r="J27" s="1570"/>
      <c r="K27" s="1570"/>
      <c r="L27" s="1570"/>
      <c r="M27" s="1570"/>
      <c r="N27" s="1570"/>
      <c r="O27" s="1570"/>
      <c r="P27" s="1570"/>
      <c r="Q27" s="1571"/>
    </row>
    <row r="28" spans="1:17">
      <c r="A28" s="1"/>
      <c r="B28" s="2"/>
      <c r="C28" s="2"/>
      <c r="D28" s="2"/>
      <c r="E28" s="19">
        <v>2014</v>
      </c>
      <c r="F28" s="19">
        <v>2015</v>
      </c>
      <c r="G28" s="19">
        <v>2016</v>
      </c>
      <c r="H28" s="19">
        <v>2017</v>
      </c>
      <c r="I28" s="19">
        <v>2018</v>
      </c>
      <c r="J28" s="19">
        <v>2019</v>
      </c>
      <c r="K28" s="19">
        <v>2020</v>
      </c>
      <c r="L28" s="19">
        <v>2021</v>
      </c>
      <c r="M28" s="19">
        <v>2022</v>
      </c>
      <c r="N28" s="19">
        <v>2023</v>
      </c>
      <c r="O28" s="19">
        <v>2024</v>
      </c>
      <c r="P28" s="19">
        <v>2025</v>
      </c>
      <c r="Q28" s="19">
        <v>2026</v>
      </c>
    </row>
    <row r="29" spans="1:17">
      <c r="A29" s="20" t="s">
        <v>1239</v>
      </c>
      <c r="B29" s="21"/>
      <c r="C29" s="22"/>
      <c r="D29" s="23"/>
      <c r="E29" s="198" t="s">
        <v>115</v>
      </c>
      <c r="F29" s="198" t="s">
        <v>116</v>
      </c>
      <c r="G29" s="198" t="s">
        <v>117</v>
      </c>
      <c r="H29" s="198" t="s">
        <v>118</v>
      </c>
      <c r="I29" s="199">
        <v>5.0999999999999996</v>
      </c>
      <c r="J29" s="198">
        <v>4.0999999999999996</v>
      </c>
      <c r="K29" s="198">
        <v>3.1</v>
      </c>
      <c r="L29" s="199">
        <v>11.7</v>
      </c>
      <c r="M29" s="175">
        <v>6.8</v>
      </c>
      <c r="N29" s="175"/>
      <c r="O29" s="175"/>
      <c r="P29" s="175"/>
      <c r="Q29" s="18"/>
    </row>
    <row r="30" spans="1:17">
      <c r="A30" s="24" t="s">
        <v>119</v>
      </c>
      <c r="B30" s="25"/>
      <c r="C30" s="25"/>
      <c r="D30" s="25"/>
      <c r="E30" s="198" t="s">
        <v>120</v>
      </c>
      <c r="F30" s="198" t="s">
        <v>121</v>
      </c>
      <c r="G30" s="198">
        <v>5.0999999999999996</v>
      </c>
      <c r="H30" s="198">
        <v>5.4</v>
      </c>
      <c r="I30" s="199">
        <v>8</v>
      </c>
      <c r="J30" s="198">
        <v>3.6</v>
      </c>
      <c r="K30" s="199">
        <v>1.5</v>
      </c>
      <c r="L30" s="199">
        <v>3.5</v>
      </c>
      <c r="M30" s="18">
        <v>6.3</v>
      </c>
      <c r="N30" s="18"/>
      <c r="O30" s="18"/>
      <c r="P30" s="18"/>
      <c r="Q30" s="18"/>
    </row>
    <row r="31" spans="1:17">
      <c r="A31" s="1"/>
      <c r="B31" s="1"/>
      <c r="C31" s="1"/>
      <c r="D31" s="1"/>
      <c r="E31" s="2"/>
      <c r="F31" s="2"/>
      <c r="G31" s="2"/>
      <c r="H31" s="2"/>
      <c r="I31" s="2"/>
      <c r="J31" s="2"/>
      <c r="K31" s="2"/>
      <c r="L31" s="1"/>
      <c r="M31" s="1"/>
      <c r="N31" s="1"/>
      <c r="O31" s="1"/>
      <c r="P31" s="1"/>
      <c r="Q31" s="1"/>
    </row>
    <row r="32" spans="1:17">
      <c r="A32" s="2"/>
      <c r="B32" s="678" t="s">
        <v>1266</v>
      </c>
      <c r="C32" s="1175"/>
      <c r="D32" s="2"/>
      <c r="E32" s="1"/>
      <c r="F32" s="1"/>
      <c r="G32" s="1"/>
      <c r="H32" s="1"/>
      <c r="I32" s="1"/>
      <c r="J32" s="1"/>
      <c r="K32" s="1"/>
      <c r="L32" s="1"/>
      <c r="M32" s="1"/>
      <c r="N32" s="1"/>
      <c r="O32" s="1"/>
      <c r="P32" s="1"/>
      <c r="Q32" s="1"/>
    </row>
    <row r="33" spans="1:17">
      <c r="A33" s="2"/>
      <c r="B33" s="1175" t="s">
        <v>1681</v>
      </c>
      <c r="C33" s="1175"/>
      <c r="D33" s="2"/>
      <c r="E33" s="678"/>
      <c r="F33" s="1"/>
      <c r="G33" s="1"/>
      <c r="H33" s="1"/>
      <c r="I33" s="1"/>
      <c r="J33" s="1"/>
      <c r="K33" s="1"/>
      <c r="L33" s="1"/>
      <c r="M33" s="1"/>
      <c r="N33" s="1"/>
      <c r="O33" s="1"/>
      <c r="P33" s="1"/>
      <c r="Q33" s="1"/>
    </row>
    <row r="34" spans="1:17">
      <c r="A34" s="2"/>
      <c r="B34" s="2"/>
      <c r="C34" s="2"/>
      <c r="D34" s="2"/>
      <c r="E34" s="678"/>
      <c r="F34" s="1"/>
      <c r="G34" s="1"/>
      <c r="H34" s="1"/>
      <c r="I34" s="1"/>
      <c r="J34" s="1"/>
      <c r="K34" s="1"/>
      <c r="L34" s="1"/>
      <c r="M34" s="1"/>
      <c r="N34" s="1"/>
      <c r="O34" s="1"/>
      <c r="P34" s="1"/>
      <c r="Q34" s="1"/>
    </row>
    <row r="35" spans="1:17">
      <c r="A35" s="2"/>
      <c r="B35" s="2"/>
      <c r="C35" s="2"/>
      <c r="D35" s="2"/>
      <c r="E35" s="678"/>
      <c r="F35" s="1"/>
      <c r="G35" s="1"/>
      <c r="H35" s="1"/>
      <c r="I35" s="1"/>
      <c r="J35" s="1"/>
      <c r="K35" s="1"/>
      <c r="L35" s="1"/>
      <c r="M35" s="1"/>
      <c r="N35" s="1"/>
      <c r="O35" s="1"/>
      <c r="P35" s="1"/>
      <c r="Q35" s="1"/>
    </row>
    <row r="36" spans="1:17">
      <c r="A36" s="2"/>
      <c r="B36" s="2"/>
      <c r="C36" s="2"/>
      <c r="D36" s="2"/>
      <c r="E36" s="678"/>
      <c r="F36" s="1"/>
      <c r="G36" s="1"/>
      <c r="H36" s="1"/>
      <c r="I36" s="1"/>
      <c r="J36" s="1"/>
      <c r="K36" s="1"/>
      <c r="L36" s="1"/>
      <c r="M36" s="1"/>
      <c r="N36" s="1"/>
      <c r="O36" s="1"/>
      <c r="P36" s="1"/>
      <c r="Q36" s="1"/>
    </row>
    <row r="37" spans="1:17">
      <c r="A37" s="2"/>
      <c r="B37" s="2"/>
      <c r="C37" s="2"/>
      <c r="D37" s="2"/>
      <c r="E37" s="678"/>
      <c r="F37" s="1"/>
      <c r="G37" s="1"/>
      <c r="H37" s="1"/>
      <c r="I37" s="1"/>
      <c r="J37" s="1"/>
      <c r="K37" s="1"/>
      <c r="L37" s="1"/>
      <c r="M37" s="1"/>
      <c r="N37" s="1"/>
      <c r="O37" s="1"/>
      <c r="P37" s="1"/>
      <c r="Q37" s="1"/>
    </row>
    <row r="38" spans="1:17">
      <c r="A38" s="2"/>
      <c r="B38" s="2"/>
      <c r="C38" s="2"/>
      <c r="D38" s="2"/>
      <c r="E38" s="678"/>
      <c r="F38" s="1"/>
      <c r="G38" s="1"/>
      <c r="H38" s="1"/>
      <c r="I38" s="1"/>
      <c r="J38" s="1"/>
      <c r="K38" s="1"/>
      <c r="L38" s="1"/>
      <c r="M38" s="1"/>
      <c r="N38" s="1"/>
      <c r="O38" s="1"/>
      <c r="P38" s="1"/>
      <c r="Q38" s="1"/>
    </row>
    <row r="39" spans="1:17">
      <c r="A39" s="1"/>
      <c r="B39" s="1"/>
      <c r="C39" s="1"/>
      <c r="D39" s="1"/>
      <c r="E39" s="1"/>
      <c r="F39" s="1"/>
      <c r="G39" s="1"/>
      <c r="H39" s="1"/>
      <c r="I39" s="1"/>
      <c r="J39" s="1"/>
      <c r="K39" s="1"/>
      <c r="L39" s="1"/>
      <c r="M39" s="1"/>
      <c r="N39" s="1"/>
      <c r="O39" s="1"/>
      <c r="P39" s="1"/>
      <c r="Q39" s="1"/>
    </row>
    <row r="40" spans="1:17">
      <c r="A40" s="1"/>
      <c r="B40" s="1"/>
      <c r="C40" s="1"/>
      <c r="D40" s="1"/>
      <c r="E40" s="1"/>
      <c r="F40" s="1"/>
      <c r="G40" s="1"/>
      <c r="H40" s="1"/>
      <c r="I40" s="1"/>
      <c r="J40" s="1"/>
      <c r="K40" s="1"/>
      <c r="L40" s="1"/>
      <c r="M40" s="1"/>
      <c r="N40" s="1"/>
      <c r="O40" s="1"/>
      <c r="P40" s="1"/>
      <c r="Q40" s="1"/>
    </row>
    <row r="41" spans="1:17">
      <c r="A41" s="1"/>
      <c r="B41" s="1"/>
      <c r="C41" s="1"/>
      <c r="D41" s="1"/>
      <c r="E41" s="1"/>
      <c r="F41" s="1"/>
      <c r="G41" s="1"/>
      <c r="H41" s="1"/>
      <c r="I41" s="1"/>
      <c r="J41" s="1"/>
      <c r="K41" s="1"/>
      <c r="L41" s="1"/>
      <c r="M41" s="1"/>
      <c r="N41" s="1"/>
      <c r="O41" s="1"/>
      <c r="P41" s="1"/>
      <c r="Q41" s="2"/>
    </row>
    <row r="42" spans="1:17">
      <c r="A42" s="1"/>
      <c r="B42" s="1"/>
      <c r="C42" s="1"/>
      <c r="D42" s="1"/>
      <c r="E42" s="1"/>
      <c r="F42" s="1"/>
      <c r="G42" s="1"/>
      <c r="H42" s="1"/>
      <c r="I42" s="1"/>
      <c r="J42" s="1"/>
      <c r="K42" s="1"/>
      <c r="L42" s="1"/>
      <c r="M42" s="109"/>
      <c r="N42" s="109"/>
      <c r="O42" s="109"/>
      <c r="P42" s="109"/>
      <c r="Q42" s="1"/>
    </row>
  </sheetData>
  <mergeCells count="1">
    <mergeCell ref="E27:Q27"/>
  </mergeCells>
  <pageMargins left="0.7" right="0.7" top="0.75" bottom="0.75" header="0.3" footer="0.3"/>
  <pageSetup paperSize="8" orientation="landscape" r:id="rId1"/>
  <headerFooter>
    <oddHeader>&amp;C&amp;"Calibri"&amp;10&amp;K000000Confidential&amp;1#</oddHeader>
    <oddFooter>&amp;R&amp;1#&amp;"Calibri"&amp;10&amp;K000000Confidential</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1B4D0-DF86-47A1-9044-8C271B3072D3}">
  <sheetPr>
    <tabColor rgb="FF00B0F0"/>
  </sheetPr>
  <dimension ref="A1"/>
  <sheetViews>
    <sheetView workbookViewId="0">
      <selection activeCell="I24" sqref="I24"/>
    </sheetView>
  </sheetViews>
  <sheetFormatPr defaultRowHeight="15"/>
  <sheetData/>
  <pageMargins left="0.7" right="0.7" top="0.75" bottom="0.75" header="0.3" footer="0.3"/>
  <pageSetup paperSize="9" orientation="portrait" r:id="rId1"/>
  <headerFooter>
    <oddHeader>&amp;C&amp;"Calibri"&amp;10&amp;K000000Confidential&amp;1#</oddHeader>
    <oddFooter>&amp;R&amp;1#&amp;"Calibri"&amp;10&amp;K000000Confidential</oddFooter>
  </headerFooter>
  <drawing r:id="rId2"/>
  <legacyDrawing r:id="rId3"/>
  <oleObjects>
    <mc:AlternateContent xmlns:mc="http://schemas.openxmlformats.org/markup-compatibility/2006">
      <mc:Choice Requires="x14">
        <oleObject progId="Acrobat Document" dvAspect="DVASPECT_ICON" shapeId="181254" r:id="rId4">
          <objectPr defaultSize="0" autoPict="0" r:id="rId5">
            <anchor moveWithCells="1">
              <from>
                <xdr:col>7</xdr:col>
                <xdr:colOff>57150</xdr:colOff>
                <xdr:row>2</xdr:row>
                <xdr:rowOff>9525</xdr:rowOff>
              </from>
              <to>
                <xdr:col>11</xdr:col>
                <xdr:colOff>19050</xdr:colOff>
                <xdr:row>11</xdr:row>
                <xdr:rowOff>171450</xdr:rowOff>
              </to>
            </anchor>
          </objectPr>
        </oleObject>
      </mc:Choice>
      <mc:Fallback>
        <oleObject progId="Acrobat Document" dvAspect="DVASPECT_ICON" shapeId="181254" r:id="rId4"/>
      </mc:Fallback>
    </mc:AlternateContent>
  </oleObjec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B2:M63"/>
  <sheetViews>
    <sheetView topLeftCell="A22" workbookViewId="0">
      <selection activeCell="C46" sqref="C46"/>
    </sheetView>
  </sheetViews>
  <sheetFormatPr defaultColWidth="9.140625" defaultRowHeight="14.25"/>
  <cols>
    <col min="1" max="8" width="9.140625" style="30"/>
    <col min="9" max="9" width="10.140625" style="30" customWidth="1"/>
    <col min="10" max="16384" width="9.140625" style="30"/>
  </cols>
  <sheetData>
    <row r="2" spans="2:13">
      <c r="B2" s="4"/>
      <c r="C2" s="4"/>
      <c r="D2" s="4"/>
      <c r="E2" s="4"/>
      <c r="F2" s="4"/>
      <c r="G2" s="4"/>
      <c r="H2" s="4"/>
      <c r="I2" s="4"/>
      <c r="J2" s="4"/>
      <c r="K2" s="4"/>
      <c r="L2" s="4"/>
      <c r="M2" s="4"/>
    </row>
    <row r="3" spans="2:13">
      <c r="B3" s="4"/>
      <c r="C3" s="4"/>
      <c r="D3" s="4"/>
      <c r="E3" s="4"/>
      <c r="F3" s="4"/>
      <c r="G3" s="4"/>
      <c r="H3" s="4"/>
      <c r="I3" s="4"/>
      <c r="J3" s="4"/>
      <c r="K3" s="4"/>
      <c r="L3" s="4"/>
      <c r="M3" s="4"/>
    </row>
    <row r="4" spans="2:13">
      <c r="B4" s="4"/>
      <c r="C4" s="4"/>
      <c r="D4" s="4"/>
      <c r="E4" s="4"/>
      <c r="F4" s="4"/>
      <c r="G4" s="4"/>
      <c r="H4" s="4"/>
      <c r="I4" s="4"/>
      <c r="J4" s="4"/>
      <c r="K4" s="4"/>
      <c r="L4" s="4"/>
      <c r="M4" s="4"/>
    </row>
    <row r="5" spans="2:13">
      <c r="B5" s="4"/>
      <c r="C5" s="4"/>
      <c r="D5" s="4"/>
      <c r="E5" s="4"/>
      <c r="F5" s="4"/>
      <c r="G5" s="4"/>
      <c r="H5" s="4"/>
      <c r="I5" s="4"/>
      <c r="J5" s="4"/>
      <c r="K5" s="4"/>
      <c r="L5" s="4"/>
      <c r="M5" s="4"/>
    </row>
    <row r="6" spans="2:13">
      <c r="B6" s="4"/>
      <c r="C6" s="4"/>
      <c r="D6" s="4"/>
      <c r="E6" s="4"/>
      <c r="F6" s="4"/>
      <c r="G6" s="4"/>
      <c r="H6" s="4"/>
      <c r="I6" s="4"/>
      <c r="J6" s="4"/>
      <c r="K6" s="4"/>
      <c r="L6" s="4"/>
      <c r="M6" s="4"/>
    </row>
    <row r="7" spans="2:13">
      <c r="B7" s="4"/>
      <c r="C7" s="4"/>
      <c r="D7" s="4"/>
      <c r="E7" s="4"/>
      <c r="F7" s="4"/>
      <c r="G7" s="4"/>
      <c r="H7" s="4"/>
      <c r="I7" s="4"/>
      <c r="J7" s="4"/>
      <c r="K7" s="4"/>
      <c r="L7" s="4"/>
      <c r="M7" s="4"/>
    </row>
    <row r="8" spans="2:13">
      <c r="B8" s="4"/>
      <c r="C8" s="4"/>
      <c r="D8" s="4"/>
      <c r="E8" s="4"/>
      <c r="F8" s="4"/>
      <c r="G8" s="4"/>
      <c r="H8" s="4"/>
      <c r="I8" s="4"/>
      <c r="J8" s="4"/>
      <c r="K8" s="4"/>
      <c r="L8" s="4"/>
      <c r="M8" s="4"/>
    </row>
    <row r="9" spans="2:13">
      <c r="B9" s="4"/>
      <c r="C9" s="4"/>
      <c r="D9" s="4"/>
      <c r="E9" s="4"/>
      <c r="F9" s="4"/>
      <c r="G9" s="4"/>
      <c r="H9" s="4"/>
      <c r="I9" s="4"/>
      <c r="J9" s="4"/>
      <c r="K9" s="4"/>
      <c r="L9" s="4"/>
      <c r="M9" s="4"/>
    </row>
    <row r="10" spans="2:13">
      <c r="B10" s="4"/>
      <c r="C10" s="4"/>
      <c r="D10" s="4"/>
      <c r="E10" s="4"/>
      <c r="F10" s="4"/>
      <c r="G10" s="4"/>
      <c r="H10" s="4"/>
      <c r="I10" s="4"/>
      <c r="J10" s="4"/>
      <c r="K10" s="4"/>
      <c r="L10" s="4"/>
      <c r="M10" s="4"/>
    </row>
    <row r="11" spans="2:13">
      <c r="B11" s="4"/>
      <c r="C11" s="4"/>
      <c r="D11" s="4"/>
      <c r="E11" s="4"/>
      <c r="F11" s="4"/>
      <c r="G11" s="4"/>
      <c r="H11" s="4"/>
      <c r="I11" s="4"/>
      <c r="J11" s="4"/>
      <c r="K11" s="4"/>
      <c r="L11" s="4"/>
      <c r="M11" s="4"/>
    </row>
    <row r="12" spans="2:13">
      <c r="B12" s="4"/>
      <c r="C12" s="4"/>
      <c r="D12" s="4"/>
      <c r="E12" s="4"/>
      <c r="F12" s="4"/>
      <c r="G12" s="4"/>
      <c r="H12" s="4"/>
      <c r="I12" s="4"/>
      <c r="J12" s="4"/>
      <c r="K12" s="4"/>
      <c r="L12" s="4"/>
      <c r="M12" s="4"/>
    </row>
    <row r="13" spans="2:13" ht="15">
      <c r="B13" s="176"/>
      <c r="C13" s="177"/>
      <c r="D13" s="177"/>
      <c r="E13" s="3"/>
      <c r="F13" s="3"/>
      <c r="G13" s="3"/>
      <c r="H13" s="3"/>
      <c r="I13" s="3"/>
      <c r="J13" s="3"/>
      <c r="K13" s="3"/>
      <c r="L13" s="4"/>
      <c r="M13" s="4"/>
    </row>
    <row r="14" spans="2:13" ht="31.5" customHeight="1">
      <c r="B14" s="183">
        <v>1</v>
      </c>
      <c r="C14" s="3" t="s">
        <v>122</v>
      </c>
      <c r="D14" s="12"/>
      <c r="E14" s="3"/>
      <c r="F14" s="3"/>
      <c r="G14" s="3"/>
      <c r="H14" s="3"/>
      <c r="I14" s="3"/>
      <c r="J14" s="3"/>
      <c r="K14" s="14"/>
      <c r="L14" s="14"/>
      <c r="M14" s="14"/>
    </row>
    <row r="15" spans="2:13" ht="18" customHeight="1">
      <c r="B15" s="178"/>
      <c r="C15" s="3" t="s">
        <v>123</v>
      </c>
      <c r="D15" s="12"/>
      <c r="E15" s="3"/>
      <c r="F15" s="3"/>
      <c r="G15" s="3"/>
      <c r="H15" s="3"/>
      <c r="I15" s="3"/>
      <c r="J15" s="3"/>
      <c r="K15" s="14"/>
      <c r="L15" s="14"/>
      <c r="M15" s="14"/>
    </row>
    <row r="16" spans="2:13" ht="15.75">
      <c r="B16" s="3"/>
      <c r="C16" s="3" t="s">
        <v>124</v>
      </c>
      <c r="D16" s="3"/>
      <c r="E16" s="120"/>
      <c r="F16" s="121"/>
      <c r="G16" s="121"/>
      <c r="H16" s="121"/>
      <c r="I16" s="3"/>
      <c r="J16" s="3"/>
      <c r="K16" s="3"/>
      <c r="L16" s="4"/>
      <c r="M16" s="4"/>
    </row>
    <row r="17" spans="2:13" ht="15.75">
      <c r="B17" s="3"/>
      <c r="C17" s="3" t="s">
        <v>125</v>
      </c>
      <c r="D17" s="3"/>
      <c r="E17" s="120"/>
      <c r="F17" s="121"/>
      <c r="G17" s="121"/>
      <c r="H17" s="121"/>
      <c r="I17" s="3"/>
      <c r="J17" s="3"/>
      <c r="K17" s="3"/>
      <c r="L17" s="4"/>
      <c r="M17" s="4"/>
    </row>
    <row r="18" spans="2:13">
      <c r="B18" s="3"/>
      <c r="C18" s="3" t="s">
        <v>126</v>
      </c>
      <c r="D18" s="3"/>
      <c r="E18" s="3"/>
      <c r="F18" s="12"/>
      <c r="G18" s="3"/>
      <c r="H18" s="3"/>
      <c r="I18" s="3"/>
      <c r="J18" s="3"/>
      <c r="K18" s="3"/>
      <c r="L18" s="179"/>
      <c r="M18" s="3"/>
    </row>
    <row r="19" spans="2:13">
      <c r="B19" s="3"/>
      <c r="C19" s="3"/>
      <c r="D19" s="3"/>
      <c r="E19" s="3"/>
      <c r="F19" s="12"/>
      <c r="G19" s="3"/>
      <c r="H19" s="3"/>
      <c r="I19" s="3"/>
      <c r="J19" s="3"/>
      <c r="K19" s="3"/>
      <c r="L19" s="179"/>
      <c r="M19" s="3"/>
    </row>
    <row r="20" spans="2:13" ht="15">
      <c r="B20" s="3">
        <v>2</v>
      </c>
      <c r="C20" s="14" t="s">
        <v>127</v>
      </c>
      <c r="D20" s="3"/>
      <c r="E20" s="3"/>
      <c r="F20" s="3"/>
      <c r="G20" s="3"/>
      <c r="H20" s="3"/>
      <c r="I20" s="3"/>
      <c r="J20" s="3"/>
      <c r="K20" s="3"/>
      <c r="L20" s="179"/>
      <c r="M20" s="3"/>
    </row>
    <row r="21" spans="2:13" ht="15">
      <c r="B21" s="183"/>
      <c r="C21" s="3" t="s">
        <v>128</v>
      </c>
      <c r="D21" s="3"/>
      <c r="E21" s="3"/>
      <c r="F21" s="3"/>
      <c r="G21" s="3"/>
      <c r="H21" s="3"/>
      <c r="I21" s="3"/>
      <c r="J21" s="3"/>
      <c r="K21" s="3"/>
      <c r="L21" s="179"/>
      <c r="M21" s="3"/>
    </row>
    <row r="22" spans="2:13">
      <c r="B22" s="3"/>
      <c r="C22" s="3" t="s">
        <v>129</v>
      </c>
      <c r="D22" s="3"/>
      <c r="E22" s="3"/>
      <c r="F22" s="3"/>
      <c r="G22" s="3"/>
      <c r="H22" s="3"/>
      <c r="I22" s="3"/>
      <c r="J22" s="3"/>
      <c r="K22" s="3"/>
      <c r="L22" s="179"/>
      <c r="M22" s="3"/>
    </row>
    <row r="23" spans="2:13">
      <c r="B23" s="3"/>
      <c r="C23" s="3" t="s">
        <v>130</v>
      </c>
      <c r="D23" s="3"/>
      <c r="E23" s="3"/>
      <c r="F23" s="3"/>
      <c r="G23" s="3"/>
      <c r="H23" s="3"/>
      <c r="I23" s="3"/>
      <c r="J23" s="3"/>
      <c r="K23" s="3"/>
      <c r="L23" s="179"/>
      <c r="M23" s="3"/>
    </row>
    <row r="24" spans="2:13">
      <c r="B24" s="3"/>
      <c r="C24" s="3"/>
      <c r="D24" s="3"/>
      <c r="E24" s="3"/>
      <c r="F24" s="3"/>
      <c r="G24" s="3"/>
      <c r="H24" s="3"/>
      <c r="I24" s="3"/>
      <c r="J24" s="3"/>
      <c r="K24" s="3"/>
      <c r="L24" s="179"/>
      <c r="M24" s="3"/>
    </row>
    <row r="25" spans="2:13" ht="15">
      <c r="B25" s="3">
        <v>3</v>
      </c>
      <c r="C25" s="3" t="s">
        <v>131</v>
      </c>
      <c r="D25" s="3"/>
      <c r="E25" s="3"/>
      <c r="F25" s="3"/>
      <c r="G25" s="3"/>
      <c r="H25" s="3"/>
      <c r="I25" s="3"/>
      <c r="J25" s="3"/>
      <c r="K25" s="3"/>
      <c r="L25" s="179"/>
      <c r="M25" s="3"/>
    </row>
    <row r="26" spans="2:13">
      <c r="B26" s="3"/>
      <c r="C26" s="3" t="s">
        <v>132</v>
      </c>
      <c r="D26" s="3"/>
      <c r="E26" s="3"/>
      <c r="F26" s="3"/>
      <c r="G26" s="3"/>
      <c r="H26" s="3"/>
      <c r="I26" s="3"/>
      <c r="J26" s="3"/>
      <c r="K26" s="3"/>
      <c r="L26" s="179"/>
      <c r="M26" s="3"/>
    </row>
    <row r="27" spans="2:13">
      <c r="B27" s="3"/>
      <c r="C27" s="3" t="s">
        <v>133</v>
      </c>
      <c r="D27" s="3"/>
      <c r="E27" s="3"/>
      <c r="F27" s="3"/>
      <c r="G27" s="3"/>
      <c r="H27" s="3"/>
      <c r="I27" s="3"/>
      <c r="J27" s="3"/>
      <c r="K27" s="3"/>
      <c r="L27" s="179"/>
      <c r="M27" s="3"/>
    </row>
    <row r="28" spans="2:13">
      <c r="B28" s="3"/>
      <c r="C28" s="3"/>
      <c r="D28" s="3"/>
      <c r="E28" s="3"/>
      <c r="F28" s="3"/>
      <c r="G28" s="3"/>
      <c r="H28" s="3"/>
      <c r="I28" s="3"/>
      <c r="J28" s="3"/>
      <c r="K28" s="3"/>
      <c r="L28" s="179"/>
      <c r="M28" s="3"/>
    </row>
    <row r="29" spans="2:13" ht="15">
      <c r="B29" s="3">
        <v>4</v>
      </c>
      <c r="C29" s="3" t="s">
        <v>134</v>
      </c>
      <c r="D29" s="3"/>
      <c r="E29" s="3"/>
      <c r="F29" s="3"/>
      <c r="G29" s="3"/>
      <c r="H29" s="14"/>
      <c r="I29" s="3"/>
      <c r="J29" s="3"/>
      <c r="K29" s="3"/>
      <c r="L29" s="179"/>
      <c r="M29" s="3"/>
    </row>
    <row r="30" spans="2:13" ht="15">
      <c r="B30" s="3"/>
      <c r="C30" s="14" t="s">
        <v>135</v>
      </c>
      <c r="D30" s="3"/>
      <c r="E30" s="3"/>
      <c r="F30" s="3"/>
      <c r="G30" s="3"/>
      <c r="H30" s="3"/>
      <c r="I30" s="3"/>
      <c r="J30" s="3"/>
      <c r="K30" s="3"/>
      <c r="L30" s="179"/>
      <c r="M30" s="3"/>
    </row>
    <row r="31" spans="2:13">
      <c r="B31" s="3"/>
      <c r="C31" s="3" t="s">
        <v>136</v>
      </c>
      <c r="D31" s="3"/>
      <c r="E31" s="3"/>
      <c r="F31" s="3"/>
      <c r="G31" s="3"/>
      <c r="H31" s="3"/>
      <c r="I31" s="3"/>
      <c r="J31" s="3"/>
      <c r="K31" s="3"/>
      <c r="L31" s="179"/>
      <c r="M31" s="3"/>
    </row>
    <row r="32" spans="2:13" ht="15">
      <c r="B32" s="3"/>
      <c r="C32" s="3" t="s">
        <v>137</v>
      </c>
      <c r="D32" s="3"/>
      <c r="E32" s="3"/>
      <c r="F32" s="3"/>
      <c r="G32" s="3"/>
      <c r="H32" s="14"/>
      <c r="I32" s="3"/>
      <c r="J32" s="3"/>
      <c r="K32" s="3"/>
      <c r="L32" s="179"/>
      <c r="M32" s="3"/>
    </row>
    <row r="33" spans="2:13">
      <c r="B33" s="3"/>
      <c r="C33" s="3" t="s">
        <v>138</v>
      </c>
      <c r="D33" s="3"/>
      <c r="E33" s="13"/>
      <c r="F33" s="3"/>
      <c r="G33" s="3"/>
      <c r="H33" s="3"/>
      <c r="I33" s="3"/>
      <c r="J33" s="3"/>
      <c r="K33" s="3"/>
      <c r="L33" s="179"/>
      <c r="M33" s="3"/>
    </row>
    <row r="34" spans="2:13">
      <c r="B34" s="3"/>
      <c r="C34" s="3"/>
      <c r="D34" s="3"/>
      <c r="E34" s="13"/>
      <c r="F34" s="3"/>
      <c r="G34" s="3"/>
      <c r="H34" s="3"/>
      <c r="I34" s="3"/>
      <c r="J34" s="3"/>
      <c r="K34" s="3"/>
      <c r="L34" s="179"/>
      <c r="M34" s="3"/>
    </row>
    <row r="35" spans="2:13" ht="15">
      <c r="B35" s="3">
        <v>5</v>
      </c>
      <c r="C35" s="14" t="s">
        <v>139</v>
      </c>
      <c r="D35" s="3"/>
      <c r="E35" s="13"/>
      <c r="F35" s="3"/>
      <c r="G35" s="3"/>
      <c r="H35" s="3"/>
      <c r="I35" s="3"/>
      <c r="J35" s="3"/>
      <c r="K35" s="3"/>
      <c r="L35" s="179"/>
      <c r="M35" s="3"/>
    </row>
    <row r="36" spans="2:13">
      <c r="B36" s="3"/>
      <c r="C36" s="3" t="s">
        <v>140</v>
      </c>
      <c r="D36" s="3"/>
      <c r="E36" s="13"/>
      <c r="F36" s="3"/>
      <c r="G36" s="3"/>
      <c r="H36" s="3"/>
      <c r="I36" s="3"/>
      <c r="J36" s="3"/>
      <c r="K36" s="3"/>
      <c r="L36" s="3"/>
      <c r="M36" s="3"/>
    </row>
    <row r="37" spans="2:13">
      <c r="B37" s="3"/>
      <c r="C37" s="3" t="s">
        <v>141</v>
      </c>
      <c r="D37" s="3"/>
      <c r="E37" s="13"/>
      <c r="F37" s="3"/>
      <c r="G37" s="3"/>
      <c r="H37" s="3"/>
      <c r="I37" s="3"/>
      <c r="J37" s="3"/>
      <c r="K37" s="3"/>
      <c r="L37" s="3"/>
      <c r="M37" s="3"/>
    </row>
    <row r="38" spans="2:13">
      <c r="B38" s="3"/>
      <c r="C38" s="3"/>
      <c r="D38" s="3"/>
      <c r="E38" s="13"/>
      <c r="F38" s="4"/>
      <c r="G38" s="3"/>
      <c r="H38" s="3"/>
      <c r="I38" s="3"/>
      <c r="J38" s="3"/>
      <c r="K38" s="3"/>
      <c r="L38" s="3"/>
      <c r="M38" s="3"/>
    </row>
    <row r="39" spans="2:13" ht="15">
      <c r="B39" s="3">
        <v>6</v>
      </c>
      <c r="C39" s="3" t="s">
        <v>142</v>
      </c>
      <c r="D39" s="3"/>
      <c r="E39" s="13"/>
      <c r="F39" s="4"/>
      <c r="G39" s="3"/>
      <c r="H39" s="3"/>
      <c r="I39" s="3"/>
      <c r="J39" s="3"/>
      <c r="K39" s="3"/>
      <c r="L39" s="4"/>
      <c r="M39" s="4"/>
    </row>
    <row r="40" spans="2:13">
      <c r="B40" s="3"/>
      <c r="C40" s="3" t="s">
        <v>143</v>
      </c>
      <c r="D40" s="3"/>
      <c r="E40" s="13"/>
      <c r="F40" s="4"/>
      <c r="G40" s="3"/>
      <c r="H40" s="3"/>
      <c r="I40" s="3"/>
      <c r="J40" s="3"/>
      <c r="K40" s="3"/>
      <c r="L40" s="4"/>
      <c r="M40" s="4"/>
    </row>
    <row r="41" spans="2:13">
      <c r="B41" s="3"/>
      <c r="C41" s="3" t="s">
        <v>144</v>
      </c>
      <c r="D41" s="3"/>
      <c r="E41" s="13"/>
      <c r="F41" s="4"/>
      <c r="G41" s="3"/>
      <c r="H41" s="3"/>
      <c r="I41" s="3"/>
      <c r="J41" s="3"/>
      <c r="K41" s="3"/>
      <c r="L41" s="4"/>
      <c r="M41" s="4"/>
    </row>
    <row r="42" spans="2:13">
      <c r="B42" s="3"/>
      <c r="C42" s="3"/>
      <c r="D42" s="3"/>
      <c r="E42" s="13"/>
      <c r="F42" s="4"/>
      <c r="G42" s="3"/>
      <c r="H42" s="3"/>
      <c r="I42" s="3"/>
      <c r="J42" s="3"/>
      <c r="K42" s="3"/>
      <c r="L42" s="4"/>
      <c r="M42" s="4"/>
    </row>
    <row r="43" spans="2:13" ht="15">
      <c r="B43" s="3">
        <v>7</v>
      </c>
      <c r="C43" s="3" t="s">
        <v>145</v>
      </c>
      <c r="D43" s="180"/>
      <c r="E43" s="181"/>
      <c r="F43" s="4"/>
      <c r="G43" s="4"/>
      <c r="H43" s="4"/>
      <c r="I43" s="4"/>
      <c r="J43" s="4"/>
      <c r="K43" s="4"/>
      <c r="L43" s="4"/>
      <c r="M43" s="4"/>
    </row>
    <row r="44" spans="2:13">
      <c r="B44" s="3"/>
      <c r="C44" s="3"/>
      <c r="D44" s="180"/>
      <c r="E44" s="181"/>
      <c r="F44" s="4"/>
      <c r="G44" s="4"/>
      <c r="H44" s="4"/>
      <c r="I44" s="4"/>
      <c r="J44" s="4"/>
      <c r="K44" s="4"/>
      <c r="L44" s="4"/>
      <c r="M44" s="4"/>
    </row>
    <row r="45" spans="2:13" ht="15">
      <c r="B45" s="3">
        <v>8</v>
      </c>
      <c r="C45" s="3" t="s">
        <v>146</v>
      </c>
      <c r="D45" s="3"/>
      <c r="E45" s="3"/>
      <c r="F45" s="3"/>
      <c r="G45" s="4"/>
      <c r="H45" s="4"/>
      <c r="I45" s="4"/>
      <c r="J45" s="4"/>
      <c r="K45" s="4"/>
      <c r="L45" s="4"/>
      <c r="M45" s="4"/>
    </row>
    <row r="46" spans="2:13">
      <c r="B46" s="3"/>
      <c r="C46" s="3" t="s">
        <v>147</v>
      </c>
      <c r="D46" s="3"/>
      <c r="E46" s="3"/>
      <c r="F46" s="3"/>
      <c r="G46" s="4"/>
      <c r="H46" s="4"/>
      <c r="I46" s="4"/>
      <c r="J46" s="4"/>
      <c r="K46" s="4"/>
      <c r="L46" s="182"/>
      <c r="M46" s="4"/>
    </row>
    <row r="47" spans="2:13">
      <c r="B47" s="3"/>
      <c r="C47" s="3"/>
      <c r="D47" s="3"/>
      <c r="E47" s="3"/>
      <c r="F47" s="3"/>
      <c r="G47" s="4"/>
      <c r="H47" s="4"/>
      <c r="I47" s="4"/>
      <c r="J47" s="4"/>
      <c r="K47" s="4"/>
      <c r="L47" s="182"/>
      <c r="M47" s="4"/>
    </row>
    <row r="48" spans="2:13" ht="15">
      <c r="B48" s="3">
        <v>9</v>
      </c>
      <c r="C48" s="3" t="s">
        <v>148</v>
      </c>
      <c r="D48" s="3"/>
      <c r="E48" s="3"/>
      <c r="F48" s="3"/>
      <c r="G48" s="3"/>
      <c r="H48" s="3"/>
      <c r="I48" s="3"/>
      <c r="J48" s="3"/>
      <c r="K48" s="3"/>
      <c r="L48" s="3"/>
      <c r="M48" s="3"/>
    </row>
    <row r="49" spans="2:13">
      <c r="B49" s="3"/>
      <c r="C49" s="3" t="s">
        <v>149</v>
      </c>
      <c r="D49" s="3"/>
      <c r="E49" s="3"/>
      <c r="F49" s="3"/>
      <c r="G49" s="3"/>
      <c r="H49" s="3"/>
      <c r="I49" s="3"/>
      <c r="J49" s="3"/>
      <c r="K49" s="3"/>
      <c r="L49" s="3"/>
      <c r="M49" s="3"/>
    </row>
    <row r="50" spans="2:13">
      <c r="B50" s="3"/>
      <c r="C50" s="3" t="s">
        <v>150</v>
      </c>
      <c r="D50" s="3"/>
      <c r="E50" s="3"/>
      <c r="F50" s="3"/>
      <c r="G50" s="3"/>
      <c r="H50" s="3"/>
      <c r="I50" s="3"/>
      <c r="J50" s="3"/>
      <c r="K50" s="3"/>
      <c r="L50" s="3"/>
      <c r="M50" s="3"/>
    </row>
    <row r="51" spans="2:13">
      <c r="B51" s="3"/>
      <c r="C51" s="3"/>
      <c r="D51" s="3"/>
      <c r="E51" s="3"/>
      <c r="F51" s="3"/>
      <c r="G51" s="3"/>
      <c r="H51" s="3"/>
      <c r="I51" s="3"/>
      <c r="J51" s="3"/>
      <c r="K51" s="3"/>
      <c r="L51" s="3"/>
      <c r="M51" s="3"/>
    </row>
    <row r="52" spans="2:13" ht="15">
      <c r="B52" s="3">
        <v>10</v>
      </c>
      <c r="C52" s="3" t="s">
        <v>151</v>
      </c>
      <c r="D52" s="3"/>
      <c r="E52" s="3"/>
      <c r="F52" s="3"/>
      <c r="G52" s="3"/>
      <c r="H52" s="3"/>
      <c r="I52" s="3"/>
      <c r="J52" s="3"/>
      <c r="K52" s="3"/>
      <c r="L52" s="3"/>
      <c r="M52" s="3"/>
    </row>
    <row r="53" spans="2:13">
      <c r="B53" s="3"/>
      <c r="C53" s="3" t="s">
        <v>152</v>
      </c>
      <c r="D53" s="3"/>
      <c r="E53" s="3"/>
      <c r="F53" s="3"/>
      <c r="G53" s="3"/>
      <c r="H53" s="3"/>
      <c r="I53" s="3"/>
      <c r="J53" s="3"/>
      <c r="K53" s="3"/>
      <c r="L53" s="3"/>
      <c r="M53" s="3"/>
    </row>
    <row r="54" spans="2:13">
      <c r="B54" s="3"/>
      <c r="C54" s="3" t="s">
        <v>153</v>
      </c>
      <c r="D54" s="3"/>
      <c r="E54" s="3"/>
      <c r="F54" s="3"/>
      <c r="G54" s="3"/>
      <c r="H54" s="3"/>
      <c r="I54" s="3"/>
      <c r="J54" s="3"/>
      <c r="K54" s="3"/>
      <c r="L54" s="3"/>
      <c r="M54" s="3"/>
    </row>
    <row r="55" spans="2:13">
      <c r="B55" s="3"/>
      <c r="C55" s="3"/>
      <c r="D55" s="3"/>
      <c r="E55" s="3"/>
      <c r="F55" s="3"/>
      <c r="G55" s="3"/>
      <c r="H55" s="3"/>
      <c r="I55" s="3"/>
      <c r="J55" s="3"/>
      <c r="K55" s="3"/>
      <c r="L55" s="3"/>
      <c r="M55" s="3"/>
    </row>
    <row r="56" spans="2:13" ht="15">
      <c r="B56" s="3">
        <v>11</v>
      </c>
      <c r="C56" s="3" t="s">
        <v>154</v>
      </c>
      <c r="D56" s="3"/>
      <c r="E56" s="3"/>
      <c r="F56" s="3"/>
      <c r="G56" s="3"/>
      <c r="H56" s="3"/>
      <c r="I56" s="3"/>
      <c r="J56" s="3"/>
      <c r="K56" s="3"/>
      <c r="L56" s="3"/>
      <c r="M56" s="3"/>
    </row>
    <row r="57" spans="2:13">
      <c r="B57" s="3"/>
      <c r="C57" s="3" t="s">
        <v>155</v>
      </c>
      <c r="D57" s="3"/>
      <c r="E57" s="3"/>
      <c r="F57" s="3"/>
      <c r="G57" s="3"/>
      <c r="H57" s="3"/>
      <c r="I57" s="3"/>
      <c r="J57" s="3"/>
      <c r="K57" s="3"/>
      <c r="L57" s="3"/>
      <c r="M57" s="3"/>
    </row>
    <row r="58" spans="2:13">
      <c r="B58" s="3"/>
      <c r="C58" s="3" t="s">
        <v>156</v>
      </c>
      <c r="D58" s="3"/>
      <c r="E58" s="3"/>
      <c r="F58" s="3"/>
      <c r="G58" s="3"/>
      <c r="H58" s="3"/>
      <c r="I58" s="3"/>
      <c r="J58" s="3"/>
      <c r="K58" s="3"/>
      <c r="L58" s="3"/>
      <c r="M58" s="3"/>
    </row>
    <row r="59" spans="2:13">
      <c r="B59" s="3"/>
      <c r="C59" s="3"/>
      <c r="D59" s="3"/>
      <c r="E59" s="3"/>
      <c r="F59" s="3"/>
      <c r="G59" s="3"/>
      <c r="H59" s="3"/>
      <c r="I59" s="3"/>
      <c r="J59" s="3"/>
      <c r="K59" s="3"/>
      <c r="L59" s="4"/>
      <c r="M59" s="3"/>
    </row>
    <row r="60" spans="2:13">
      <c r="B60" s="3"/>
      <c r="C60" s="3" t="s">
        <v>157</v>
      </c>
      <c r="D60" s="3"/>
      <c r="E60" s="3"/>
      <c r="F60" s="3"/>
      <c r="G60" s="3"/>
      <c r="H60" s="3"/>
      <c r="I60" s="3"/>
      <c r="J60" s="200"/>
      <c r="K60" s="3"/>
      <c r="L60" s="182"/>
      <c r="M60" s="4"/>
    </row>
    <row r="62" spans="2:13" s="661" customFormat="1" ht="12">
      <c r="L62" s="661" t="s">
        <v>10</v>
      </c>
    </row>
    <row r="63" spans="2:13" s="661" customFormat="1" ht="12">
      <c r="L63" s="661" t="s">
        <v>64</v>
      </c>
    </row>
  </sheetData>
  <pageMargins left="0.7" right="0.7" top="0.75" bottom="0.75" header="0.3" footer="0.3"/>
  <pageSetup paperSize="9" orientation="portrait" horizontalDpi="1200" r:id="rId1"/>
  <headerFooter>
    <oddHeader>&amp;C&amp;"Calibri"&amp;10&amp;K000000Confidential&amp;1#</oddHeader>
    <oddFooter>&amp;R&amp;1#&amp;"Calibri"&amp;10&amp;K000000Confidential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7030A0"/>
  </sheetPr>
  <dimension ref="B1:O65"/>
  <sheetViews>
    <sheetView zoomScale="90" zoomScaleNormal="90" zoomScaleSheetLayoutView="80" workbookViewId="0">
      <selection activeCell="G29" sqref="G29"/>
    </sheetView>
  </sheetViews>
  <sheetFormatPr defaultColWidth="8.85546875" defaultRowHeight="15"/>
  <cols>
    <col min="1" max="1" width="8.85546875" style="1385"/>
    <col min="2" max="2" width="20.42578125" style="1385" customWidth="1"/>
    <col min="3" max="3" width="51.42578125" style="1385" customWidth="1"/>
    <col min="4" max="4" width="8.85546875" style="1385"/>
    <col min="5" max="5" width="2.28515625" style="1385" customWidth="1"/>
    <col min="6" max="6" width="64.28515625" style="1385" bestFit="1" customWidth="1"/>
    <col min="7" max="7" width="38" style="1385" bestFit="1" customWidth="1"/>
    <col min="8" max="8" width="10.5703125" style="1385" bestFit="1" customWidth="1"/>
    <col min="9" max="9" width="1.85546875" style="1385" customWidth="1"/>
    <col min="10" max="14" width="8.85546875" style="1385"/>
    <col min="15" max="15" width="16.7109375" style="1385" customWidth="1"/>
    <col min="16" max="16384" width="8.85546875" style="1385"/>
  </cols>
  <sheetData>
    <row r="1" spans="2:15" s="1380" customFormat="1" ht="19.5" thickBot="1">
      <c r="B1" s="1572" t="s">
        <v>1175</v>
      </c>
      <c r="C1" s="1573"/>
      <c r="D1" s="1573"/>
      <c r="E1" s="1573"/>
      <c r="F1" s="1573"/>
      <c r="G1" s="1573"/>
      <c r="H1" s="1574"/>
    </row>
    <row r="2" spans="2:15">
      <c r="B2" s="1381" t="s">
        <v>158</v>
      </c>
      <c r="C2" s="1382"/>
      <c r="D2" s="1382"/>
      <c r="E2" s="1382"/>
      <c r="F2" s="1383"/>
      <c r="G2" s="1383"/>
      <c r="H2" s="1384"/>
    </row>
    <row r="3" spans="2:15">
      <c r="B3" s="1386" t="s">
        <v>159</v>
      </c>
      <c r="C3" s="1387"/>
      <c r="D3" s="1388">
        <v>0.13</v>
      </c>
      <c r="E3" s="1387"/>
      <c r="F3" s="1387"/>
      <c r="G3" s="1387"/>
      <c r="H3" s="1389"/>
    </row>
    <row r="4" spans="2:15">
      <c r="B4" s="1386" t="s">
        <v>160</v>
      </c>
      <c r="C4" s="1387"/>
      <c r="D4" s="1388">
        <v>0.15</v>
      </c>
      <c r="E4" s="1387"/>
      <c r="F4" s="1387"/>
      <c r="G4" s="1387"/>
      <c r="H4" s="1389"/>
    </row>
    <row r="5" spans="2:15">
      <c r="B5" s="1386" t="s">
        <v>161</v>
      </c>
      <c r="C5" s="1387"/>
      <c r="D5" s="1390">
        <v>0.1</v>
      </c>
      <c r="E5" s="1390"/>
      <c r="F5" s="1387"/>
      <c r="G5" s="1387"/>
      <c r="H5" s="1389"/>
    </row>
    <row r="6" spans="2:15">
      <c r="B6" s="1386" t="s">
        <v>162</v>
      </c>
      <c r="C6" s="1387"/>
      <c r="D6" s="1391">
        <v>0.18</v>
      </c>
      <c r="E6" s="1387"/>
      <c r="F6" s="1387"/>
      <c r="G6" s="1387"/>
      <c r="H6" s="1389"/>
    </row>
    <row r="7" spans="2:15">
      <c r="B7" s="1386" t="s">
        <v>163</v>
      </c>
      <c r="C7" s="1387"/>
      <c r="D7" s="1388">
        <v>0.2</v>
      </c>
      <c r="E7" s="1387"/>
      <c r="F7" s="1387"/>
      <c r="G7" s="1387"/>
      <c r="H7" s="1389"/>
    </row>
    <row r="8" spans="2:15" ht="2.4500000000000002" customHeight="1">
      <c r="B8" s="1386"/>
      <c r="C8" s="1387"/>
      <c r="D8" s="1387"/>
      <c r="E8" s="1387"/>
      <c r="F8" s="1387"/>
      <c r="G8" s="1387"/>
      <c r="H8" s="1389"/>
      <c r="O8" s="1392"/>
    </row>
    <row r="9" spans="2:15">
      <c r="B9" s="1393" t="s">
        <v>164</v>
      </c>
      <c r="C9" s="1394"/>
      <c r="D9" s="1394"/>
      <c r="E9" s="1394"/>
      <c r="F9" s="1394"/>
      <c r="G9" s="1387"/>
      <c r="H9" s="1389"/>
    </row>
    <row r="10" spans="2:15">
      <c r="B10" s="1386" t="s">
        <v>165</v>
      </c>
      <c r="C10" s="1387" t="s">
        <v>166</v>
      </c>
      <c r="D10" s="1390">
        <v>0.18</v>
      </c>
      <c r="E10" s="1387"/>
      <c r="F10" s="1387" t="s">
        <v>167</v>
      </c>
      <c r="G10" s="1387" t="s">
        <v>168</v>
      </c>
      <c r="H10" s="1395">
        <v>0.18</v>
      </c>
      <c r="I10" s="1396"/>
      <c r="J10" s="1396"/>
      <c r="O10" s="1397"/>
    </row>
    <row r="11" spans="2:15">
      <c r="B11" s="1386" t="s">
        <v>165</v>
      </c>
      <c r="C11" s="1387" t="s">
        <v>169</v>
      </c>
      <c r="D11" s="1388">
        <v>0.18</v>
      </c>
      <c r="E11" s="1387"/>
      <c r="F11" s="1387"/>
      <c r="G11" s="1387"/>
      <c r="H11" s="1395"/>
      <c r="I11" s="1396"/>
      <c r="J11" s="1396"/>
      <c r="O11" s="1398"/>
    </row>
    <row r="12" spans="2:15">
      <c r="B12" s="1386" t="s">
        <v>165</v>
      </c>
      <c r="C12" s="1387" t="s">
        <v>170</v>
      </c>
      <c r="D12" s="1391" t="s">
        <v>1218</v>
      </c>
      <c r="E12" s="1387"/>
      <c r="F12" s="1387" t="s">
        <v>167</v>
      </c>
      <c r="G12" s="1387" t="s">
        <v>171</v>
      </c>
      <c r="H12" s="1395">
        <v>0.18</v>
      </c>
    </row>
    <row r="13" spans="2:15">
      <c r="B13" s="1386" t="s">
        <v>165</v>
      </c>
      <c r="C13" s="1387" t="s">
        <v>172</v>
      </c>
      <c r="D13" s="1391" t="s">
        <v>1218</v>
      </c>
      <c r="E13" s="1387"/>
      <c r="F13" s="1387" t="s">
        <v>173</v>
      </c>
      <c r="G13" s="1387" t="s">
        <v>168</v>
      </c>
      <c r="H13" s="1395">
        <v>0.12</v>
      </c>
    </row>
    <row r="14" spans="2:15">
      <c r="B14" s="1386" t="s">
        <v>174</v>
      </c>
      <c r="C14" s="1387"/>
      <c r="D14" s="1387"/>
      <c r="E14" s="1387"/>
      <c r="F14" s="1387"/>
      <c r="G14" s="1387"/>
      <c r="H14" s="1389"/>
    </row>
    <row r="15" spans="2:15" ht="2.25" customHeight="1">
      <c r="B15" s="1386"/>
      <c r="C15" s="1387"/>
      <c r="D15" s="1387"/>
      <c r="E15" s="1387"/>
      <c r="F15" s="1387"/>
      <c r="G15" s="1387"/>
      <c r="H15" s="1389"/>
    </row>
    <row r="16" spans="2:15">
      <c r="B16" s="1393" t="s">
        <v>175</v>
      </c>
      <c r="C16" s="1394"/>
      <c r="D16" s="1394"/>
      <c r="E16" s="1394"/>
      <c r="F16" s="1399" t="s">
        <v>176</v>
      </c>
      <c r="G16" s="1400"/>
      <c r="H16" s="1401"/>
      <c r="O16" s="1398"/>
    </row>
    <row r="17" spans="2:11">
      <c r="B17" s="1386" t="s">
        <v>165</v>
      </c>
      <c r="C17" s="1387" t="s">
        <v>177</v>
      </c>
      <c r="D17" s="1388">
        <v>0.1</v>
      </c>
      <c r="E17" s="1387"/>
      <c r="F17" s="1387" t="s">
        <v>178</v>
      </c>
      <c r="G17" s="1387"/>
      <c r="H17" s="1389"/>
    </row>
    <row r="18" spans="2:11">
      <c r="B18" s="1386" t="s">
        <v>165</v>
      </c>
      <c r="C18" s="1387" t="s">
        <v>170</v>
      </c>
      <c r="D18" s="1388">
        <v>0.1</v>
      </c>
      <c r="E18" s="1387"/>
      <c r="F18" s="1387" t="s">
        <v>165</v>
      </c>
      <c r="G18" s="1402" t="s">
        <v>179</v>
      </c>
      <c r="H18" s="1403" t="s">
        <v>180</v>
      </c>
    </row>
    <row r="19" spans="2:11">
      <c r="B19" s="1386" t="s">
        <v>165</v>
      </c>
      <c r="C19" s="1387" t="s">
        <v>172</v>
      </c>
      <c r="D19" s="1388">
        <v>0.1</v>
      </c>
      <c r="E19" s="1387"/>
      <c r="F19" s="1387" t="s">
        <v>167</v>
      </c>
      <c r="G19" s="1402" t="s">
        <v>179</v>
      </c>
      <c r="H19" s="1403" t="s">
        <v>181</v>
      </c>
    </row>
    <row r="20" spans="2:11">
      <c r="B20" s="1386" t="s">
        <v>167</v>
      </c>
      <c r="C20" s="1387"/>
      <c r="D20" s="1388">
        <v>0.1</v>
      </c>
      <c r="E20" s="1387"/>
      <c r="F20" s="1387"/>
      <c r="G20" s="1387"/>
      <c r="H20" s="1389"/>
    </row>
    <row r="21" spans="2:11" ht="5.25" customHeight="1">
      <c r="B21" s="1386"/>
      <c r="C21" s="1387"/>
      <c r="D21" s="1387"/>
      <c r="E21" s="1387"/>
      <c r="F21" s="1387"/>
      <c r="G21" s="1387"/>
      <c r="H21" s="1389"/>
    </row>
    <row r="22" spans="2:11">
      <c r="B22" s="1393" t="s">
        <v>182</v>
      </c>
      <c r="C22" s="1394"/>
      <c r="D22" s="1394"/>
      <c r="E22" s="1394"/>
      <c r="F22" s="1394"/>
      <c r="G22" s="1394"/>
      <c r="H22" s="1401"/>
      <c r="I22" s="1404"/>
    </row>
    <row r="23" spans="2:11">
      <c r="B23" s="1386" t="s">
        <v>183</v>
      </c>
      <c r="C23" s="1387" t="s">
        <v>179</v>
      </c>
      <c r="D23" s="1405">
        <v>5.0000000000000001E-3</v>
      </c>
      <c r="E23" s="1387"/>
      <c r="F23" s="1387"/>
      <c r="G23" s="1387"/>
      <c r="H23" s="1389"/>
    </row>
    <row r="24" spans="2:11" ht="15.75" thickBot="1">
      <c r="B24" s="1406" t="s">
        <v>184</v>
      </c>
      <c r="C24" s="1407" t="s">
        <v>179</v>
      </c>
      <c r="D24" s="1408">
        <v>1.4999999999999999E-2</v>
      </c>
      <c r="E24" s="1407"/>
      <c r="F24" s="1407"/>
      <c r="G24" s="1407"/>
      <c r="H24" s="1409"/>
    </row>
    <row r="25" spans="2:11" ht="15.75" thickBot="1">
      <c r="K25" s="1410"/>
    </row>
    <row r="26" spans="2:11" s="1380" customFormat="1" ht="19.5" thickBot="1">
      <c r="B26" s="1572" t="s">
        <v>1176</v>
      </c>
      <c r="C26" s="1573"/>
      <c r="D26" s="1573"/>
      <c r="E26" s="1573"/>
      <c r="F26" s="1573"/>
      <c r="G26" s="1573"/>
      <c r="H26" s="1574"/>
    </row>
    <row r="27" spans="2:11">
      <c r="B27" s="1381" t="s">
        <v>158</v>
      </c>
      <c r="C27" s="1382"/>
      <c r="D27" s="1382"/>
      <c r="E27" s="1383"/>
      <c r="F27" s="1383"/>
      <c r="G27" s="1383"/>
      <c r="H27" s="1384"/>
    </row>
    <row r="28" spans="2:11">
      <c r="B28" s="1386" t="s">
        <v>262</v>
      </c>
      <c r="C28" s="1387"/>
      <c r="D28" s="1390">
        <v>0.1</v>
      </c>
      <c r="E28" s="1387"/>
      <c r="F28" s="1387"/>
      <c r="G28" s="1387"/>
      <c r="H28" s="1389"/>
    </row>
    <row r="29" spans="2:11">
      <c r="B29" s="1386" t="s">
        <v>263</v>
      </c>
      <c r="C29" s="1387"/>
      <c r="D29" s="1390">
        <v>0.12</v>
      </c>
      <c r="E29" s="1387"/>
      <c r="F29" s="1387"/>
      <c r="G29" s="1387"/>
      <c r="H29" s="1389"/>
    </row>
    <row r="30" spans="2:11" ht="4.9000000000000004" customHeight="1">
      <c r="B30" s="1386"/>
      <c r="C30" s="1387"/>
      <c r="D30" s="1387"/>
      <c r="E30" s="1387"/>
      <c r="F30" s="1387"/>
      <c r="G30" s="1387"/>
      <c r="H30" s="1389"/>
    </row>
    <row r="31" spans="2:11">
      <c r="B31" s="1393" t="s">
        <v>164</v>
      </c>
      <c r="C31" s="1394"/>
      <c r="D31" s="1394"/>
      <c r="E31" s="1394"/>
      <c r="F31" s="1394"/>
      <c r="G31" s="1387"/>
      <c r="H31" s="1389"/>
    </row>
    <row r="32" spans="2:11">
      <c r="B32" s="1386" t="s">
        <v>165</v>
      </c>
      <c r="C32" s="1387" t="s">
        <v>177</v>
      </c>
      <c r="D32" s="1390">
        <v>0.18</v>
      </c>
      <c r="E32" s="1387"/>
      <c r="F32" s="1387" t="s">
        <v>167</v>
      </c>
      <c r="G32" s="1387" t="s">
        <v>168</v>
      </c>
      <c r="H32" s="1395">
        <v>0.09</v>
      </c>
    </row>
    <row r="33" spans="2:8">
      <c r="B33" s="1386" t="s">
        <v>165</v>
      </c>
      <c r="C33" s="1387" t="s">
        <v>170</v>
      </c>
      <c r="D33" s="1390">
        <v>0.22</v>
      </c>
      <c r="E33" s="1387"/>
      <c r="F33" s="1387" t="s">
        <v>167</v>
      </c>
      <c r="G33" s="1387" t="s">
        <v>171</v>
      </c>
      <c r="H33" s="1395">
        <v>0.11</v>
      </c>
    </row>
    <row r="34" spans="2:8">
      <c r="B34" s="1386" t="s">
        <v>165</v>
      </c>
      <c r="C34" s="1387" t="s">
        <v>172</v>
      </c>
      <c r="D34" s="1387"/>
      <c r="E34" s="1387"/>
      <c r="F34" s="1387" t="s">
        <v>173</v>
      </c>
      <c r="G34" s="1387" t="s">
        <v>168</v>
      </c>
      <c r="H34" s="1395">
        <v>0.13</v>
      </c>
    </row>
    <row r="35" spans="2:8" ht="3.6" customHeight="1">
      <c r="B35" s="1386"/>
      <c r="C35" s="1387"/>
      <c r="D35" s="1387"/>
      <c r="E35" s="1387"/>
      <c r="F35" s="1387"/>
      <c r="G35" s="1387"/>
      <c r="H35" s="1395"/>
    </row>
    <row r="36" spans="2:8">
      <c r="B36" s="1393" t="s">
        <v>175</v>
      </c>
      <c r="C36" s="1394"/>
      <c r="D36" s="1394"/>
      <c r="E36" s="1399"/>
      <c r="F36" s="1399" t="s">
        <v>176</v>
      </c>
      <c r="G36" s="1400"/>
      <c r="H36" s="1401"/>
    </row>
    <row r="37" spans="2:8">
      <c r="B37" s="1386" t="s">
        <v>165</v>
      </c>
      <c r="C37" s="1387" t="s">
        <v>177</v>
      </c>
      <c r="D37" s="1390">
        <v>0.08</v>
      </c>
      <c r="E37" s="1387"/>
      <c r="F37" s="1387" t="s">
        <v>178</v>
      </c>
      <c r="G37" s="1387"/>
      <c r="H37" s="1389"/>
    </row>
    <row r="38" spans="2:8">
      <c r="B38" s="1386" t="s">
        <v>165</v>
      </c>
      <c r="C38" s="1387" t="s">
        <v>170</v>
      </c>
      <c r="D38" s="1390">
        <v>0.1</v>
      </c>
      <c r="E38" s="1387"/>
      <c r="F38" s="1387" t="s">
        <v>165</v>
      </c>
      <c r="G38" s="1402" t="s">
        <v>179</v>
      </c>
      <c r="H38" s="1403">
        <v>4.0000000000000001E-3</v>
      </c>
    </row>
    <row r="39" spans="2:8">
      <c r="B39" s="1386"/>
      <c r="C39" s="1387"/>
      <c r="D39" s="1387"/>
      <c r="E39" s="1387"/>
      <c r="F39" s="1387"/>
      <c r="G39" s="1387"/>
      <c r="H39" s="1389"/>
    </row>
    <row r="40" spans="2:8">
      <c r="B40" s="1393" t="s">
        <v>182</v>
      </c>
      <c r="C40" s="1394"/>
      <c r="D40" s="1394"/>
      <c r="E40" s="1411"/>
      <c r="F40" s="1427" t="s">
        <v>264</v>
      </c>
      <c r="G40" s="1387"/>
      <c r="H40" s="1389"/>
    </row>
    <row r="41" spans="2:8">
      <c r="B41" s="1412" t="s">
        <v>183</v>
      </c>
      <c r="C41" s="1413" t="s">
        <v>179</v>
      </c>
      <c r="D41" s="1414">
        <v>5.0000000000000001E-3</v>
      </c>
      <c r="E41" s="1415"/>
      <c r="F41" s="1428" t="s">
        <v>1219</v>
      </c>
      <c r="G41" s="1413"/>
      <c r="H41" s="1416"/>
    </row>
    <row r="42" spans="2:8">
      <c r="B42" s="1386" t="s">
        <v>184</v>
      </c>
      <c r="C42" s="1387" t="s">
        <v>179</v>
      </c>
      <c r="D42" s="1405">
        <v>1.4999999999999999E-2</v>
      </c>
      <c r="E42" s="1387"/>
      <c r="F42" s="1387" t="s">
        <v>265</v>
      </c>
      <c r="G42" s="1387"/>
      <c r="H42" s="1389"/>
    </row>
    <row r="43" spans="2:8">
      <c r="B43" s="1386"/>
      <c r="C43" s="1387"/>
      <c r="D43" s="1405"/>
      <c r="E43" s="1387"/>
      <c r="F43" s="1387" t="s">
        <v>266</v>
      </c>
      <c r="G43" s="1387"/>
      <c r="H43" s="1389"/>
    </row>
    <row r="44" spans="2:8" ht="15.75" thickBot="1">
      <c r="B44" s="1406"/>
      <c r="C44" s="1407"/>
      <c r="D44" s="1408"/>
      <c r="E44" s="1407"/>
      <c r="F44" s="1407" t="s">
        <v>267</v>
      </c>
      <c r="G44" s="1407"/>
      <c r="H44" s="1409"/>
    </row>
    <row r="45" spans="2:8" ht="15.75" thickBot="1"/>
    <row r="46" spans="2:8" s="1380" customFormat="1" ht="19.5" thickBot="1">
      <c r="B46" s="1572" t="s">
        <v>1177</v>
      </c>
      <c r="C46" s="1573"/>
      <c r="D46" s="1573"/>
      <c r="E46" s="1573"/>
      <c r="F46" s="1573"/>
      <c r="G46" s="1573"/>
      <c r="H46" s="1574"/>
    </row>
    <row r="47" spans="2:8">
      <c r="B47" s="1381" t="s">
        <v>158</v>
      </c>
      <c r="C47" s="1417"/>
      <c r="D47" s="1383"/>
      <c r="E47" s="1383"/>
      <c r="F47" s="1418"/>
      <c r="G47" s="1383"/>
      <c r="H47" s="1384"/>
    </row>
    <row r="48" spans="2:8">
      <c r="B48" s="1419" t="s">
        <v>292</v>
      </c>
      <c r="C48" s="1390"/>
      <c r="D48" s="1420" t="s">
        <v>293</v>
      </c>
      <c r="E48" s="1387"/>
      <c r="F48" s="1387"/>
      <c r="G48" s="1387"/>
      <c r="H48" s="1389"/>
    </row>
    <row r="49" spans="2:9">
      <c r="B49" s="1419" t="s">
        <v>294</v>
      </c>
      <c r="C49" s="1402"/>
      <c r="D49" s="1420">
        <v>2.5000000000000001E-2</v>
      </c>
      <c r="E49" s="1387"/>
      <c r="F49" s="1387"/>
      <c r="G49" s="1387"/>
      <c r="H49" s="1389"/>
    </row>
    <row r="50" spans="2:9">
      <c r="B50" s="1421"/>
      <c r="C50" s="1402"/>
      <c r="D50" s="1420"/>
      <c r="E50" s="1387"/>
      <c r="F50" s="1387"/>
      <c r="G50" s="1387"/>
      <c r="H50" s="1389"/>
    </row>
    <row r="51" spans="2:9">
      <c r="B51" s="1422" t="s">
        <v>164</v>
      </c>
      <c r="C51" s="1402"/>
      <c r="D51" s="1420"/>
      <c r="E51" s="1387"/>
      <c r="F51" s="1387"/>
      <c r="G51" s="1387"/>
      <c r="H51" s="1389"/>
    </row>
    <row r="52" spans="2:9">
      <c r="B52" s="1419" t="s">
        <v>167</v>
      </c>
      <c r="C52" s="1423" t="s">
        <v>168</v>
      </c>
      <c r="D52" s="1420">
        <v>0.09</v>
      </c>
      <c r="E52" s="1387"/>
      <c r="F52" s="1387"/>
      <c r="G52" s="1387"/>
      <c r="H52" s="1389"/>
    </row>
    <row r="53" spans="2:9">
      <c r="B53" s="1419" t="s">
        <v>167</v>
      </c>
      <c r="C53" s="1423" t="s">
        <v>171</v>
      </c>
      <c r="D53" s="1420">
        <v>0.12</v>
      </c>
      <c r="E53" s="1387"/>
      <c r="F53" s="1387"/>
      <c r="G53" s="1387"/>
      <c r="H53" s="1389"/>
    </row>
    <row r="54" spans="2:9">
      <c r="B54" s="1386" t="s">
        <v>173</v>
      </c>
      <c r="C54" s="1423" t="s">
        <v>168</v>
      </c>
      <c r="D54" s="1420">
        <v>0.11</v>
      </c>
      <c r="E54" s="1387"/>
      <c r="F54" s="1387"/>
      <c r="G54" s="1387"/>
      <c r="H54" s="1389"/>
    </row>
    <row r="55" spans="2:9">
      <c r="B55" s="1386"/>
      <c r="C55" s="1390"/>
      <c r="D55" s="1420"/>
      <c r="E55" s="1387"/>
      <c r="F55" s="1387"/>
      <c r="G55" s="1387"/>
      <c r="H55" s="1389"/>
    </row>
    <row r="56" spans="2:9">
      <c r="B56" s="1386"/>
      <c r="C56" s="1387"/>
      <c r="D56" s="1420"/>
      <c r="E56" s="1387"/>
      <c r="F56" s="1387"/>
      <c r="G56" s="1387"/>
      <c r="H56" s="1389"/>
    </row>
    <row r="57" spans="2:9">
      <c r="B57" s="1422" t="s">
        <v>175</v>
      </c>
      <c r="C57" s="1387"/>
      <c r="D57" s="1420"/>
      <c r="E57" s="1387"/>
      <c r="F57" s="1387"/>
      <c r="G57" s="1387"/>
      <c r="H57" s="1389"/>
    </row>
    <row r="58" spans="2:9">
      <c r="B58" s="1393" t="s">
        <v>167</v>
      </c>
      <c r="C58" s="1387"/>
      <c r="D58" s="1420" t="s">
        <v>295</v>
      </c>
      <c r="E58" s="1387"/>
      <c r="F58" s="1387"/>
      <c r="G58" s="1387"/>
      <c r="H58" s="1389"/>
    </row>
    <row r="59" spans="2:9">
      <c r="B59" s="1386"/>
      <c r="C59" s="1387"/>
      <c r="D59" s="1420"/>
      <c r="E59" s="1387"/>
      <c r="F59" s="1429" t="s">
        <v>264</v>
      </c>
      <c r="G59" s="1394"/>
      <c r="H59" s="1424"/>
      <c r="I59" s="1404"/>
    </row>
    <row r="60" spans="2:9">
      <c r="B60" s="1393" t="s">
        <v>176</v>
      </c>
      <c r="C60" s="1387"/>
      <c r="D60" s="1420"/>
      <c r="E60" s="1387"/>
      <c r="F60" s="1387" t="s">
        <v>1217</v>
      </c>
      <c r="G60" s="1387"/>
      <c r="H60" s="1389"/>
    </row>
    <row r="61" spans="2:9">
      <c r="B61" s="1386" t="s">
        <v>167</v>
      </c>
      <c r="C61" s="1425" t="s">
        <v>179</v>
      </c>
      <c r="D61" s="1426">
        <v>1.2E-2</v>
      </c>
      <c r="E61" s="1394"/>
      <c r="F61" s="1387" t="s">
        <v>296</v>
      </c>
      <c r="G61" s="1387"/>
      <c r="H61" s="1389"/>
    </row>
    <row r="62" spans="2:9">
      <c r="B62" s="1386"/>
      <c r="C62" s="1394"/>
      <c r="D62" s="1426"/>
      <c r="E62" s="1394"/>
      <c r="F62" s="1428" t="s">
        <v>297</v>
      </c>
      <c r="G62" s="1387"/>
      <c r="H62" s="1389"/>
    </row>
    <row r="63" spans="2:9">
      <c r="B63" s="1393" t="s">
        <v>182</v>
      </c>
      <c r="C63" s="1394"/>
      <c r="D63" s="1426"/>
      <c r="E63" s="1394"/>
      <c r="F63" s="1387"/>
      <c r="G63" s="1387"/>
      <c r="H63" s="1389"/>
    </row>
    <row r="64" spans="2:9">
      <c r="B64" s="1386" t="s">
        <v>184</v>
      </c>
      <c r="C64" s="1425" t="s">
        <v>179</v>
      </c>
      <c r="D64" s="1426">
        <v>1.4999999999999999E-2</v>
      </c>
      <c r="E64" s="1394"/>
      <c r="F64" s="1387"/>
      <c r="G64" s="1387"/>
      <c r="H64" s="1389"/>
    </row>
    <row r="65" spans="2:8" ht="15.75" thickBot="1">
      <c r="B65" s="1406"/>
      <c r="C65" s="1407"/>
      <c r="D65" s="1407"/>
      <c r="E65" s="1407"/>
      <c r="F65" s="1407"/>
      <c r="G65" s="1407"/>
      <c r="H65" s="1409"/>
    </row>
  </sheetData>
  <sheetProtection algorithmName="SHA-512" hashValue="fAkiNfETtdqYmm0mj4wekw99SAnJidWk9CAY6MEIxcY2uKCbvd6a+XDvZ7ZMiAwwFduNRaXeOXFB8GqKINQ2bg==" saltValue="7N0jAJIGk9w2tJbFOStgLw==" spinCount="100000" sheet="1" objects="1" scenarios="1"/>
  <mergeCells count="3">
    <mergeCell ref="B1:H1"/>
    <mergeCell ref="B26:H26"/>
    <mergeCell ref="B46:H46"/>
  </mergeCells>
  <pageMargins left="0.70866141732283472" right="0.70866141732283472" top="0.74803149606299213" bottom="0.74803149606299213" header="0.31496062992125984" footer="0.31496062992125984"/>
  <pageSetup paperSize="8" scale="62" orientation="landscape" r:id="rId1"/>
  <headerFooter>
    <oddHeader>&amp;C&amp;"Calibri"&amp;10&amp;K000000Confidential&amp;1#</oddHeader>
    <oddFooter>&amp;R&amp;1#&amp;"Calibri"&amp;10&amp;K000000Confidential</oddFooter>
  </headerFooter>
  <rowBreaks count="2" manualBreakCount="2">
    <brk id="25" min="1" max="7" man="1"/>
    <brk id="45" min="1" max="7" man="1"/>
  </rowBreaks>
  <colBreaks count="1" manualBreakCount="1">
    <brk id="8" max="64"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00B050"/>
  </sheetPr>
  <dimension ref="A2:W87"/>
  <sheetViews>
    <sheetView zoomScale="80" zoomScaleNormal="80" zoomScaleSheetLayoutView="80" workbookViewId="0">
      <pane ySplit="14" topLeftCell="A66" activePane="bottomLeft" state="frozen"/>
      <selection activeCell="K29" sqref="K29"/>
      <selection pane="bottomLeft" activeCell="N79" sqref="N79"/>
    </sheetView>
  </sheetViews>
  <sheetFormatPr defaultColWidth="8.85546875" defaultRowHeight="15"/>
  <cols>
    <col min="1" max="2" width="5.140625" style="696" customWidth="1"/>
    <col min="3" max="3" width="86.28515625" style="696" customWidth="1"/>
    <col min="4" max="4" width="8.5703125" style="696" customWidth="1"/>
    <col min="5" max="5" width="14.42578125" style="696" hidden="1" customWidth="1"/>
    <col min="6" max="6" width="14.140625" style="696" hidden="1" customWidth="1"/>
    <col min="7" max="7" width="13.5703125" style="696" customWidth="1"/>
    <col min="8" max="8" width="16.85546875" style="696" hidden="1" customWidth="1"/>
    <col min="9" max="9" width="17.140625" style="696" hidden="1" customWidth="1"/>
    <col min="10" max="10" width="17.140625" style="696" customWidth="1"/>
    <col min="11" max="11" width="0.85546875" style="696" customWidth="1"/>
    <col min="12" max="12" width="9.28515625" style="696" customWidth="1"/>
    <col min="13" max="13" width="14.5703125" style="696" customWidth="1"/>
    <col min="14" max="14" width="13.7109375" style="696" customWidth="1"/>
    <col min="15" max="15" width="9.28515625" style="696" customWidth="1"/>
    <col min="16" max="16" width="2.28515625" style="696" customWidth="1"/>
    <col min="17" max="17" width="13.7109375" style="696" customWidth="1"/>
    <col min="18" max="18" width="15.28515625" style="821" customWidth="1"/>
    <col min="19" max="19" width="4.85546875" style="696" customWidth="1"/>
    <col min="20" max="21" width="0" style="696" hidden="1" customWidth="1"/>
    <col min="22" max="22" width="9.5703125" style="696" hidden="1" customWidth="1"/>
    <col min="23" max="16384" width="8.85546875" style="696"/>
  </cols>
  <sheetData>
    <row r="2" spans="1:22" ht="15.75" thickBot="1"/>
    <row r="3" spans="1:22" ht="15.75" thickBot="1">
      <c r="G3" s="1596" t="s">
        <v>185</v>
      </c>
      <c r="H3" s="1597"/>
      <c r="I3" s="1597"/>
      <c r="J3" s="1597"/>
      <c r="K3" s="1598"/>
    </row>
    <row r="4" spans="1:22">
      <c r="G4" s="701" t="s">
        <v>186</v>
      </c>
      <c r="H4" s="1354"/>
      <c r="I4" s="1355"/>
      <c r="J4" s="1350">
        <v>43040</v>
      </c>
      <c r="K4" s="1246"/>
      <c r="L4" s="1353">
        <v>217.6</v>
      </c>
      <c r="M4" s="1603" t="s">
        <v>3456</v>
      </c>
      <c r="N4" s="1604"/>
      <c r="O4" s="1604"/>
      <c r="P4" s="1604"/>
      <c r="Q4" s="1605"/>
    </row>
    <row r="5" spans="1:22" ht="15.75" thickBot="1">
      <c r="G5" s="702" t="s">
        <v>187</v>
      </c>
      <c r="H5" s="1356"/>
      <c r="I5" s="1357"/>
      <c r="J5" s="1351">
        <v>44621</v>
      </c>
      <c r="K5" s="1247"/>
      <c r="L5" s="703">
        <f>127.1*2.1028</f>
        <v>267.26587999999998</v>
      </c>
      <c r="M5" s="1606"/>
      <c r="N5" s="1607"/>
      <c r="O5" s="1607"/>
      <c r="P5" s="1607"/>
      <c r="Q5" s="1608"/>
    </row>
    <row r="7" spans="1:22">
      <c r="A7" s="698"/>
      <c r="B7" s="698"/>
      <c r="C7" s="704"/>
      <c r="D7" s="704"/>
    </row>
    <row r="8" spans="1:22" ht="45">
      <c r="A8" s="1586"/>
      <c r="B8" s="1586"/>
      <c r="C8" s="1586"/>
      <c r="D8" s="1586"/>
      <c r="E8" s="1586"/>
      <c r="F8" s="705"/>
      <c r="G8" s="1586"/>
      <c r="H8" s="1586"/>
      <c r="I8" s="1586"/>
      <c r="J8" s="1586"/>
      <c r="K8" s="1586"/>
      <c r="L8" s="1621" t="s">
        <v>188</v>
      </c>
      <c r="M8" s="1622"/>
      <c r="N8" s="1622"/>
      <c r="O8" s="1623"/>
      <c r="P8" s="706"/>
      <c r="R8" s="822" t="s">
        <v>189</v>
      </c>
    </row>
    <row r="9" spans="1:22" ht="15.75">
      <c r="A9" s="706"/>
      <c r="B9" s="706"/>
      <c r="C9" s="707" t="s">
        <v>190</v>
      </c>
      <c r="F9" s="708"/>
      <c r="G9" s="1587" t="s">
        <v>191</v>
      </c>
      <c r="H9" s="1588"/>
      <c r="I9" s="1588"/>
      <c r="J9" s="1588"/>
      <c r="K9" s="1589"/>
      <c r="L9" s="1612" t="s">
        <v>192</v>
      </c>
      <c r="M9" s="1613"/>
      <c r="N9" s="1613"/>
      <c r="O9" s="1614"/>
      <c r="P9" s="709"/>
      <c r="R9" s="1624" t="s">
        <v>193</v>
      </c>
    </row>
    <row r="10" spans="1:22">
      <c r="A10" s="706"/>
      <c r="B10" s="706"/>
      <c r="C10" s="706"/>
      <c r="F10" s="708"/>
      <c r="G10" s="1590"/>
      <c r="H10" s="1591"/>
      <c r="I10" s="1591"/>
      <c r="J10" s="1591"/>
      <c r="K10" s="1592"/>
      <c r="L10" s="1615"/>
      <c r="M10" s="1616"/>
      <c r="N10" s="1616"/>
      <c r="O10" s="1617"/>
      <c r="P10" s="709"/>
      <c r="R10" s="1625"/>
    </row>
    <row r="11" spans="1:22" ht="15.75">
      <c r="A11" s="706"/>
      <c r="B11" s="706"/>
      <c r="C11" s="707"/>
      <c r="F11" s="708"/>
      <c r="G11" s="1590"/>
      <c r="H11" s="1591"/>
      <c r="I11" s="1591"/>
      <c r="J11" s="1591"/>
      <c r="K11" s="1592"/>
      <c r="L11" s="1615"/>
      <c r="M11" s="1616"/>
      <c r="N11" s="1616"/>
      <c r="O11" s="1617"/>
      <c r="P11" s="709"/>
      <c r="R11" s="1625"/>
    </row>
    <row r="12" spans="1:22" ht="15.75">
      <c r="A12" s="706"/>
      <c r="B12" s="706"/>
      <c r="C12" s="707"/>
      <c r="E12" s="891"/>
      <c r="F12" s="708"/>
      <c r="G12" s="1590"/>
      <c r="H12" s="1591"/>
      <c r="I12" s="1591"/>
      <c r="J12" s="1591"/>
      <c r="K12" s="1592"/>
      <c r="L12" s="1615"/>
      <c r="M12" s="1616"/>
      <c r="N12" s="1616"/>
      <c r="O12" s="1617"/>
      <c r="P12" s="709"/>
      <c r="R12" s="1625"/>
    </row>
    <row r="13" spans="1:22" ht="15.75">
      <c r="A13" s="706"/>
      <c r="B13" s="706"/>
      <c r="C13" s="707"/>
      <c r="F13" s="708"/>
      <c r="G13" s="1593"/>
      <c r="H13" s="1594"/>
      <c r="I13" s="1594"/>
      <c r="J13" s="1594"/>
      <c r="K13" s="1595"/>
      <c r="L13" s="1618"/>
      <c r="M13" s="1619"/>
      <c r="N13" s="1619"/>
      <c r="O13" s="1620"/>
      <c r="P13" s="709"/>
      <c r="R13" s="1626"/>
    </row>
    <row r="14" spans="1:22" ht="79.5" customHeight="1">
      <c r="A14" s="706"/>
      <c r="B14" s="710"/>
      <c r="C14" s="711" t="s">
        <v>194</v>
      </c>
      <c r="D14" s="711" t="s">
        <v>195</v>
      </c>
      <c r="E14" s="712" t="s">
        <v>196</v>
      </c>
      <c r="F14" s="712" t="s">
        <v>197</v>
      </c>
      <c r="G14" s="712" t="s">
        <v>198</v>
      </c>
      <c r="H14" s="713" t="s">
        <v>1682</v>
      </c>
      <c r="I14" s="713" t="s">
        <v>1680</v>
      </c>
      <c r="J14" s="713" t="s">
        <v>3455</v>
      </c>
      <c r="K14" s="706"/>
      <c r="L14" s="714" t="s">
        <v>199</v>
      </c>
      <c r="M14" s="715" t="s">
        <v>200</v>
      </c>
      <c r="N14" s="715" t="s">
        <v>201</v>
      </c>
      <c r="O14" s="716" t="s">
        <v>202</v>
      </c>
      <c r="P14" s="717"/>
      <c r="Q14" s="713" t="s">
        <v>3457</v>
      </c>
      <c r="R14" s="718" t="s">
        <v>203</v>
      </c>
    </row>
    <row r="15" spans="1:22">
      <c r="A15" s="706"/>
      <c r="B15" s="1584" t="s">
        <v>1085</v>
      </c>
      <c r="C15" s="1585"/>
      <c r="D15" s="1585"/>
      <c r="E15" s="1585"/>
      <c r="F15" s="1585"/>
      <c r="G15" s="1600"/>
      <c r="H15" s="721"/>
      <c r="I15" s="721"/>
      <c r="J15" s="1352"/>
      <c r="K15" s="706"/>
      <c r="L15" s="706"/>
      <c r="M15" s="722"/>
      <c r="N15" s="706"/>
      <c r="O15" s="706"/>
      <c r="P15" s="706"/>
      <c r="Q15" s="723"/>
      <c r="R15" s="823"/>
      <c r="T15" s="1609" t="s">
        <v>204</v>
      </c>
      <c r="U15" s="1610"/>
      <c r="V15" s="1611"/>
    </row>
    <row r="16" spans="1:22">
      <c r="B16" s="724">
        <v>1</v>
      </c>
      <c r="C16" s="725" t="s">
        <v>205</v>
      </c>
      <c r="D16" s="738" t="s">
        <v>1096</v>
      </c>
      <c r="E16" s="727">
        <v>1900</v>
      </c>
      <c r="F16" s="728">
        <f>((167.2/145)-1)*E16+E16</f>
        <v>2190.8965517241377</v>
      </c>
      <c r="G16" s="729">
        <f>(E16*(219/145-1)+E16)</f>
        <v>2869.655172413793</v>
      </c>
      <c r="H16" s="730">
        <f>(G16*(245.9/217.6-1))+G16</f>
        <v>3242.8685978701828</v>
      </c>
      <c r="I16" s="730">
        <v>3255.6438384888438</v>
      </c>
      <c r="J16" s="755">
        <f>(G16*($L$5/$L$4-1))+G16</f>
        <v>3524.6365576825556</v>
      </c>
      <c r="K16" s="706"/>
      <c r="L16" s="1575">
        <v>0.15</v>
      </c>
      <c r="M16" s="1578">
        <v>0.02</v>
      </c>
      <c r="N16" s="1578">
        <v>0.1</v>
      </c>
      <c r="O16" s="1581">
        <v>0.18</v>
      </c>
      <c r="P16" s="731"/>
      <c r="Q16" s="879">
        <f>ROUND(I16*(1+$L$16)*(1+$M$16)*(1+$N$16)*(1+$O$16),-1)</f>
        <v>4960</v>
      </c>
      <c r="R16" s="826">
        <f>Q16</f>
        <v>4960</v>
      </c>
      <c r="T16" s="733"/>
      <c r="U16" s="734"/>
      <c r="V16" s="735"/>
    </row>
    <row r="17" spans="2:22">
      <c r="B17" s="736">
        <f>B16+1</f>
        <v>2</v>
      </c>
      <c r="C17" s="737" t="s">
        <v>207</v>
      </c>
      <c r="D17" s="738" t="s">
        <v>1096</v>
      </c>
      <c r="E17" s="739">
        <v>1000</v>
      </c>
      <c r="F17" s="740">
        <f t="shared" ref="F17:F56" si="0">((177/145)-1)*E17+E17</f>
        <v>1220.6896551724137</v>
      </c>
      <c r="G17" s="729">
        <f t="shared" ref="G17:G20" si="1">(E17*(219/145-1)+E17)</f>
        <v>1510.3448275862067</v>
      </c>
      <c r="H17" s="729">
        <f>(G17*(245.9/217.6-1))+G17</f>
        <v>1706.7729462474645</v>
      </c>
      <c r="I17" s="730">
        <v>1713.4967570993913</v>
      </c>
      <c r="J17" s="729">
        <f t="shared" ref="J17:J20" si="2">(G17*($L$5/$L$4-1))+G17</f>
        <v>1855.0718724645028</v>
      </c>
      <c r="K17" s="706"/>
      <c r="L17" s="1576"/>
      <c r="M17" s="1579"/>
      <c r="N17" s="1579"/>
      <c r="O17" s="1582"/>
      <c r="P17" s="731"/>
      <c r="Q17" s="732">
        <f>ROUND(I17*(1+$L$16)*(1+$M$16)*(1+$N$16)*(1+$O$16),-1)</f>
        <v>2610</v>
      </c>
      <c r="R17" s="824">
        <f t="shared" ref="R17:R28" si="3">Q17</f>
        <v>2610</v>
      </c>
      <c r="T17" s="741">
        <f>$L$5/$L$4-1</f>
        <v>0.22824393382352937</v>
      </c>
      <c r="U17" s="734">
        <f>G16*T17</f>
        <v>654.98138526876255</v>
      </c>
      <c r="V17" s="742">
        <f>G16+U17</f>
        <v>3524.6365576825556</v>
      </c>
    </row>
    <row r="18" spans="2:22">
      <c r="B18" s="736">
        <f t="shared" ref="B18:B20" si="4">B17+1</f>
        <v>3</v>
      </c>
      <c r="C18" s="737" t="s">
        <v>208</v>
      </c>
      <c r="D18" s="738" t="s">
        <v>1096</v>
      </c>
      <c r="E18" s="739">
        <v>720</v>
      </c>
      <c r="F18" s="740">
        <f t="shared" si="0"/>
        <v>878.89655172413791</v>
      </c>
      <c r="G18" s="729">
        <f t="shared" si="1"/>
        <v>1087.4482758620688</v>
      </c>
      <c r="H18" s="729">
        <f>(G18*(245.9/217.6-1))+G18</f>
        <v>1228.8765212981743</v>
      </c>
      <c r="I18" s="730">
        <v>1233.7176651115617</v>
      </c>
      <c r="J18" s="729">
        <f t="shared" si="2"/>
        <v>1335.651748174442</v>
      </c>
      <c r="K18" s="706"/>
      <c r="L18" s="1576"/>
      <c r="M18" s="1579"/>
      <c r="N18" s="1579"/>
      <c r="O18" s="1582"/>
      <c r="P18" s="731"/>
      <c r="Q18" s="732">
        <f>ROUND(I18*(1+$L$16)*(1+$M$16)*(1+$N$16)*(1+$O$16),-1)</f>
        <v>1880</v>
      </c>
      <c r="R18" s="824">
        <f t="shared" si="3"/>
        <v>1880</v>
      </c>
      <c r="T18" s="741">
        <f>$L$5/$L$4-1</f>
        <v>0.22824393382352937</v>
      </c>
      <c r="U18" s="734">
        <f>G17*T18</f>
        <v>344.72704487829606</v>
      </c>
      <c r="V18" s="742">
        <f>G17+U18</f>
        <v>1855.0718724645028</v>
      </c>
    </row>
    <row r="19" spans="2:22" ht="12.75" customHeight="1">
      <c r="B19" s="736">
        <f t="shared" si="4"/>
        <v>4</v>
      </c>
      <c r="C19" s="737" t="s">
        <v>209</v>
      </c>
      <c r="D19" s="738" t="s">
        <v>1096</v>
      </c>
      <c r="E19" s="739">
        <v>660</v>
      </c>
      <c r="F19" s="740">
        <f t="shared" si="0"/>
        <v>805.65517241379314</v>
      </c>
      <c r="G19" s="729">
        <f t="shared" si="1"/>
        <v>996.82758620689651</v>
      </c>
      <c r="H19" s="729">
        <f>(G19*(245.9/217.6-1))+G19</f>
        <v>1126.4701445233266</v>
      </c>
      <c r="I19" s="730">
        <v>1130.9078596855984</v>
      </c>
      <c r="J19" s="729">
        <f t="shared" si="2"/>
        <v>1224.3474358265719</v>
      </c>
      <c r="K19" s="706"/>
      <c r="L19" s="1576"/>
      <c r="M19" s="1579"/>
      <c r="N19" s="1579"/>
      <c r="O19" s="1582"/>
      <c r="P19" s="731"/>
      <c r="Q19" s="732">
        <f>ROUND(I19*(1+$L$16)*(1+$M$16)*(1+$N$16)*(1+$O$16),-1)</f>
        <v>1720</v>
      </c>
      <c r="R19" s="824">
        <f t="shared" si="3"/>
        <v>1720</v>
      </c>
      <c r="T19" s="741">
        <f>$L$5/$L$4-1</f>
        <v>0.22824393382352937</v>
      </c>
      <c r="U19" s="734">
        <f>G18*T19</f>
        <v>248.20347231237315</v>
      </c>
      <c r="V19" s="742">
        <f>G18+U19</f>
        <v>1335.651748174442</v>
      </c>
    </row>
    <row r="20" spans="2:22">
      <c r="B20" s="743">
        <f t="shared" si="4"/>
        <v>5</v>
      </c>
      <c r="C20" s="744" t="s">
        <v>210</v>
      </c>
      <c r="D20" s="745" t="s">
        <v>1096</v>
      </c>
      <c r="E20" s="746">
        <v>430</v>
      </c>
      <c r="F20" s="747">
        <f t="shared" si="0"/>
        <v>524.89655172413791</v>
      </c>
      <c r="G20" s="748">
        <f t="shared" si="1"/>
        <v>649.44827586206895</v>
      </c>
      <c r="H20" s="748">
        <f>(G20*(245.9/217.6-1))+G20</f>
        <v>733.91236688640981</v>
      </c>
      <c r="I20" s="748">
        <v>736.8036055527383</v>
      </c>
      <c r="J20" s="748">
        <f t="shared" si="2"/>
        <v>797.68090515973631</v>
      </c>
      <c r="K20" s="749"/>
      <c r="L20" s="1577"/>
      <c r="M20" s="1580"/>
      <c r="N20" s="1580"/>
      <c r="O20" s="1583"/>
      <c r="P20" s="731"/>
      <c r="Q20" s="771">
        <f>ROUND(I20*(1+$L$16)*(1+$M$16)*(1+$N$16)*(1+$O$16),-1)</f>
        <v>1120</v>
      </c>
      <c r="R20" s="827">
        <f t="shared" si="3"/>
        <v>1120</v>
      </c>
      <c r="T20" s="741">
        <f>$L$5/$L$4-1</f>
        <v>0.22824393382352937</v>
      </c>
      <c r="U20" s="734">
        <f>G19*T20</f>
        <v>227.5198496196754</v>
      </c>
      <c r="V20" s="742">
        <f>G19+U20</f>
        <v>1224.3474358265719</v>
      </c>
    </row>
    <row r="21" spans="2:22">
      <c r="B21" s="750"/>
      <c r="C21" s="706"/>
      <c r="D21" s="751"/>
      <c r="E21" s="752"/>
      <c r="F21" s="753"/>
      <c r="G21" s="752"/>
      <c r="H21" s="752"/>
      <c r="I21" s="752"/>
      <c r="J21" s="752"/>
      <c r="K21" s="749"/>
      <c r="L21" s="752"/>
      <c r="M21" s="706"/>
      <c r="N21" s="706"/>
      <c r="O21" s="706"/>
      <c r="P21" s="706"/>
      <c r="Q21" s="723"/>
      <c r="R21" s="825"/>
      <c r="T21" s="741">
        <f>$L$5/$L$4-1</f>
        <v>0.22824393382352937</v>
      </c>
      <c r="U21" s="734">
        <f>G20*T21</f>
        <v>148.2326292976673</v>
      </c>
      <c r="V21" s="742">
        <f>G20+U21</f>
        <v>797.68090515973631</v>
      </c>
    </row>
    <row r="22" spans="2:22">
      <c r="B22" s="1584" t="s">
        <v>1086</v>
      </c>
      <c r="C22" s="1585"/>
      <c r="D22" s="1585"/>
      <c r="E22" s="1585"/>
      <c r="F22" s="1585"/>
      <c r="G22" s="1585"/>
      <c r="H22" s="719"/>
      <c r="I22" s="1348"/>
      <c r="J22" s="1349"/>
      <c r="K22" s="706"/>
      <c r="L22" s="896"/>
      <c r="M22" s="706"/>
      <c r="N22" s="706"/>
      <c r="O22" s="706"/>
      <c r="P22" s="706"/>
      <c r="Q22" s="832"/>
      <c r="R22" s="825"/>
      <c r="T22" s="741"/>
      <c r="U22" s="734"/>
      <c r="V22" s="742"/>
    </row>
    <row r="23" spans="2:22">
      <c r="B23" s="724">
        <f>B20+1</f>
        <v>6</v>
      </c>
      <c r="C23" s="725" t="s">
        <v>211</v>
      </c>
      <c r="D23" s="738" t="s">
        <v>1096</v>
      </c>
      <c r="E23" s="727">
        <v>1100</v>
      </c>
      <c r="F23" s="754">
        <f t="shared" si="0"/>
        <v>1342.7586206896551</v>
      </c>
      <c r="G23" s="729">
        <f t="shared" ref="G23:G26" si="5">(E23*(219/145-1)+E23)</f>
        <v>1661.3793103448274</v>
      </c>
      <c r="H23" s="755">
        <f>(G23*(245.9/217.6-1))+G23</f>
        <v>1877.450240872211</v>
      </c>
      <c r="I23" s="730">
        <v>1884.8464328093305</v>
      </c>
      <c r="J23" s="730">
        <f>(G23*($L$5/$L$4-1))+G23</f>
        <v>2040.5790597109531</v>
      </c>
      <c r="K23" s="706"/>
      <c r="L23" s="1575">
        <v>0.15</v>
      </c>
      <c r="M23" s="1578">
        <v>0.02</v>
      </c>
      <c r="N23" s="1578">
        <v>0.1</v>
      </c>
      <c r="O23" s="1581">
        <v>0.18</v>
      </c>
      <c r="P23" s="731"/>
      <c r="Q23" s="762">
        <f>ROUND(J23*(1+$L$23)*(1+$M$23)*(1+$N$23)*(1+$O$23),-1)</f>
        <v>3110</v>
      </c>
      <c r="R23" s="826">
        <f t="shared" si="3"/>
        <v>3110</v>
      </c>
      <c r="T23" s="741"/>
      <c r="U23" s="734"/>
      <c r="V23" s="742"/>
    </row>
    <row r="24" spans="2:22" ht="16.5" customHeight="1">
      <c r="B24" s="736">
        <f>B23+1</f>
        <v>7</v>
      </c>
      <c r="C24" s="737" t="s">
        <v>212</v>
      </c>
      <c r="D24" s="738" t="s">
        <v>1096</v>
      </c>
      <c r="E24" s="739">
        <v>500</v>
      </c>
      <c r="F24" s="740">
        <f t="shared" si="0"/>
        <v>610.34482758620686</v>
      </c>
      <c r="G24" s="729">
        <f t="shared" si="5"/>
        <v>755.17241379310337</v>
      </c>
      <c r="H24" s="729">
        <f>(G24*(245.9/217.6-1))+G24</f>
        <v>853.38647312373223</v>
      </c>
      <c r="I24" s="730">
        <v>856.74837854969564</v>
      </c>
      <c r="J24" s="730">
        <f t="shared" ref="J24:J30" si="6">(G24*($L$5/$L$4-1))+G24</f>
        <v>927.5359362322514</v>
      </c>
      <c r="K24" s="706"/>
      <c r="L24" s="1576"/>
      <c r="M24" s="1579"/>
      <c r="N24" s="1579"/>
      <c r="O24" s="1582"/>
      <c r="P24" s="731"/>
      <c r="Q24" s="756">
        <f>ROUND(J24*(1+$L$23)*(1+$M$23)*(1+$N$23)*(1+$O$23),-1)</f>
        <v>1410</v>
      </c>
      <c r="R24" s="824">
        <f t="shared" si="3"/>
        <v>1410</v>
      </c>
      <c r="T24" s="741">
        <f>$L$5/$L$4-1</f>
        <v>0.22824393382352937</v>
      </c>
      <c r="U24" s="734">
        <f>G23*T24</f>
        <v>379.19974936612567</v>
      </c>
      <c r="V24" s="742">
        <f>G23+U24</f>
        <v>2040.5790597109531</v>
      </c>
    </row>
    <row r="25" spans="2:22">
      <c r="B25" s="736">
        <f t="shared" ref="B25:B30" si="7">B24+1</f>
        <v>8</v>
      </c>
      <c r="C25" s="737" t="s">
        <v>213</v>
      </c>
      <c r="D25" s="738" t="s">
        <v>1096</v>
      </c>
      <c r="E25" s="739">
        <v>50</v>
      </c>
      <c r="F25" s="740">
        <f t="shared" si="0"/>
        <v>61.03448275862069</v>
      </c>
      <c r="G25" s="729">
        <f t="shared" si="5"/>
        <v>75.517241379310349</v>
      </c>
      <c r="H25" s="729">
        <f>(G25*(245.9/217.6-1))+G25</f>
        <v>85.33864731237324</v>
      </c>
      <c r="I25" s="730">
        <v>85.674837854969581</v>
      </c>
      <c r="J25" s="730">
        <f t="shared" si="6"/>
        <v>92.753593623225157</v>
      </c>
      <c r="K25" s="706"/>
      <c r="L25" s="1576"/>
      <c r="M25" s="1579"/>
      <c r="N25" s="1579"/>
      <c r="O25" s="1582"/>
      <c r="P25" s="731"/>
      <c r="Q25" s="756">
        <f t="shared" ref="Q25:Q29" si="8">ROUND(J25*(1+$L$23)*(1+$M$23)*(1+$N$23)*(1+$O$23),-1)</f>
        <v>140</v>
      </c>
      <c r="R25" s="824">
        <f t="shared" si="3"/>
        <v>140</v>
      </c>
      <c r="T25" s="741">
        <f>$L$5/$L$4-1</f>
        <v>0.22824393382352937</v>
      </c>
      <c r="U25" s="734">
        <f>G24*T25</f>
        <v>172.36352243914803</v>
      </c>
      <c r="V25" s="742">
        <f>G24+U25</f>
        <v>927.5359362322514</v>
      </c>
    </row>
    <row r="26" spans="2:22">
      <c r="B26" s="736">
        <f t="shared" si="7"/>
        <v>9</v>
      </c>
      <c r="C26" s="737" t="s">
        <v>214</v>
      </c>
      <c r="D26" s="738" t="s">
        <v>215</v>
      </c>
      <c r="E26" s="739">
        <v>3800</v>
      </c>
      <c r="F26" s="740">
        <f t="shared" si="0"/>
        <v>4638.6206896551721</v>
      </c>
      <c r="G26" s="729">
        <f t="shared" si="5"/>
        <v>5739.3103448275861</v>
      </c>
      <c r="H26" s="729">
        <f>(G26*(245.9/217.6-1))+G26</f>
        <v>6485.7371957403657</v>
      </c>
      <c r="I26" s="730">
        <v>6511.2876769776876</v>
      </c>
      <c r="J26" s="730">
        <f t="shared" si="6"/>
        <v>7049.2731153651112</v>
      </c>
      <c r="K26" s="706"/>
      <c r="L26" s="1576"/>
      <c r="M26" s="1579"/>
      <c r="N26" s="1579"/>
      <c r="O26" s="1582"/>
      <c r="P26" s="731"/>
      <c r="Q26" s="756">
        <f t="shared" si="8"/>
        <v>10730</v>
      </c>
      <c r="R26" s="824">
        <f t="shared" si="3"/>
        <v>10730</v>
      </c>
      <c r="T26" s="741">
        <f>$L$5/$L$4-1</f>
        <v>0.22824393382352937</v>
      </c>
      <c r="U26" s="734">
        <f>G25*T26</f>
        <v>17.236352243914805</v>
      </c>
      <c r="V26" s="742">
        <f>G25+U26</f>
        <v>92.753593623225157</v>
      </c>
    </row>
    <row r="27" spans="2:22">
      <c r="B27" s="736">
        <f t="shared" si="7"/>
        <v>10</v>
      </c>
      <c r="C27" s="737" t="s">
        <v>216</v>
      </c>
      <c r="D27" s="738" t="s">
        <v>217</v>
      </c>
      <c r="E27" s="739" t="s">
        <v>218</v>
      </c>
      <c r="F27" s="740">
        <f>(((219/145)-1)*40000)+40000</f>
        <v>60413.793103448275</v>
      </c>
      <c r="G27" s="757" t="s">
        <v>219</v>
      </c>
      <c r="H27" s="757" t="s">
        <v>220</v>
      </c>
      <c r="I27" s="730" t="s">
        <v>1683</v>
      </c>
      <c r="J27" s="730"/>
      <c r="K27" s="706"/>
      <c r="L27" s="1576"/>
      <c r="M27" s="1579"/>
      <c r="N27" s="1579"/>
      <c r="O27" s="1582"/>
      <c r="P27" s="731"/>
      <c r="Q27" s="756">
        <f t="shared" si="8"/>
        <v>0</v>
      </c>
      <c r="R27" s="824">
        <f t="shared" si="3"/>
        <v>0</v>
      </c>
      <c r="T27" s="741"/>
      <c r="U27" s="734"/>
      <c r="V27" s="742">
        <f>G26+U27</f>
        <v>5739.3103448275861</v>
      </c>
    </row>
    <row r="28" spans="2:22">
      <c r="B28" s="736">
        <f t="shared" si="7"/>
        <v>11</v>
      </c>
      <c r="C28" s="737" t="s">
        <v>3460</v>
      </c>
      <c r="D28" s="738" t="s">
        <v>215</v>
      </c>
      <c r="E28" s="739"/>
      <c r="F28" s="740"/>
      <c r="G28" s="757"/>
      <c r="H28" s="757"/>
      <c r="I28" s="730"/>
      <c r="J28" s="730">
        <v>140000</v>
      </c>
      <c r="K28" s="706"/>
      <c r="L28" s="1576"/>
      <c r="M28" s="1579"/>
      <c r="N28" s="1579"/>
      <c r="O28" s="1582"/>
      <c r="P28" s="731"/>
      <c r="Q28" s="756">
        <f t="shared" si="8"/>
        <v>213160</v>
      </c>
      <c r="R28" s="824">
        <f t="shared" si="3"/>
        <v>213160</v>
      </c>
      <c r="T28" s="741"/>
      <c r="U28" s="734"/>
      <c r="V28" s="742"/>
    </row>
    <row r="29" spans="2:22">
      <c r="B29" s="736">
        <f t="shared" si="7"/>
        <v>12</v>
      </c>
      <c r="C29" s="758" t="s">
        <v>221</v>
      </c>
      <c r="D29" s="759" t="s">
        <v>215</v>
      </c>
      <c r="E29" s="760">
        <v>47100</v>
      </c>
      <c r="F29" s="761">
        <f>((219/145)-1)*E29+E29</f>
        <v>71137.241379310348</v>
      </c>
      <c r="G29" s="729">
        <f t="shared" ref="G29:G30" si="9">(E29*(219/145-1)+E29)</f>
        <v>71137.241379310348</v>
      </c>
      <c r="H29" s="729">
        <f>(G29*(245.9/217.6-1))+G29</f>
        <v>80389.005768255593</v>
      </c>
      <c r="I29" s="730">
        <v>80705.697259381341</v>
      </c>
      <c r="J29" s="730">
        <f t="shared" si="6"/>
        <v>87373.885193078095</v>
      </c>
      <c r="K29" s="706"/>
      <c r="L29" s="1576"/>
      <c r="M29" s="1579"/>
      <c r="N29" s="1579"/>
      <c r="O29" s="1582"/>
      <c r="P29" s="706"/>
      <c r="Q29" s="756">
        <f t="shared" si="8"/>
        <v>133030</v>
      </c>
      <c r="R29" s="824">
        <f>Q29</f>
        <v>133030</v>
      </c>
      <c r="T29" s="741"/>
      <c r="U29" s="734"/>
      <c r="V29" s="742"/>
    </row>
    <row r="30" spans="2:22">
      <c r="B30" s="743">
        <f t="shared" si="7"/>
        <v>13</v>
      </c>
      <c r="C30" s="763" t="s">
        <v>222</v>
      </c>
      <c r="D30" s="764" t="s">
        <v>206</v>
      </c>
      <c r="E30" s="765">
        <v>1880</v>
      </c>
      <c r="F30" s="747">
        <f t="shared" si="0"/>
        <v>2294.8965517241377</v>
      </c>
      <c r="G30" s="748">
        <f t="shared" si="9"/>
        <v>2839.4482758620688</v>
      </c>
      <c r="H30" s="748">
        <f>(G30*(245.9/217.6-1))+G30</f>
        <v>3208.7331389452333</v>
      </c>
      <c r="I30" s="748">
        <v>3221.373903346856</v>
      </c>
      <c r="J30" s="748">
        <f t="shared" si="6"/>
        <v>3487.5351202332654</v>
      </c>
      <c r="K30" s="706"/>
      <c r="L30" s="1577"/>
      <c r="M30" s="1580"/>
      <c r="N30" s="1580"/>
      <c r="O30" s="1583"/>
      <c r="P30" s="706"/>
      <c r="Q30" s="771">
        <f>ROUND(J30*(1+$L$23)*(1+$M$23)*(1+$N$23)*(1+$O$23),-1)</f>
        <v>5310</v>
      </c>
      <c r="R30" s="827">
        <f>Q30</f>
        <v>5310</v>
      </c>
      <c r="T30" s="741">
        <f>$L$5/$L$4-1</f>
        <v>0.22824393382352937</v>
      </c>
      <c r="U30" s="734">
        <f>G29*T30</f>
        <v>16236.643813767745</v>
      </c>
      <c r="V30" s="742">
        <f>G29+U30</f>
        <v>87373.885193078095</v>
      </c>
    </row>
    <row r="31" spans="2:22">
      <c r="B31" s="750"/>
      <c r="C31" s="706"/>
      <c r="D31" s="751"/>
      <c r="E31" s="706"/>
      <c r="F31" s="753">
        <f t="shared" si="0"/>
        <v>0</v>
      </c>
      <c r="G31" s="752"/>
      <c r="H31" s="752"/>
      <c r="I31" s="752"/>
      <c r="J31" s="752"/>
      <c r="K31" s="706"/>
      <c r="L31" s="752"/>
      <c r="M31" s="706"/>
      <c r="N31" s="706"/>
      <c r="O31" s="706"/>
      <c r="P31" s="706"/>
      <c r="Q31" s="723"/>
      <c r="R31" s="823"/>
      <c r="T31" s="741">
        <f>$L$5/$L$4-1</f>
        <v>0.22824393382352937</v>
      </c>
      <c r="U31" s="734">
        <f>G30*T31</f>
        <v>648.08684437119655</v>
      </c>
      <c r="V31" s="742">
        <f>G30+U31</f>
        <v>3487.5351202332654</v>
      </c>
    </row>
    <row r="32" spans="2:22">
      <c r="B32" s="1584" t="s">
        <v>1087</v>
      </c>
      <c r="C32" s="1585"/>
      <c r="D32" s="1585"/>
      <c r="E32" s="1585"/>
      <c r="F32" s="1585"/>
      <c r="G32" s="1585"/>
      <c r="H32" s="719"/>
      <c r="I32" s="1348"/>
      <c r="J32" s="1349"/>
      <c r="K32" s="706"/>
      <c r="L32" s="888"/>
      <c r="M32" s="706"/>
      <c r="N32" s="706"/>
      <c r="O32" s="706"/>
      <c r="P32" s="731"/>
      <c r="Q32" s="723"/>
      <c r="R32" s="825"/>
      <c r="T32" s="741"/>
      <c r="U32" s="734"/>
      <c r="V32" s="742"/>
    </row>
    <row r="33" spans="2:22">
      <c r="B33" s="766">
        <f>B30+1</f>
        <v>14</v>
      </c>
      <c r="C33" s="767" t="s">
        <v>223</v>
      </c>
      <c r="D33" s="738" t="s">
        <v>1096</v>
      </c>
      <c r="E33" s="769">
        <v>1430</v>
      </c>
      <c r="F33" s="770">
        <f t="shared" si="0"/>
        <v>1745.5862068965516</v>
      </c>
      <c r="G33" s="729">
        <f t="shared" ref="G33:G40" si="10">(E33*(219/145-1)+E33)</f>
        <v>2159.7931034482758</v>
      </c>
      <c r="H33" s="755">
        <f>(G33*(245.9/217.6-1))+G33</f>
        <v>2440.6853131338744</v>
      </c>
      <c r="I33" s="730">
        <v>2450.3003626521299</v>
      </c>
      <c r="J33" s="730">
        <f>(G33*($L$5/$L$4-1))+G33</f>
        <v>2652.7527776242391</v>
      </c>
      <c r="K33" s="706"/>
      <c r="L33" s="1575">
        <v>0.15</v>
      </c>
      <c r="M33" s="1578">
        <v>0.02</v>
      </c>
      <c r="N33" s="1578">
        <v>0.1</v>
      </c>
      <c r="O33" s="1581">
        <v>0.18</v>
      </c>
      <c r="P33" s="731"/>
      <c r="Q33" s="879">
        <f>ROUND(J33*(1+$L$33)*(1+$M$33)*(1+$N$33)*(1+$O$33),-1)</f>
        <v>4040</v>
      </c>
      <c r="R33" s="826">
        <f t="shared" ref="R33:R40" si="11">Q33</f>
        <v>4040</v>
      </c>
      <c r="T33" s="741"/>
      <c r="U33" s="734"/>
      <c r="V33" s="742"/>
    </row>
    <row r="34" spans="2:22">
      <c r="B34" s="736">
        <f>B33+1</f>
        <v>15</v>
      </c>
      <c r="C34" s="737" t="s">
        <v>224</v>
      </c>
      <c r="D34" s="738" t="s">
        <v>1096</v>
      </c>
      <c r="E34" s="739">
        <v>500</v>
      </c>
      <c r="F34" s="740">
        <f t="shared" si="0"/>
        <v>610.34482758620686</v>
      </c>
      <c r="G34" s="729">
        <f t="shared" si="10"/>
        <v>755.17241379310337</v>
      </c>
      <c r="H34" s="729">
        <f>(G34*(245.9/217.6-1))+G34</f>
        <v>853.38647312373223</v>
      </c>
      <c r="I34" s="730">
        <v>856.74837854969564</v>
      </c>
      <c r="J34" s="730">
        <f t="shared" ref="J34:J40" si="12">(G34*($L$5/$L$4-1))+G34</f>
        <v>927.5359362322514</v>
      </c>
      <c r="K34" s="706"/>
      <c r="L34" s="1576"/>
      <c r="M34" s="1579"/>
      <c r="N34" s="1579"/>
      <c r="O34" s="1582"/>
      <c r="P34" s="731"/>
      <c r="Q34" s="732">
        <f>ROUND(J34*(1+$L$33)*(1+$M$33)*(1+$N$33)*(1+$O$33),-1)</f>
        <v>1410</v>
      </c>
      <c r="R34" s="824">
        <f t="shared" si="11"/>
        <v>1410</v>
      </c>
      <c r="T34" s="741">
        <f t="shared" ref="T34:T40" si="13">$L$5/$L$4-1</f>
        <v>0.22824393382352937</v>
      </c>
      <c r="U34" s="734">
        <f>G33*T34</f>
        <v>492.95967417596336</v>
      </c>
      <c r="V34" s="742">
        <f>G33+U34</f>
        <v>2652.7527776242391</v>
      </c>
    </row>
    <row r="35" spans="2:22">
      <c r="B35" s="736">
        <f t="shared" ref="B35:B40" si="14">B34+1</f>
        <v>16</v>
      </c>
      <c r="C35" s="737" t="s">
        <v>225</v>
      </c>
      <c r="D35" s="738" t="s">
        <v>1096</v>
      </c>
      <c r="E35" s="739">
        <v>50</v>
      </c>
      <c r="F35" s="740">
        <f t="shared" si="0"/>
        <v>61.03448275862069</v>
      </c>
      <c r="G35" s="729">
        <f t="shared" si="10"/>
        <v>75.517241379310349</v>
      </c>
      <c r="H35" s="729">
        <f>(G35*(245.9/217.6-1))+G35</f>
        <v>85.33864731237324</v>
      </c>
      <c r="I35" s="730">
        <v>85.674837854969581</v>
      </c>
      <c r="J35" s="730">
        <f t="shared" si="12"/>
        <v>92.753593623225157</v>
      </c>
      <c r="K35" s="706"/>
      <c r="L35" s="1576"/>
      <c r="M35" s="1579"/>
      <c r="N35" s="1579"/>
      <c r="O35" s="1582"/>
      <c r="P35" s="731"/>
      <c r="Q35" s="732">
        <f>ROUND(J35*(1+$L$33)*(1+$M$33)*(1+$N$33)*(1+$O$33),-1)</f>
        <v>140</v>
      </c>
      <c r="R35" s="824">
        <f t="shared" si="11"/>
        <v>140</v>
      </c>
      <c r="T35" s="741">
        <f t="shared" si="13"/>
        <v>0.22824393382352937</v>
      </c>
      <c r="U35" s="734">
        <f>G34*T35</f>
        <v>172.36352243914803</v>
      </c>
      <c r="V35" s="742">
        <f>G34+U35</f>
        <v>927.5359362322514</v>
      </c>
    </row>
    <row r="36" spans="2:22">
      <c r="B36" s="736">
        <f t="shared" si="14"/>
        <v>17</v>
      </c>
      <c r="C36" s="737" t="s">
        <v>226</v>
      </c>
      <c r="D36" s="738" t="s">
        <v>1096</v>
      </c>
      <c r="E36" s="739">
        <v>100</v>
      </c>
      <c r="F36" s="740">
        <f t="shared" si="0"/>
        <v>122.06896551724138</v>
      </c>
      <c r="G36" s="729">
        <f t="shared" si="10"/>
        <v>151.0344827586207</v>
      </c>
      <c r="H36" s="729">
        <f>(G36*(245.9/217.6-1))+G36</f>
        <v>170.67729462474648</v>
      </c>
      <c r="I36" s="730">
        <v>171.34967570993916</v>
      </c>
      <c r="J36" s="730">
        <f t="shared" si="12"/>
        <v>185.50718724645031</v>
      </c>
      <c r="K36" s="706"/>
      <c r="L36" s="1576"/>
      <c r="M36" s="1579"/>
      <c r="N36" s="1579"/>
      <c r="O36" s="1582"/>
      <c r="P36" s="731"/>
      <c r="Q36" s="732">
        <f>ROUND(J36*(1+$L$33)*(1+$M$33)*(1+$N$33)*(1+$O$33),-1)</f>
        <v>280</v>
      </c>
      <c r="R36" s="824">
        <f t="shared" si="11"/>
        <v>280</v>
      </c>
      <c r="T36" s="741">
        <f t="shared" si="13"/>
        <v>0.22824393382352937</v>
      </c>
      <c r="U36" s="734">
        <f>G35*T36</f>
        <v>17.236352243914805</v>
      </c>
      <c r="V36" s="742">
        <f>G35+U36</f>
        <v>92.753593623225157</v>
      </c>
    </row>
    <row r="37" spans="2:22">
      <c r="B37" s="736">
        <f t="shared" si="14"/>
        <v>18</v>
      </c>
      <c r="C37" s="737" t="s">
        <v>227</v>
      </c>
      <c r="D37" s="738" t="s">
        <v>217</v>
      </c>
      <c r="E37" s="739" t="s">
        <v>218</v>
      </c>
      <c r="F37" s="740">
        <f>(((219/145)-1)*7500)+7500</f>
        <v>11327.586206896551</v>
      </c>
      <c r="G37" s="757" t="s">
        <v>228</v>
      </c>
      <c r="H37" s="757" t="s">
        <v>229</v>
      </c>
      <c r="I37" s="729"/>
      <c r="J37" s="1358" t="s">
        <v>3459</v>
      </c>
      <c r="K37" s="706"/>
      <c r="L37" s="1576"/>
      <c r="M37" s="1579"/>
      <c r="N37" s="1579"/>
      <c r="O37" s="1582"/>
      <c r="P37" s="706"/>
      <c r="Q37" s="883">
        <f>ROUND(49817*(1+$L$67)*(1+$M$67)*(1+$N$67)*(1+$O$67),-1)</f>
        <v>77810</v>
      </c>
      <c r="R37" s="824">
        <f t="shared" si="11"/>
        <v>77810</v>
      </c>
      <c r="T37" s="741">
        <f t="shared" si="13"/>
        <v>0.22824393382352937</v>
      </c>
      <c r="U37" s="734">
        <f>G36*T37</f>
        <v>34.47270448782961</v>
      </c>
      <c r="V37" s="742">
        <f>G36+U37</f>
        <v>185.50718724645031</v>
      </c>
    </row>
    <row r="38" spans="2:22">
      <c r="B38" s="736">
        <f t="shared" si="14"/>
        <v>19</v>
      </c>
      <c r="C38" s="737" t="s">
        <v>3461</v>
      </c>
      <c r="D38" s="759" t="s">
        <v>215</v>
      </c>
      <c r="E38" s="739"/>
      <c r="F38" s="740"/>
      <c r="G38" s="757"/>
      <c r="H38" s="757"/>
      <c r="I38" s="730"/>
      <c r="J38" s="1358">
        <v>315000</v>
      </c>
      <c r="K38" s="706"/>
      <c r="L38" s="1576"/>
      <c r="M38" s="1579"/>
      <c r="N38" s="1579"/>
      <c r="O38" s="1582"/>
      <c r="P38" s="706"/>
      <c r="Q38" s="732">
        <f>ROUND(J38*(1+$L$33)*(1+$M$33)*(1+$N$33)*(1+$O$33),-1)</f>
        <v>479600</v>
      </c>
      <c r="R38" s="824">
        <f t="shared" si="11"/>
        <v>479600</v>
      </c>
      <c r="T38" s="741"/>
      <c r="U38" s="734"/>
      <c r="V38" s="742"/>
    </row>
    <row r="39" spans="2:22">
      <c r="B39" s="736">
        <f t="shared" si="14"/>
        <v>20</v>
      </c>
      <c r="C39" s="758" t="s">
        <v>1167</v>
      </c>
      <c r="D39" s="759" t="s">
        <v>215</v>
      </c>
      <c r="E39" s="760">
        <v>110900</v>
      </c>
      <c r="F39" s="740">
        <f t="shared" si="0"/>
        <v>135374.4827586207</v>
      </c>
      <c r="G39" s="729">
        <f t="shared" si="10"/>
        <v>167497.24137931032</v>
      </c>
      <c r="H39" s="729">
        <f>(G39*(245.9/217.6-1))+G39</f>
        <v>189281.11973884379</v>
      </c>
      <c r="I39" s="730">
        <v>190026.79036232247</v>
      </c>
      <c r="J39" s="730">
        <f t="shared" si="12"/>
        <v>205727.47065631335</v>
      </c>
      <c r="K39" s="706"/>
      <c r="L39" s="1576"/>
      <c r="M39" s="1579"/>
      <c r="N39" s="1579"/>
      <c r="O39" s="1582"/>
      <c r="P39" s="706"/>
      <c r="Q39" s="732">
        <f>ROUND(J39*(1+$L$33)*(1+$M$33)*(1+$N$33)*(1+$O$33),-1)</f>
        <v>313230</v>
      </c>
      <c r="R39" s="828">
        <f t="shared" si="11"/>
        <v>313230</v>
      </c>
      <c r="T39" s="741">
        <f t="shared" si="13"/>
        <v>0.22824393382352937</v>
      </c>
      <c r="U39" s="734">
        <f>G39*T39</f>
        <v>38230.229277003025</v>
      </c>
      <c r="V39" s="742">
        <f>G39+U39</f>
        <v>205727.47065631335</v>
      </c>
    </row>
    <row r="40" spans="2:22">
      <c r="B40" s="743">
        <f t="shared" si="14"/>
        <v>21</v>
      </c>
      <c r="C40" s="763" t="s">
        <v>1168</v>
      </c>
      <c r="D40" s="764" t="s">
        <v>1169</v>
      </c>
      <c r="E40" s="765">
        <v>1850</v>
      </c>
      <c r="F40" s="747">
        <f t="shared" si="0"/>
        <v>2258.2758620689656</v>
      </c>
      <c r="G40" s="748">
        <f t="shared" si="10"/>
        <v>2794.1379310344828</v>
      </c>
      <c r="H40" s="748">
        <f>(G40*(245.9/217.6-1))+G40</f>
        <v>3157.5299505578096</v>
      </c>
      <c r="I40" s="748">
        <v>3169.9690006338742</v>
      </c>
      <c r="J40" s="748">
        <f t="shared" si="12"/>
        <v>3431.8829640593303</v>
      </c>
      <c r="K40" s="706"/>
      <c r="L40" s="1577"/>
      <c r="M40" s="1580"/>
      <c r="N40" s="1580"/>
      <c r="O40" s="1583"/>
      <c r="P40" s="706"/>
      <c r="Q40" s="771">
        <f>ROUND(J40*(1+$L$33)*(1+$M$33)*(1+$N$33)*(1+$O$33),-1)</f>
        <v>5230</v>
      </c>
      <c r="R40" s="829">
        <f t="shared" si="11"/>
        <v>5230</v>
      </c>
      <c r="T40" s="741">
        <f t="shared" si="13"/>
        <v>0.22824393382352937</v>
      </c>
      <c r="U40" s="734">
        <f>G40*T40</f>
        <v>637.74503302484777</v>
      </c>
      <c r="V40" s="742">
        <f>G40+U40</f>
        <v>3431.8829640593303</v>
      </c>
    </row>
    <row r="41" spans="2:22">
      <c r="B41" s="706"/>
      <c r="C41" s="706"/>
      <c r="D41" s="751"/>
      <c r="E41" s="706"/>
      <c r="F41" s="753">
        <f t="shared" si="0"/>
        <v>0</v>
      </c>
      <c r="G41" s="752"/>
      <c r="H41" s="752"/>
      <c r="I41" s="752"/>
      <c r="J41" s="752"/>
      <c r="K41" s="706"/>
      <c r="L41" s="706"/>
      <c r="M41" s="706"/>
      <c r="N41" s="706"/>
      <c r="O41" s="706"/>
      <c r="P41" s="706"/>
      <c r="Q41" s="723"/>
      <c r="R41" s="830"/>
      <c r="T41" s="741"/>
      <c r="U41" s="734"/>
      <c r="V41" s="742"/>
    </row>
    <row r="42" spans="2:22">
      <c r="B42" s="1584" t="s">
        <v>230</v>
      </c>
      <c r="C42" s="1585"/>
      <c r="D42" s="1585"/>
      <c r="E42" s="1585"/>
      <c r="F42" s="1585"/>
      <c r="G42" s="1585"/>
      <c r="H42" s="719"/>
      <c r="I42" s="1348"/>
      <c r="J42" s="1349"/>
      <c r="K42" s="706"/>
      <c r="L42" s="706"/>
      <c r="M42" s="706"/>
      <c r="N42" s="706"/>
      <c r="O42" s="706"/>
      <c r="P42" s="706"/>
      <c r="Q42" s="832"/>
      <c r="R42" s="830"/>
      <c r="T42" s="741"/>
      <c r="U42" s="734"/>
      <c r="V42" s="742"/>
    </row>
    <row r="43" spans="2:22">
      <c r="B43" s="766">
        <f>B40+1</f>
        <v>22</v>
      </c>
      <c r="C43" s="767" t="s">
        <v>231</v>
      </c>
      <c r="D43" s="738" t="s">
        <v>1096</v>
      </c>
      <c r="E43" s="769">
        <v>700</v>
      </c>
      <c r="F43" s="770">
        <f t="shared" si="0"/>
        <v>854.48275862068965</v>
      </c>
      <c r="G43" s="729">
        <f t="shared" ref="G43:G44" si="15">(E43*(219/145-1)+E43)</f>
        <v>1057.2413793103447</v>
      </c>
      <c r="H43" s="755">
        <f>(G43*(245.9/217.6-1))+G43</f>
        <v>1194.7410623732251</v>
      </c>
      <c r="I43" s="730">
        <v>1199.4477299695739</v>
      </c>
      <c r="J43" s="730">
        <f>(G43*($L$5/$L$4-1))+G43</f>
        <v>1298.5503107251518</v>
      </c>
      <c r="K43" s="706"/>
      <c r="L43" s="773">
        <v>0.15</v>
      </c>
      <c r="M43" s="774">
        <v>0.02</v>
      </c>
      <c r="N43" s="774">
        <v>0.1</v>
      </c>
      <c r="O43" s="775">
        <v>0.18</v>
      </c>
      <c r="P43" s="776"/>
      <c r="Q43" s="879">
        <f>ROUND(J43*(1+$L$43)*(1+$M$43)*(1+$N$43)*(1+$O$43),-1)</f>
        <v>1980</v>
      </c>
      <c r="R43" s="831">
        <f>Q43</f>
        <v>1980</v>
      </c>
      <c r="T43" s="741">
        <f>$L$5/$L$4-1</f>
        <v>0.22824393382352937</v>
      </c>
      <c r="U43" s="734">
        <f>G43*T43</f>
        <v>241.3089314148072</v>
      </c>
      <c r="V43" s="742">
        <f>G43+U43</f>
        <v>1298.5503107251518</v>
      </c>
    </row>
    <row r="44" spans="2:22">
      <c r="B44" s="743">
        <f>B43+1</f>
        <v>23</v>
      </c>
      <c r="C44" s="744" t="s">
        <v>232</v>
      </c>
      <c r="D44" s="745" t="s">
        <v>1096</v>
      </c>
      <c r="E44" s="746">
        <v>1500</v>
      </c>
      <c r="F44" s="747">
        <f t="shared" si="0"/>
        <v>1831.0344827586207</v>
      </c>
      <c r="G44" s="748">
        <f t="shared" si="15"/>
        <v>2265.5172413793102</v>
      </c>
      <c r="H44" s="748">
        <f>(G44*(245.9/217.6-1))+G44</f>
        <v>2560.1594193711967</v>
      </c>
      <c r="I44" s="748">
        <v>2570.2451356490869</v>
      </c>
      <c r="J44" s="748">
        <f t="shared" ref="J44" si="16">(G44*($L$5/$L$4-1))+G44</f>
        <v>2782.6078086967545</v>
      </c>
      <c r="K44" s="706"/>
      <c r="L44" s="777">
        <v>0.15</v>
      </c>
      <c r="M44" s="778">
        <v>0.02</v>
      </c>
      <c r="N44" s="778">
        <v>0.1</v>
      </c>
      <c r="O44" s="779">
        <v>0.18</v>
      </c>
      <c r="P44" s="776"/>
      <c r="Q44" s="771">
        <f>ROUND(J44*(1+$L$44)*(1+$M$44)*(1+$N$44)*(1+$O$44),-1)</f>
        <v>4240</v>
      </c>
      <c r="R44" s="829">
        <f>Q44</f>
        <v>4240</v>
      </c>
      <c r="T44" s="741">
        <f>$L$5/$L$4-1</f>
        <v>0.22824393382352937</v>
      </c>
      <c r="U44" s="734">
        <f>G44*T44</f>
        <v>517.09056731744408</v>
      </c>
      <c r="V44" s="742">
        <f>G44+U44</f>
        <v>2782.6078086967545</v>
      </c>
    </row>
    <row r="45" spans="2:22">
      <c r="B45" s="706"/>
      <c r="C45" s="706"/>
      <c r="D45" s="751"/>
      <c r="E45" s="706"/>
      <c r="F45" s="753">
        <f t="shared" si="0"/>
        <v>0</v>
      </c>
      <c r="G45" s="752"/>
      <c r="H45" s="752"/>
      <c r="I45" s="752"/>
      <c r="J45" s="752"/>
      <c r="K45" s="706"/>
      <c r="L45" s="706"/>
      <c r="M45" s="706"/>
      <c r="N45" s="706"/>
      <c r="O45" s="706"/>
      <c r="P45" s="706"/>
      <c r="Q45" s="723"/>
      <c r="R45" s="830"/>
      <c r="T45" s="741"/>
      <c r="U45" s="734"/>
      <c r="V45" s="742"/>
    </row>
    <row r="46" spans="2:22">
      <c r="B46" s="1584" t="s">
        <v>233</v>
      </c>
      <c r="C46" s="1585"/>
      <c r="D46" s="1585"/>
      <c r="E46" s="1585"/>
      <c r="F46" s="1585"/>
      <c r="G46" s="1585"/>
      <c r="H46" s="719"/>
      <c r="I46" s="1348"/>
      <c r="J46" s="1349"/>
      <c r="K46" s="706"/>
      <c r="L46" s="706"/>
      <c r="M46" s="706"/>
      <c r="N46" s="706"/>
      <c r="O46" s="706"/>
      <c r="P46" s="706"/>
      <c r="Q46" s="866"/>
      <c r="R46" s="830"/>
      <c r="T46" s="741"/>
      <c r="U46" s="734"/>
      <c r="V46" s="742"/>
    </row>
    <row r="47" spans="2:22">
      <c r="B47" s="724">
        <f>B44+1</f>
        <v>24</v>
      </c>
      <c r="C47" s="725" t="s">
        <v>1170</v>
      </c>
      <c r="D47" s="726" t="s">
        <v>234</v>
      </c>
      <c r="E47" s="727">
        <v>76500</v>
      </c>
      <c r="F47" s="780">
        <f>((177/145)-1)*E47+E47</f>
        <v>93382.758620689652</v>
      </c>
      <c r="G47" s="729">
        <f t="shared" ref="G47:G51" si="17">(E47*(219/145-1)+E47)</f>
        <v>115541.37931034481</v>
      </c>
      <c r="H47" s="755">
        <f>(G47*(245.9/217.6-1))+G47</f>
        <v>130568.13038793103</v>
      </c>
      <c r="I47" s="730">
        <v>131082.50191810343</v>
      </c>
      <c r="J47" s="730">
        <f>(G47*($L$5/$L$4-1))+G47</f>
        <v>141912.99824353447</v>
      </c>
      <c r="K47" s="706"/>
      <c r="L47" s="773">
        <v>0.13</v>
      </c>
      <c r="M47" s="774">
        <v>0.01</v>
      </c>
      <c r="N47" s="774">
        <v>0.1</v>
      </c>
      <c r="O47" s="775">
        <v>0.15</v>
      </c>
      <c r="P47" s="776"/>
      <c r="Q47" s="879">
        <f>ROUND(J47*(1+$L$47)*(1+$M$47)*(1+$N$47)*(1+$O$47),-1)</f>
        <v>204890</v>
      </c>
      <c r="R47" s="831">
        <f t="shared" ref="R47:R51" si="18">Q47</f>
        <v>204890</v>
      </c>
      <c r="T47" s="741">
        <f>$L$5/$L$4-1</f>
        <v>0.22824393382352937</v>
      </c>
      <c r="U47" s="734">
        <f>G47*T47</f>
        <v>26371.618933189646</v>
      </c>
      <c r="V47" s="742">
        <f>G47+U47</f>
        <v>141912.99824353447</v>
      </c>
    </row>
    <row r="48" spans="2:22">
      <c r="B48" s="724">
        <f>B47+1</f>
        <v>25</v>
      </c>
      <c r="C48" s="725" t="s">
        <v>1171</v>
      </c>
      <c r="D48" s="738" t="s">
        <v>1096</v>
      </c>
      <c r="E48" s="727"/>
      <c r="F48" s="780"/>
      <c r="G48" s="729"/>
      <c r="H48" s="730"/>
      <c r="I48" s="730">
        <v>0</v>
      </c>
      <c r="J48" s="730">
        <f t="shared" ref="J48:J49" si="19">(G48*($L$5/$L$4-1))+G48</f>
        <v>0</v>
      </c>
      <c r="K48" s="706"/>
      <c r="L48" s="781">
        <v>0.13</v>
      </c>
      <c r="M48" s="782">
        <v>0.01</v>
      </c>
      <c r="N48" s="782">
        <v>0.1</v>
      </c>
      <c r="O48" s="783">
        <v>0.15</v>
      </c>
      <c r="P48" s="776"/>
      <c r="Q48" s="881">
        <f>ROUND(I48*(1+$L$49)*(1+$M$49)*(1+$N$49)*(1+$O$49),-1)</f>
        <v>0</v>
      </c>
      <c r="R48" s="892">
        <f>Q48</f>
        <v>0</v>
      </c>
      <c r="T48" s="741"/>
      <c r="U48" s="734"/>
      <c r="V48" s="742"/>
    </row>
    <row r="49" spans="2:22">
      <c r="B49" s="724">
        <f t="shared" ref="B49" si="20">B48+1</f>
        <v>26</v>
      </c>
      <c r="C49" s="737" t="s">
        <v>3462</v>
      </c>
      <c r="D49" s="726" t="s">
        <v>234</v>
      </c>
      <c r="E49" s="739">
        <v>117000</v>
      </c>
      <c r="F49" s="740">
        <f t="shared" si="0"/>
        <v>142820.68965517241</v>
      </c>
      <c r="G49" s="729">
        <f t="shared" si="17"/>
        <v>176710.3448275862</v>
      </c>
      <c r="H49" s="729">
        <f>(G49*(245.9/217.6-1))+G49</f>
        <v>199692.43471095336</v>
      </c>
      <c r="I49" s="730">
        <v>200479.12058062881</v>
      </c>
      <c r="J49" s="730">
        <f t="shared" si="19"/>
        <v>217043.40907834686</v>
      </c>
      <c r="K49" s="706"/>
      <c r="L49" s="781">
        <v>0.13</v>
      </c>
      <c r="M49" s="782">
        <v>0.01</v>
      </c>
      <c r="N49" s="782">
        <v>0.1</v>
      </c>
      <c r="O49" s="783">
        <v>0.15</v>
      </c>
      <c r="P49" s="776"/>
      <c r="Q49" s="881">
        <f>ROUND(J49*(1+$L$49)*(1+$M$49)*(1+$N$49)*(1+$O$49),-1)</f>
        <v>313360</v>
      </c>
      <c r="R49" s="828">
        <f t="shared" si="18"/>
        <v>313360</v>
      </c>
      <c r="T49" s="741">
        <f>$L$5/$L$4-1</f>
        <v>0.22824393382352937</v>
      </c>
      <c r="U49" s="734">
        <f>G49*T49</f>
        <v>40333.064250760639</v>
      </c>
      <c r="V49" s="742">
        <f>G49+U49</f>
        <v>217043.40907834686</v>
      </c>
    </row>
    <row r="50" spans="2:22">
      <c r="B50" s="724">
        <f>B49+1</f>
        <v>27</v>
      </c>
      <c r="C50" s="785" t="s">
        <v>3463</v>
      </c>
      <c r="D50" s="726" t="s">
        <v>234</v>
      </c>
      <c r="E50" s="786"/>
      <c r="F50" s="1359"/>
      <c r="G50" s="864"/>
      <c r="H50" s="864"/>
      <c r="I50" s="1360"/>
      <c r="J50" s="1360">
        <v>310000</v>
      </c>
      <c r="K50" s="706"/>
      <c r="L50" s="781">
        <v>0.13</v>
      </c>
      <c r="M50" s="782">
        <v>0.01</v>
      </c>
      <c r="N50" s="782">
        <v>0.1</v>
      </c>
      <c r="O50" s="783">
        <v>0.15</v>
      </c>
      <c r="P50" s="776"/>
      <c r="Q50" s="881">
        <f>ROUND(J50*(1+$L$50)*(1+$M$50)*(1+$N$50)*(1+$O$50),-1)</f>
        <v>447560</v>
      </c>
      <c r="R50" s="828">
        <f t="shared" ref="R50" si="21">Q50</f>
        <v>447560</v>
      </c>
      <c r="T50" s="741"/>
      <c r="U50" s="734"/>
      <c r="V50" s="742"/>
    </row>
    <row r="51" spans="2:22">
      <c r="B51" s="724">
        <f>B50+1</f>
        <v>28</v>
      </c>
      <c r="C51" s="744" t="s">
        <v>1172</v>
      </c>
      <c r="D51" s="745" t="s">
        <v>234</v>
      </c>
      <c r="E51" s="746">
        <v>11700</v>
      </c>
      <c r="F51" s="747">
        <f t="shared" si="0"/>
        <v>14282.068965517241</v>
      </c>
      <c r="G51" s="748">
        <f t="shared" si="17"/>
        <v>17671.03448275862</v>
      </c>
      <c r="H51" s="748">
        <f>(G51*(245.9/217.6-1))+G51</f>
        <v>19969.243471095335</v>
      </c>
      <c r="I51" s="748">
        <v>20047.912058062881</v>
      </c>
      <c r="J51" s="748">
        <f t="shared" ref="J51" si="22">(G51*($L$5/$L$4-1))+G51</f>
        <v>21704.340907834685</v>
      </c>
      <c r="K51" s="706"/>
      <c r="L51" s="777">
        <v>0.13</v>
      </c>
      <c r="M51" s="778">
        <v>0.01</v>
      </c>
      <c r="N51" s="778">
        <v>0.1</v>
      </c>
      <c r="O51" s="779">
        <v>0.1</v>
      </c>
      <c r="P51" s="776"/>
      <c r="Q51" s="771">
        <f>ROUND(J51*(1+$L$51)*(1+$M$51)*(1+$N$51)*(1+$O$51),-1)</f>
        <v>29970</v>
      </c>
      <c r="R51" s="829">
        <f t="shared" si="18"/>
        <v>29970</v>
      </c>
      <c r="T51" s="741">
        <f>$L$5/$L$4-1</f>
        <v>0.22824393382352937</v>
      </c>
      <c r="U51" s="734">
        <f>G49*T51</f>
        <v>40333.064250760639</v>
      </c>
      <c r="V51" s="742">
        <f>G49+U51</f>
        <v>217043.40907834686</v>
      </c>
    </row>
    <row r="52" spans="2:22">
      <c r="B52" s="706"/>
      <c r="C52" s="787"/>
      <c r="D52" s="751"/>
      <c r="E52" s="706"/>
      <c r="F52" s="753">
        <f t="shared" si="0"/>
        <v>0</v>
      </c>
      <c r="G52" s="752"/>
      <c r="H52" s="752"/>
      <c r="I52" s="752"/>
      <c r="J52" s="752"/>
      <c r="K52" s="706"/>
      <c r="L52" s="706"/>
      <c r="M52" s="706"/>
      <c r="N52" s="706"/>
      <c r="O52" s="706"/>
      <c r="P52" s="706"/>
      <c r="Q52" s="723"/>
      <c r="R52" s="830"/>
      <c r="T52" s="741">
        <f>$L$5/$L$4-1</f>
        <v>0.22824393382352937</v>
      </c>
      <c r="U52" s="734">
        <f>G51*T52</f>
        <v>4033.306425076064</v>
      </c>
      <c r="V52" s="742">
        <f>G51+U52</f>
        <v>21704.340907834685</v>
      </c>
    </row>
    <row r="53" spans="2:22">
      <c r="B53" s="1584" t="s">
        <v>235</v>
      </c>
      <c r="C53" s="1585"/>
      <c r="D53" s="1585"/>
      <c r="E53" s="1585"/>
      <c r="F53" s="1585"/>
      <c r="G53" s="1585"/>
      <c r="H53" s="719"/>
      <c r="I53" s="720"/>
      <c r="J53" s="1349"/>
      <c r="K53" s="706"/>
      <c r="L53" s="706"/>
      <c r="M53" s="706"/>
      <c r="N53" s="706"/>
      <c r="O53" s="706"/>
      <c r="P53" s="706"/>
      <c r="Q53" s="723"/>
      <c r="R53" s="830"/>
      <c r="T53" s="741"/>
      <c r="U53" s="734"/>
      <c r="V53" s="742"/>
    </row>
    <row r="54" spans="2:22">
      <c r="B54" s="766">
        <f>B51+1</f>
        <v>29</v>
      </c>
      <c r="C54" s="788" t="s">
        <v>1088</v>
      </c>
      <c r="D54" s="768" t="s">
        <v>215</v>
      </c>
      <c r="E54" s="769">
        <v>3500</v>
      </c>
      <c r="F54" s="770">
        <f t="shared" si="0"/>
        <v>4272.4137931034484</v>
      </c>
      <c r="G54" s="729">
        <f t="shared" ref="G54:G56" si="23">(E54*(219/145-1)+E54)</f>
        <v>5286.2068965517237</v>
      </c>
      <c r="H54" s="755">
        <f>(G54*(245.9/217.6-1))+G54</f>
        <v>5973.7053118661261</v>
      </c>
      <c r="I54" s="730">
        <v>5997.23864984787</v>
      </c>
      <c r="J54" s="755">
        <f t="shared" ref="J54:J56" si="24">(G54*($L$5/$L$4-1))+G54</f>
        <v>6492.7515536257597</v>
      </c>
      <c r="K54" s="706"/>
      <c r="L54" s="773">
        <v>0.08</v>
      </c>
      <c r="M54" s="774">
        <v>0.02</v>
      </c>
      <c r="N54" s="774">
        <v>0.1</v>
      </c>
      <c r="O54" s="775">
        <v>0.1</v>
      </c>
      <c r="P54" s="776"/>
      <c r="Q54" s="879">
        <f>ROUND(J54*(1+$L$54)*(1+$M$54)*(1+$N$54)*(1+$O$54),-1)</f>
        <v>8650</v>
      </c>
      <c r="R54" s="831">
        <f t="shared" ref="R54:R56" si="25">Q54</f>
        <v>8650</v>
      </c>
      <c r="T54" s="741">
        <f>$L$5/$L$4-1</f>
        <v>0.22824393382352937</v>
      </c>
      <c r="U54" s="734">
        <f>G54*T54</f>
        <v>1206.5446570740362</v>
      </c>
      <c r="V54" s="742">
        <f>G54+U54</f>
        <v>6492.7515536257597</v>
      </c>
    </row>
    <row r="55" spans="2:22">
      <c r="B55" s="736">
        <f>B54+1</f>
        <v>30</v>
      </c>
      <c r="C55" s="737" t="s">
        <v>1089</v>
      </c>
      <c r="D55" s="738" t="s">
        <v>236</v>
      </c>
      <c r="E55" s="739">
        <v>6500000</v>
      </c>
      <c r="F55" s="740">
        <f t="shared" si="0"/>
        <v>7934482.7586206896</v>
      </c>
      <c r="G55" s="729">
        <f t="shared" si="23"/>
        <v>9817241.3793103434</v>
      </c>
      <c r="H55" s="729">
        <f>(G55*($L$5/$L$4-1))+G55</f>
        <v>12057967.171019267</v>
      </c>
      <c r="I55" s="730">
        <v>11137728.921146043</v>
      </c>
      <c r="J55" s="729">
        <f t="shared" si="24"/>
        <v>12057967.171019267</v>
      </c>
      <c r="K55" s="706"/>
      <c r="L55" s="781">
        <v>0.08</v>
      </c>
      <c r="M55" s="782">
        <v>0.02</v>
      </c>
      <c r="N55" s="782">
        <v>0.1</v>
      </c>
      <c r="O55" s="783">
        <v>0.15</v>
      </c>
      <c r="P55" s="776"/>
      <c r="Q55" s="732">
        <f>ROUND(J55*(1+$L$55)*(1+$M$55)*(1+$N$55)*(1+$O$55),-1)</f>
        <v>16803070</v>
      </c>
      <c r="R55" s="828">
        <f t="shared" si="25"/>
        <v>16803070</v>
      </c>
      <c r="T55" s="741">
        <f>$L$5/$L$4-1</f>
        <v>0.22824393382352937</v>
      </c>
      <c r="U55" s="734">
        <f>G55*T55</f>
        <v>2240725.7917089243</v>
      </c>
      <c r="V55" s="742">
        <f>G55+U55</f>
        <v>12057967.171019267</v>
      </c>
    </row>
    <row r="56" spans="2:22">
      <c r="B56" s="743">
        <f>B55+1</f>
        <v>31</v>
      </c>
      <c r="C56" s="744" t="s">
        <v>1090</v>
      </c>
      <c r="D56" s="745" t="s">
        <v>236</v>
      </c>
      <c r="E56" s="746">
        <v>20000000</v>
      </c>
      <c r="F56" s="747">
        <f t="shared" si="0"/>
        <v>24413793.103448275</v>
      </c>
      <c r="G56" s="748">
        <f t="shared" si="23"/>
        <v>30206896.551724136</v>
      </c>
      <c r="H56" s="748">
        <f>(G56*($L$5/$L$4-1))+G56</f>
        <v>37101437.44929006</v>
      </c>
      <c r="I56" s="748">
        <v>34269935.14198783</v>
      </c>
      <c r="J56" s="748">
        <f t="shared" si="24"/>
        <v>37101437.44929006</v>
      </c>
      <c r="K56" s="706"/>
      <c r="L56" s="777">
        <v>0.08</v>
      </c>
      <c r="M56" s="778">
        <v>0.02</v>
      </c>
      <c r="N56" s="778">
        <v>0.1</v>
      </c>
      <c r="O56" s="779">
        <v>0.15</v>
      </c>
      <c r="P56" s="776"/>
      <c r="Q56" s="771">
        <f>ROUND(J56*(1+$L$56)*(1+$M$56)*(1+$N$56)*(1+$O$56),-1)</f>
        <v>51701740</v>
      </c>
      <c r="R56" s="829">
        <f t="shared" si="25"/>
        <v>51701740</v>
      </c>
      <c r="T56" s="741">
        <f>$L$5/$L$4-1</f>
        <v>0.22824393382352937</v>
      </c>
      <c r="U56" s="734">
        <f>G56*T56</f>
        <v>6894540.8975659208</v>
      </c>
      <c r="V56" s="742">
        <f>G56+U56</f>
        <v>37101437.44929006</v>
      </c>
    </row>
    <row r="57" spans="2:22">
      <c r="B57" s="750"/>
      <c r="C57" s="706"/>
      <c r="D57" s="751"/>
      <c r="E57" s="789"/>
      <c r="F57" s="723"/>
      <c r="G57" s="752"/>
      <c r="H57" s="752"/>
      <c r="I57" s="752"/>
      <c r="J57" s="752"/>
      <c r="K57" s="706"/>
      <c r="L57" s="776"/>
      <c r="M57" s="776"/>
      <c r="N57" s="776"/>
      <c r="O57" s="776"/>
      <c r="P57" s="776"/>
      <c r="Q57" s="723"/>
      <c r="R57" s="830"/>
      <c r="T57" s="741"/>
      <c r="U57" s="734"/>
      <c r="V57" s="742"/>
    </row>
    <row r="58" spans="2:22">
      <c r="B58" s="1601" t="s">
        <v>1091</v>
      </c>
      <c r="C58" s="1602"/>
      <c r="D58" s="1602"/>
      <c r="E58" s="1602"/>
      <c r="F58" s="1602"/>
      <c r="G58" s="1602"/>
      <c r="H58" s="884"/>
      <c r="I58" s="885"/>
      <c r="J58" s="885"/>
      <c r="K58" s="706"/>
      <c r="L58" s="706"/>
      <c r="M58" s="706"/>
      <c r="N58" s="706"/>
      <c r="O58" s="706"/>
      <c r="P58" s="706"/>
      <c r="Q58" s="723"/>
      <c r="R58" s="830"/>
      <c r="T58" s="741"/>
      <c r="U58" s="734"/>
      <c r="V58" s="742"/>
    </row>
    <row r="59" spans="2:22">
      <c r="B59" s="766">
        <f>B56+1</f>
        <v>32</v>
      </c>
      <c r="C59" s="767" t="s">
        <v>1092</v>
      </c>
      <c r="D59" s="738" t="s">
        <v>1096</v>
      </c>
      <c r="E59" s="769">
        <v>11700</v>
      </c>
      <c r="F59" s="791">
        <f t="shared" ref="F59:F64" si="26">((177/145)-1)*E59+E59</f>
        <v>14282.068965517241</v>
      </c>
      <c r="G59" s="729">
        <f t="shared" ref="G59:G64" si="27">(E59*(219/145-1)+E59)</f>
        <v>17671.03448275862</v>
      </c>
      <c r="H59" s="755">
        <f t="shared" ref="H59:H64" si="28">(G59*(245.9/217.6-1))+G59</f>
        <v>19969.243471095335</v>
      </c>
      <c r="I59" s="730">
        <v>20047.912058062881</v>
      </c>
      <c r="J59" s="755">
        <f t="shared" ref="J59:J64" si="29">(G59*($L$5/$L$4-1))+G59</f>
        <v>21704.340907834685</v>
      </c>
      <c r="K59" s="706"/>
      <c r="L59" s="773">
        <v>0.2</v>
      </c>
      <c r="M59" s="774">
        <v>0.02</v>
      </c>
      <c r="N59" s="774">
        <v>0.1</v>
      </c>
      <c r="O59" s="775">
        <v>0.16</v>
      </c>
      <c r="P59" s="776"/>
      <c r="Q59" s="879">
        <f>ROUND(J59*(1+$L$59)*(1+$M$59)*(1+$N$59)*(1+$O$59),-1)</f>
        <v>33900</v>
      </c>
      <c r="R59" s="831">
        <f t="shared" ref="R59:R64" si="30">Q59</f>
        <v>33900</v>
      </c>
      <c r="T59" s="741">
        <f t="shared" ref="T59:T64" si="31">$L$5/$L$4-1</f>
        <v>0.22824393382352937</v>
      </c>
      <c r="U59" s="734">
        <f t="shared" ref="U59:U64" si="32">G59*T59</f>
        <v>4033.306425076064</v>
      </c>
      <c r="V59" s="742">
        <f t="shared" ref="V59:V64" si="33">G59+U59</f>
        <v>21704.340907834685</v>
      </c>
    </row>
    <row r="60" spans="2:22">
      <c r="B60" s="736">
        <f>B59+1</f>
        <v>33</v>
      </c>
      <c r="C60" s="737" t="s">
        <v>1093</v>
      </c>
      <c r="D60" s="738" t="s">
        <v>1096</v>
      </c>
      <c r="E60" s="739">
        <v>15300</v>
      </c>
      <c r="F60" s="793">
        <f t="shared" si="26"/>
        <v>18676.551724137931</v>
      </c>
      <c r="G60" s="729">
        <f t="shared" si="27"/>
        <v>23108.275862068964</v>
      </c>
      <c r="H60" s="729">
        <f t="shared" si="28"/>
        <v>26113.626077586207</v>
      </c>
      <c r="I60" s="730">
        <v>26216.500383620689</v>
      </c>
      <c r="J60" s="729">
        <f t="shared" si="29"/>
        <v>28382.599648706891</v>
      </c>
      <c r="K60" s="706"/>
      <c r="L60" s="781">
        <v>0.2</v>
      </c>
      <c r="M60" s="782">
        <v>0.02</v>
      </c>
      <c r="N60" s="782">
        <v>0.1</v>
      </c>
      <c r="O60" s="783">
        <v>0.16</v>
      </c>
      <c r="P60" s="776"/>
      <c r="Q60" s="732">
        <f>ROUND(J60*(1+$L$60)*(1+$M$60)*(1+$N$60)*(1+$O$60),-1)</f>
        <v>44330</v>
      </c>
      <c r="R60" s="828">
        <f t="shared" si="30"/>
        <v>44330</v>
      </c>
      <c r="T60" s="741">
        <f t="shared" si="31"/>
        <v>0.22824393382352937</v>
      </c>
      <c r="U60" s="734">
        <f t="shared" si="32"/>
        <v>5274.3237866379295</v>
      </c>
      <c r="V60" s="742">
        <f t="shared" si="33"/>
        <v>28382.599648706891</v>
      </c>
    </row>
    <row r="61" spans="2:22">
      <c r="B61" s="736">
        <f t="shared" ref="B61:B63" si="34">B60+1</f>
        <v>34</v>
      </c>
      <c r="C61" s="737" t="s">
        <v>1094</v>
      </c>
      <c r="D61" s="738" t="s">
        <v>1096</v>
      </c>
      <c r="E61" s="739">
        <v>12200</v>
      </c>
      <c r="F61" s="794">
        <f>((177/145)-1)*E61+E61</f>
        <v>14892.413793103449</v>
      </c>
      <c r="G61" s="729">
        <f t="shared" si="27"/>
        <v>18426.206896551725</v>
      </c>
      <c r="H61" s="729">
        <f t="shared" si="28"/>
        <v>20822.629944219068</v>
      </c>
      <c r="I61" s="730">
        <v>20904.660436612576</v>
      </c>
      <c r="J61" s="729">
        <f t="shared" si="29"/>
        <v>22631.876844066937</v>
      </c>
      <c r="K61" s="706"/>
      <c r="L61" s="781">
        <v>0.13</v>
      </c>
      <c r="M61" s="782">
        <v>0.02</v>
      </c>
      <c r="N61" s="782">
        <v>0.1</v>
      </c>
      <c r="O61" s="783">
        <v>0.16</v>
      </c>
      <c r="P61" s="776"/>
      <c r="Q61" s="732">
        <f>ROUND(J61*(1+$L$61)*(1+$M$61)*(1+$N$61)*(1+$O$61),-1)</f>
        <v>33290</v>
      </c>
      <c r="R61" s="828">
        <f t="shared" si="30"/>
        <v>33290</v>
      </c>
      <c r="T61" s="741">
        <f t="shared" si="31"/>
        <v>0.22824393382352937</v>
      </c>
      <c r="U61" s="734">
        <f t="shared" si="32"/>
        <v>4205.6699475152127</v>
      </c>
      <c r="V61" s="742">
        <f t="shared" si="33"/>
        <v>22631.876844066937</v>
      </c>
    </row>
    <row r="62" spans="2:22">
      <c r="B62" s="736">
        <f t="shared" si="34"/>
        <v>35</v>
      </c>
      <c r="C62" s="737" t="s">
        <v>1095</v>
      </c>
      <c r="D62" s="738" t="s">
        <v>1096</v>
      </c>
      <c r="E62" s="739">
        <v>16200</v>
      </c>
      <c r="F62" s="793">
        <f t="shared" si="26"/>
        <v>19775.172413793101</v>
      </c>
      <c r="G62" s="729">
        <f t="shared" si="27"/>
        <v>24467.586206896551</v>
      </c>
      <c r="H62" s="729">
        <f t="shared" si="28"/>
        <v>27649.721729208926</v>
      </c>
      <c r="I62" s="730">
        <v>27758.647465010141</v>
      </c>
      <c r="J62" s="729">
        <f t="shared" si="29"/>
        <v>30052.164333924946</v>
      </c>
      <c r="K62" s="706"/>
      <c r="L62" s="781">
        <v>0.13</v>
      </c>
      <c r="M62" s="782">
        <v>0.02</v>
      </c>
      <c r="N62" s="782">
        <v>0.1</v>
      </c>
      <c r="O62" s="783">
        <v>0.16</v>
      </c>
      <c r="P62" s="776"/>
      <c r="Q62" s="732">
        <f>ROUND(J62*(1+$L$62)*(1+$M$62)*(1+$N$62)*(1+$O$62),-1)</f>
        <v>44200</v>
      </c>
      <c r="R62" s="828">
        <f t="shared" si="30"/>
        <v>44200</v>
      </c>
      <c r="T62" s="741">
        <f t="shared" si="31"/>
        <v>0.22824393382352937</v>
      </c>
      <c r="U62" s="734">
        <f t="shared" si="32"/>
        <v>5584.578127028396</v>
      </c>
      <c r="V62" s="742">
        <f t="shared" si="33"/>
        <v>30052.164333924946</v>
      </c>
    </row>
    <row r="63" spans="2:22">
      <c r="B63" s="736">
        <f t="shared" si="34"/>
        <v>36</v>
      </c>
      <c r="C63" s="737" t="s">
        <v>237</v>
      </c>
      <c r="D63" s="738" t="s">
        <v>238</v>
      </c>
      <c r="E63" s="739">
        <v>4300000</v>
      </c>
      <c r="F63" s="793">
        <f t="shared" si="26"/>
        <v>5248965.5172413792</v>
      </c>
      <c r="G63" s="729">
        <f t="shared" si="27"/>
        <v>6494482.7586206887</v>
      </c>
      <c r="H63" s="729">
        <f t="shared" si="28"/>
        <v>7339123.6688640965</v>
      </c>
      <c r="I63" s="730">
        <v>7368036.0555273825</v>
      </c>
      <c r="J63" s="729">
        <f t="shared" si="29"/>
        <v>7976809.0515973615</v>
      </c>
      <c r="K63" s="706"/>
      <c r="L63" s="781">
        <v>0.05</v>
      </c>
      <c r="M63" s="782">
        <v>0.02</v>
      </c>
      <c r="N63" s="782">
        <v>0.1</v>
      </c>
      <c r="O63" s="783">
        <v>0.05</v>
      </c>
      <c r="P63" s="776"/>
      <c r="Q63" s="732">
        <f>ROUND(J63*(1+$L$63)*(1+$M$63)*(1+$N$63)*(1+$O$63),-1)</f>
        <v>9867350</v>
      </c>
      <c r="R63" s="828">
        <f t="shared" si="30"/>
        <v>9867350</v>
      </c>
      <c r="T63" s="741">
        <f t="shared" si="31"/>
        <v>0.22824393382352937</v>
      </c>
      <c r="U63" s="734">
        <f t="shared" si="32"/>
        <v>1482326.292976673</v>
      </c>
      <c r="V63" s="742">
        <f t="shared" si="33"/>
        <v>7976809.0515973615</v>
      </c>
    </row>
    <row r="64" spans="2:22">
      <c r="B64" s="743">
        <f>B63+1</f>
        <v>37</v>
      </c>
      <c r="C64" s="744" t="s">
        <v>239</v>
      </c>
      <c r="D64" s="745" t="s">
        <v>238</v>
      </c>
      <c r="E64" s="746">
        <v>655000</v>
      </c>
      <c r="F64" s="795">
        <f t="shared" si="26"/>
        <v>799551.72413793101</v>
      </c>
      <c r="G64" s="748">
        <f t="shared" si="27"/>
        <v>989275.86206896545</v>
      </c>
      <c r="H64" s="748">
        <f t="shared" si="28"/>
        <v>1117936.2797920892</v>
      </c>
      <c r="I64" s="748">
        <v>1122340.3759001014</v>
      </c>
      <c r="J64" s="748">
        <f t="shared" si="29"/>
        <v>1215072.0764642493</v>
      </c>
      <c r="K64" s="706"/>
      <c r="L64" s="777">
        <v>0.05</v>
      </c>
      <c r="M64" s="778">
        <v>0.02</v>
      </c>
      <c r="N64" s="778">
        <v>0.1</v>
      </c>
      <c r="O64" s="779">
        <v>0.05</v>
      </c>
      <c r="P64" s="776"/>
      <c r="Q64" s="771">
        <f>ROUND(J64*(1+$L$64)*(1+$M$64)*(1+$N$64)*(1+$O$64),-1)</f>
        <v>1503050</v>
      </c>
      <c r="R64" s="829">
        <f t="shared" si="30"/>
        <v>1503050</v>
      </c>
      <c r="T64" s="741">
        <f t="shared" si="31"/>
        <v>0.22824393382352937</v>
      </c>
      <c r="U64" s="734">
        <f t="shared" si="32"/>
        <v>225796.21439528393</v>
      </c>
      <c r="V64" s="742">
        <f t="shared" si="33"/>
        <v>1215072.0764642493</v>
      </c>
    </row>
    <row r="65" spans="2:23">
      <c r="B65" s="750"/>
      <c r="C65" s="706"/>
      <c r="D65" s="706"/>
      <c r="E65" s="752"/>
      <c r="F65" s="723"/>
      <c r="G65" s="723"/>
      <c r="H65" s="723"/>
      <c r="I65" s="723"/>
      <c r="J65" s="723"/>
      <c r="K65" s="706"/>
      <c r="L65" s="776"/>
      <c r="M65" s="776"/>
      <c r="N65" s="776"/>
      <c r="O65" s="776"/>
      <c r="P65" s="776"/>
      <c r="T65" s="699"/>
      <c r="V65" s="697"/>
    </row>
    <row r="66" spans="2:23">
      <c r="B66" s="1584" t="s">
        <v>240</v>
      </c>
      <c r="C66" s="1585"/>
      <c r="D66" s="1585"/>
      <c r="E66" s="1585"/>
      <c r="F66" s="1585"/>
      <c r="G66" s="1585"/>
      <c r="H66" s="719"/>
      <c r="I66" s="720"/>
      <c r="J66" s="1349"/>
      <c r="K66" s="706"/>
      <c r="L66" s="776"/>
      <c r="M66" s="776"/>
      <c r="N66" s="776"/>
      <c r="O66" s="776"/>
      <c r="P66" s="776"/>
      <c r="Q66" s="752"/>
      <c r="R66" s="825"/>
      <c r="T66" s="741"/>
      <c r="U66" s="734"/>
      <c r="V66" s="742"/>
    </row>
    <row r="67" spans="2:23">
      <c r="B67" s="796">
        <f>B64+1</f>
        <v>38</v>
      </c>
      <c r="C67" s="797" t="s">
        <v>241</v>
      </c>
      <c r="D67" s="798" t="s">
        <v>206</v>
      </c>
      <c r="E67" s="746" t="s">
        <v>242</v>
      </c>
      <c r="F67" s="795">
        <f>((219/154.4)-1)*10800+10800</f>
        <v>15318.652849740931</v>
      </c>
      <c r="G67" s="799" t="s">
        <v>243</v>
      </c>
      <c r="H67" s="800" t="s">
        <v>244</v>
      </c>
      <c r="I67" s="800">
        <v>14642</v>
      </c>
      <c r="J67" s="748">
        <f>I67*1.063</f>
        <v>15564.446</v>
      </c>
      <c r="K67" s="706"/>
      <c r="L67" s="801">
        <v>0.2</v>
      </c>
      <c r="M67" s="802">
        <v>0.02</v>
      </c>
      <c r="N67" s="802">
        <v>0.1</v>
      </c>
      <c r="O67" s="803">
        <v>0.16</v>
      </c>
      <c r="P67" s="776"/>
      <c r="Q67" s="772">
        <f>ROUND(J67*(1+$L$67)*(1+$M$67)*(1+$N$67)*(1+$O$67),-1)</f>
        <v>24310</v>
      </c>
      <c r="R67" s="882">
        <f t="shared" ref="R67" si="35">Q67</f>
        <v>24310</v>
      </c>
      <c r="T67" s="741"/>
      <c r="U67" s="734"/>
      <c r="V67" s="742"/>
    </row>
    <row r="68" spans="2:23">
      <c r="B68" s="750"/>
      <c r="C68" s="706"/>
      <c r="D68" s="706"/>
      <c r="E68" s="752"/>
      <c r="F68" s="752"/>
      <c r="G68" s="752"/>
      <c r="H68" s="752"/>
      <c r="I68" s="889"/>
      <c r="J68" s="889"/>
      <c r="K68" s="706"/>
      <c r="L68" s="776"/>
      <c r="M68" s="776"/>
      <c r="N68" s="776"/>
      <c r="O68" s="776"/>
      <c r="P68" s="776"/>
      <c r="Q68" s="804"/>
      <c r="R68" s="825"/>
      <c r="T68" s="741"/>
      <c r="U68" s="734"/>
      <c r="V68" s="742"/>
    </row>
    <row r="69" spans="2:23">
      <c r="B69" s="1584" t="s">
        <v>245</v>
      </c>
      <c r="C69" s="1585"/>
      <c r="D69" s="1585"/>
      <c r="E69" s="1585"/>
      <c r="F69" s="1585"/>
      <c r="G69" s="1585"/>
      <c r="H69" s="719"/>
      <c r="I69" s="890"/>
      <c r="J69" s="890"/>
      <c r="K69" s="706"/>
      <c r="L69" s="776"/>
      <c r="M69" s="776"/>
      <c r="N69" s="776"/>
      <c r="O69" s="776"/>
      <c r="P69" s="776"/>
      <c r="Q69" s="878"/>
      <c r="R69" s="825"/>
      <c r="T69" s="741"/>
      <c r="U69" s="734"/>
      <c r="V69" s="742"/>
    </row>
    <row r="70" spans="2:23">
      <c r="B70" s="766">
        <f>B67+1</f>
        <v>39</v>
      </c>
      <c r="C70" s="767" t="s">
        <v>246</v>
      </c>
      <c r="D70" s="738" t="s">
        <v>1096</v>
      </c>
      <c r="E70" s="1248">
        <v>15400</v>
      </c>
      <c r="F70" s="791">
        <f>8500*(219/210.8)+8500</f>
        <v>17330.645161290322</v>
      </c>
      <c r="G70" s="755" t="s">
        <v>247</v>
      </c>
      <c r="H70" s="755" t="s">
        <v>251</v>
      </c>
      <c r="I70" s="755">
        <v>15400</v>
      </c>
      <c r="J70" s="729">
        <f t="shared" ref="J70:J73" si="36">I70*1.06</f>
        <v>16324</v>
      </c>
      <c r="K70" s="706"/>
      <c r="L70" s="773">
        <v>0.13</v>
      </c>
      <c r="M70" s="774">
        <v>0.01</v>
      </c>
      <c r="N70" s="774">
        <v>0.15</v>
      </c>
      <c r="O70" s="775">
        <v>0.12</v>
      </c>
      <c r="P70" s="776"/>
      <c r="Q70" s="879">
        <f>ROUND(J70*(1+$L$70)*(1+$M$70)*(1+$N$70)*(1+$O$70),-1)</f>
        <v>24000</v>
      </c>
      <c r="R70" s="880">
        <f t="shared" ref="R70:R76" si="37">Q70</f>
        <v>24000</v>
      </c>
      <c r="T70" s="741"/>
      <c r="U70" s="734"/>
      <c r="V70" s="1251"/>
      <c r="W70" s="878"/>
    </row>
    <row r="71" spans="2:23">
      <c r="B71" s="736">
        <f>B70+1</f>
        <v>40</v>
      </c>
      <c r="C71" s="737" t="s">
        <v>249</v>
      </c>
      <c r="D71" s="738" t="s">
        <v>1096</v>
      </c>
      <c r="E71" s="1249">
        <v>16100</v>
      </c>
      <c r="F71" s="793">
        <f>9000*(219/210.8)+9000</f>
        <v>18350.09487666034</v>
      </c>
      <c r="G71" s="729" t="s">
        <v>250</v>
      </c>
      <c r="H71" s="729" t="s">
        <v>248</v>
      </c>
      <c r="I71" s="729">
        <v>16905</v>
      </c>
      <c r="J71" s="729">
        <f t="shared" si="36"/>
        <v>17919.3</v>
      </c>
      <c r="K71" s="706"/>
      <c r="L71" s="805">
        <v>0.13</v>
      </c>
      <c r="M71" s="782">
        <v>0.01</v>
      </c>
      <c r="N71" s="782">
        <v>0.15</v>
      </c>
      <c r="O71" s="783">
        <v>0.12</v>
      </c>
      <c r="P71" s="776"/>
      <c r="Q71" s="732">
        <f>ROUND(J71*(1+$L$71)*(1+$M$71)*(1+$N$71)*(1+$O$71),-1)</f>
        <v>26340</v>
      </c>
      <c r="R71" s="876">
        <f t="shared" si="37"/>
        <v>26340</v>
      </c>
      <c r="T71" s="741"/>
      <c r="U71" s="734"/>
      <c r="V71" s="1251"/>
      <c r="W71" s="878"/>
    </row>
    <row r="72" spans="2:23">
      <c r="B72" s="736">
        <f t="shared" ref="B72:B78" si="38">B71+1</f>
        <v>41</v>
      </c>
      <c r="C72" s="737" t="s">
        <v>252</v>
      </c>
      <c r="D72" s="738" t="s">
        <v>1096</v>
      </c>
      <c r="E72" s="1249">
        <v>17200</v>
      </c>
      <c r="F72" s="793">
        <f t="shared" ref="F72:F73" si="39">8500*(219/210.8)+8500</f>
        <v>17330.645161290322</v>
      </c>
      <c r="G72" s="729" t="s">
        <v>250</v>
      </c>
      <c r="H72" s="729" t="s">
        <v>251</v>
      </c>
      <c r="I72" s="729">
        <v>18060</v>
      </c>
      <c r="J72" s="729">
        <f t="shared" si="36"/>
        <v>19143.600000000002</v>
      </c>
      <c r="K72" s="706"/>
      <c r="L72" s="781">
        <v>0.13</v>
      </c>
      <c r="M72" s="782">
        <v>0.01</v>
      </c>
      <c r="N72" s="782">
        <v>0.15</v>
      </c>
      <c r="O72" s="783">
        <v>0.18</v>
      </c>
      <c r="P72" s="776"/>
      <c r="Q72" s="732">
        <f>ROUND(J72*(1+$L$72)*(1+$M$72)*(1+$N$72)*(1+$O$72),-1)</f>
        <v>29650</v>
      </c>
      <c r="R72" s="876">
        <f t="shared" si="37"/>
        <v>29650</v>
      </c>
      <c r="T72" s="741"/>
      <c r="U72" s="734"/>
      <c r="V72" s="1251"/>
      <c r="W72" s="878"/>
    </row>
    <row r="73" spans="2:23">
      <c r="B73" s="736">
        <f t="shared" si="38"/>
        <v>42</v>
      </c>
      <c r="C73" s="725" t="s">
        <v>253</v>
      </c>
      <c r="D73" s="738" t="s">
        <v>1096</v>
      </c>
      <c r="E73" s="1249">
        <v>19500</v>
      </c>
      <c r="F73" s="793">
        <f t="shared" si="39"/>
        <v>17330.645161290322</v>
      </c>
      <c r="G73" s="729" t="s">
        <v>254</v>
      </c>
      <c r="H73" s="729" t="s">
        <v>255</v>
      </c>
      <c r="I73" s="729">
        <v>20475</v>
      </c>
      <c r="J73" s="729">
        <f t="shared" si="36"/>
        <v>21703.5</v>
      </c>
      <c r="K73" s="706"/>
      <c r="L73" s="867">
        <v>0.13</v>
      </c>
      <c r="M73" s="868">
        <v>0.01</v>
      </c>
      <c r="N73" s="868">
        <v>0.15</v>
      </c>
      <c r="O73" s="869">
        <v>0.18</v>
      </c>
      <c r="P73" s="776"/>
      <c r="Q73" s="732">
        <f>ROUND(J73*(1+$L$73)*(1+$M$73)*(1+$N$73)*(1+$O$73),-1)</f>
        <v>33610</v>
      </c>
      <c r="R73" s="876">
        <f t="shared" si="37"/>
        <v>33610</v>
      </c>
      <c r="T73" s="741"/>
      <c r="U73" s="734"/>
      <c r="V73" s="1251"/>
      <c r="W73" s="878"/>
    </row>
    <row r="74" spans="2:23">
      <c r="B74" s="736">
        <f t="shared" si="38"/>
        <v>43</v>
      </c>
      <c r="C74" s="725" t="s">
        <v>1209</v>
      </c>
      <c r="D74" s="738" t="s">
        <v>1096</v>
      </c>
      <c r="E74" s="1250">
        <v>7250</v>
      </c>
      <c r="F74" s="793"/>
      <c r="G74" s="729"/>
      <c r="H74" s="864"/>
      <c r="I74" s="729">
        <v>7612.5</v>
      </c>
      <c r="J74" s="729">
        <f>I74*1.06</f>
        <v>8069.25</v>
      </c>
      <c r="K74" s="706"/>
      <c r="L74" s="870">
        <v>0.08</v>
      </c>
      <c r="M74" s="871">
        <v>0.01</v>
      </c>
      <c r="N74" s="871">
        <v>0.1</v>
      </c>
      <c r="O74" s="872">
        <v>0.1</v>
      </c>
      <c r="P74" s="776"/>
      <c r="Q74" s="732">
        <f>ROUND(J74*(1+$L$74)*(1+$M$74)*(1+$N$74)*(1+$O$74),-1)</f>
        <v>10650</v>
      </c>
      <c r="R74" s="828">
        <f t="shared" si="37"/>
        <v>10650</v>
      </c>
      <c r="T74" s="741"/>
      <c r="U74" s="734"/>
      <c r="V74" s="1251"/>
      <c r="W74" s="878"/>
    </row>
    <row r="75" spans="2:23">
      <c r="B75" s="736">
        <f t="shared" si="38"/>
        <v>44</v>
      </c>
      <c r="C75" s="725" t="s">
        <v>1210</v>
      </c>
      <c r="D75" s="738" t="s">
        <v>1096</v>
      </c>
      <c r="E75" s="1250">
        <v>1658</v>
      </c>
      <c r="F75" s="793"/>
      <c r="G75" s="729"/>
      <c r="H75" s="864"/>
      <c r="I75" s="729">
        <v>1740.9</v>
      </c>
      <c r="J75" s="729">
        <f t="shared" ref="J75:J78" si="40">I75*1.06</f>
        <v>1845.3540000000003</v>
      </c>
      <c r="K75" s="706"/>
      <c r="L75" s="870">
        <v>0.08</v>
      </c>
      <c r="M75" s="871">
        <v>0.01</v>
      </c>
      <c r="N75" s="871">
        <v>0.1</v>
      </c>
      <c r="O75" s="872">
        <v>0.1</v>
      </c>
      <c r="P75" s="776"/>
      <c r="Q75" s="732">
        <f>ROUND(J75*(1+$L$75)*(1+$M$75)*(1+$N$75)*(1+$O$75),-1)</f>
        <v>2440</v>
      </c>
      <c r="R75" s="828">
        <f t="shared" ref="R75" si="41">Q75</f>
        <v>2440</v>
      </c>
      <c r="T75" s="741"/>
      <c r="U75" s="734"/>
      <c r="V75" s="1251"/>
      <c r="W75" s="878"/>
    </row>
    <row r="76" spans="2:23">
      <c r="B76" s="736">
        <f t="shared" si="38"/>
        <v>45</v>
      </c>
      <c r="C76" s="725" t="s">
        <v>1166</v>
      </c>
      <c r="D76" s="738" t="s">
        <v>1096</v>
      </c>
      <c r="E76" s="1250">
        <v>12200</v>
      </c>
      <c r="F76" s="793"/>
      <c r="G76" s="729"/>
      <c r="H76" s="864"/>
      <c r="I76" s="729">
        <v>7612.5</v>
      </c>
      <c r="J76" s="729">
        <f>J74</f>
        <v>8069.25</v>
      </c>
      <c r="K76" s="706"/>
      <c r="L76" s="870">
        <v>0.08</v>
      </c>
      <c r="M76" s="871">
        <v>0.01</v>
      </c>
      <c r="N76" s="871">
        <v>0.1</v>
      </c>
      <c r="O76" s="872">
        <v>0.1</v>
      </c>
      <c r="P76" s="776"/>
      <c r="Q76" s="732">
        <f>ROUND(J76*(1+$L$76)*(1+$M$76)*(1+$N$76)*(1+$O$76),-1)</f>
        <v>10650</v>
      </c>
      <c r="R76" s="828">
        <f t="shared" si="37"/>
        <v>10650</v>
      </c>
      <c r="T76" s="741"/>
      <c r="U76" s="734"/>
      <c r="V76" s="1251"/>
      <c r="W76" s="878"/>
    </row>
    <row r="77" spans="2:23">
      <c r="B77" s="736">
        <f t="shared" si="38"/>
        <v>46</v>
      </c>
      <c r="C77" s="725" t="s">
        <v>1214</v>
      </c>
      <c r="D77" s="738" t="s">
        <v>1096</v>
      </c>
      <c r="E77" s="1250">
        <v>6500</v>
      </c>
      <c r="F77" s="807"/>
      <c r="G77" s="864"/>
      <c r="H77" s="864"/>
      <c r="I77" s="729">
        <v>6825</v>
      </c>
      <c r="J77" s="729">
        <f t="shared" si="40"/>
        <v>7234.5</v>
      </c>
      <c r="K77" s="706"/>
      <c r="L77" s="870">
        <v>0.08</v>
      </c>
      <c r="M77" s="871">
        <v>0.01</v>
      </c>
      <c r="N77" s="871">
        <v>0.1</v>
      </c>
      <c r="O77" s="872">
        <v>0.1</v>
      </c>
      <c r="P77" s="776"/>
      <c r="Q77" s="732">
        <f>ROUND(J77*(1+$L$77)*(1+$M$77)*(1+$N$77)*(1+$O$77),-1)</f>
        <v>9550</v>
      </c>
      <c r="R77" s="828">
        <f t="shared" ref="R77" si="42">Q77</f>
        <v>9550</v>
      </c>
      <c r="T77" s="741"/>
      <c r="U77" s="734"/>
      <c r="V77" s="1251"/>
      <c r="W77" s="878"/>
    </row>
    <row r="78" spans="2:23">
      <c r="B78" s="736">
        <f t="shared" si="38"/>
        <v>47</v>
      </c>
      <c r="C78" s="725" t="s">
        <v>1215</v>
      </c>
      <c r="D78" s="738" t="s">
        <v>1096</v>
      </c>
      <c r="E78" s="1250">
        <v>5850</v>
      </c>
      <c r="F78" s="807"/>
      <c r="G78" s="864"/>
      <c r="H78" s="864"/>
      <c r="I78" s="729">
        <v>6142.5</v>
      </c>
      <c r="J78" s="729">
        <f t="shared" si="40"/>
        <v>6511.05</v>
      </c>
      <c r="K78" s="706"/>
      <c r="L78" s="870">
        <v>0.08</v>
      </c>
      <c r="M78" s="871">
        <v>0.01</v>
      </c>
      <c r="N78" s="871">
        <v>0.1</v>
      </c>
      <c r="O78" s="872">
        <v>0.1</v>
      </c>
      <c r="P78" s="776"/>
      <c r="Q78" s="732">
        <f>ROUND(J78*(1+$L$78)*(1+$M$78)*(1+$N$78)*(1+$O$78),-1)</f>
        <v>8590</v>
      </c>
      <c r="R78" s="828">
        <f t="shared" ref="R78" si="43">Q78</f>
        <v>8590</v>
      </c>
      <c r="T78" s="741"/>
      <c r="U78" s="734"/>
      <c r="V78" s="1251"/>
      <c r="W78" s="878"/>
    </row>
    <row r="79" spans="2:23">
      <c r="B79" s="736"/>
      <c r="C79" s="737"/>
      <c r="D79" s="738"/>
      <c r="E79" s="739"/>
      <c r="F79" s="795"/>
      <c r="G79" s="748"/>
      <c r="H79" s="748"/>
      <c r="I79" s="748"/>
      <c r="J79" s="748"/>
      <c r="K79" s="706"/>
      <c r="L79" s="873"/>
      <c r="M79" s="874"/>
      <c r="N79" s="874"/>
      <c r="O79" s="875"/>
      <c r="P79" s="776"/>
      <c r="Q79" s="748"/>
      <c r="R79" s="877"/>
      <c r="T79" s="741"/>
      <c r="U79" s="734"/>
      <c r="V79" s="1251"/>
      <c r="W79" s="815"/>
    </row>
    <row r="80" spans="2:23">
      <c r="B80" s="1585" t="s">
        <v>256</v>
      </c>
      <c r="C80" s="1585"/>
      <c r="D80" s="1585"/>
      <c r="E80" s="1585"/>
      <c r="F80" s="1585"/>
      <c r="G80" s="1585"/>
      <c r="H80" s="719"/>
      <c r="I80" s="719"/>
      <c r="J80" s="1348"/>
      <c r="K80" s="706"/>
      <c r="L80" s="776"/>
      <c r="M80" s="776"/>
      <c r="N80" s="776"/>
      <c r="O80" s="776"/>
      <c r="P80" s="776"/>
      <c r="Q80" s="752"/>
      <c r="R80" s="825"/>
      <c r="T80" s="741"/>
      <c r="U80" s="734"/>
      <c r="V80" s="742"/>
    </row>
    <row r="81" spans="1:22">
      <c r="B81" s="784"/>
      <c r="C81" s="785"/>
      <c r="D81" s="806"/>
      <c r="E81" s="786"/>
      <c r="F81" s="807"/>
      <c r="G81" s="886"/>
      <c r="H81" s="730"/>
      <c r="I81" s="730"/>
      <c r="J81" s="730"/>
      <c r="K81" s="706"/>
      <c r="L81" s="776"/>
      <c r="M81" s="776"/>
      <c r="N81" s="776"/>
      <c r="O81" s="776"/>
      <c r="P81" s="776"/>
      <c r="Q81" s="752"/>
      <c r="R81" s="825"/>
      <c r="T81" s="741"/>
      <c r="U81" s="734"/>
      <c r="V81" s="742"/>
    </row>
    <row r="82" spans="1:22">
      <c r="B82" s="784">
        <v>40</v>
      </c>
      <c r="C82" s="785" t="s">
        <v>257</v>
      </c>
      <c r="D82" s="738" t="s">
        <v>1096</v>
      </c>
      <c r="E82" s="1249">
        <v>33000</v>
      </c>
      <c r="F82" s="807"/>
      <c r="G82" s="729" t="s">
        <v>258</v>
      </c>
      <c r="H82" s="729" t="s">
        <v>259</v>
      </c>
      <c r="I82" s="729">
        <v>34650</v>
      </c>
      <c r="J82" s="729">
        <f>I82*1.06</f>
        <v>36729</v>
      </c>
      <c r="K82" s="706"/>
      <c r="L82" s="801">
        <v>0.13</v>
      </c>
      <c r="M82" s="802">
        <v>0.01</v>
      </c>
      <c r="N82" s="802">
        <v>0.15</v>
      </c>
      <c r="O82" s="803">
        <v>0.18</v>
      </c>
      <c r="P82" s="776"/>
      <c r="Q82" s="792">
        <f>ROUND(J82*(1+$L$82)*(1+$M$82)*(1+$N$82)*(1+$O$82),-1)</f>
        <v>56880</v>
      </c>
      <c r="R82" s="882">
        <f t="shared" ref="R82" si="44">Q82</f>
        <v>56880</v>
      </c>
      <c r="T82" s="741"/>
      <c r="U82" s="734"/>
      <c r="V82" s="742"/>
    </row>
    <row r="83" spans="1:22">
      <c r="B83" s="784"/>
      <c r="C83" s="785"/>
      <c r="D83" s="806"/>
      <c r="E83" s="786"/>
      <c r="F83" s="807"/>
      <c r="G83" s="729"/>
      <c r="H83" s="729"/>
      <c r="I83" s="729"/>
      <c r="J83" s="729"/>
      <c r="K83" s="706"/>
      <c r="L83" s="776"/>
      <c r="M83" s="776"/>
      <c r="N83" s="776"/>
      <c r="O83" s="776"/>
      <c r="P83" s="776"/>
      <c r="Q83" s="752"/>
      <c r="R83" s="825"/>
      <c r="T83" s="741"/>
      <c r="U83" s="734"/>
      <c r="V83" s="742"/>
    </row>
    <row r="84" spans="1:22">
      <c r="B84" s="743" t="s">
        <v>260</v>
      </c>
      <c r="C84" s="744" t="s">
        <v>261</v>
      </c>
      <c r="D84" s="745"/>
      <c r="E84" s="746"/>
      <c r="F84" s="795"/>
      <c r="G84" s="887"/>
      <c r="H84" s="748"/>
      <c r="I84" s="748"/>
      <c r="J84" s="748"/>
      <c r="K84" s="706"/>
      <c r="L84" s="776"/>
      <c r="M84" s="776"/>
      <c r="N84" s="776"/>
      <c r="O84" s="776"/>
      <c r="P84" s="776"/>
      <c r="Q84" s="752"/>
      <c r="R84" s="825"/>
      <c r="T84" s="741"/>
      <c r="U84" s="734"/>
      <c r="V84" s="742"/>
    </row>
    <row r="85" spans="1:22">
      <c r="B85" s="893"/>
      <c r="C85" s="894"/>
      <c r="D85" s="1161"/>
      <c r="E85" s="878"/>
      <c r="F85" s="1361"/>
      <c r="G85" s="878"/>
      <c r="H85" s="878"/>
      <c r="I85" s="878"/>
      <c r="J85" s="878"/>
      <c r="K85" s="706"/>
      <c r="L85" s="776"/>
      <c r="M85" s="776"/>
      <c r="N85" s="776"/>
      <c r="O85" s="776"/>
      <c r="P85" s="776"/>
      <c r="Q85" s="752"/>
      <c r="R85" s="825"/>
      <c r="T85" s="741"/>
      <c r="U85" s="734"/>
      <c r="V85" s="742"/>
    </row>
    <row r="86" spans="1:22">
      <c r="A86" s="750"/>
      <c r="B86" s="893"/>
      <c r="C86" s="894"/>
      <c r="D86" s="894"/>
      <c r="E86" s="878"/>
      <c r="F86" s="878"/>
      <c r="G86" s="878"/>
      <c r="H86" s="878"/>
      <c r="I86" s="878"/>
      <c r="J86" s="878"/>
      <c r="K86" s="894"/>
      <c r="L86" s="865"/>
      <c r="M86" s="865"/>
      <c r="N86" s="926"/>
      <c r="O86" s="865"/>
      <c r="P86" s="865"/>
      <c r="Q86" s="878"/>
      <c r="R86" s="927"/>
      <c r="T86" s="808"/>
      <c r="U86" s="809"/>
      <c r="V86" s="810"/>
    </row>
    <row r="87" spans="1:22">
      <c r="B87" s="1599" t="s">
        <v>1213</v>
      </c>
      <c r="C87" s="1599"/>
      <c r="D87" s="1599"/>
      <c r="E87" s="1599"/>
      <c r="F87" s="1599"/>
      <c r="G87" s="1599"/>
      <c r="I87" s="815"/>
      <c r="J87" s="815"/>
    </row>
  </sheetData>
  <mergeCells count="32">
    <mergeCell ref="M4:Q5"/>
    <mergeCell ref="T15:V15"/>
    <mergeCell ref="L9:O13"/>
    <mergeCell ref="L8:O8"/>
    <mergeCell ref="G8:K8"/>
    <mergeCell ref="R9:R13"/>
    <mergeCell ref="A8:E8"/>
    <mergeCell ref="G9:K13"/>
    <mergeCell ref="G3:K3"/>
    <mergeCell ref="B87:G87"/>
    <mergeCell ref="B80:G80"/>
    <mergeCell ref="B66:G66"/>
    <mergeCell ref="B53:G53"/>
    <mergeCell ref="B15:G15"/>
    <mergeCell ref="B22:G22"/>
    <mergeCell ref="B32:G32"/>
    <mergeCell ref="B46:G46"/>
    <mergeCell ref="B42:G42"/>
    <mergeCell ref="B58:G58"/>
    <mergeCell ref="L16:L20"/>
    <mergeCell ref="M16:M20"/>
    <mergeCell ref="N16:N20"/>
    <mergeCell ref="O16:O20"/>
    <mergeCell ref="B69:G69"/>
    <mergeCell ref="L33:L40"/>
    <mergeCell ref="M33:M40"/>
    <mergeCell ref="N33:N40"/>
    <mergeCell ref="O33:O40"/>
    <mergeCell ref="L23:L30"/>
    <mergeCell ref="M23:M30"/>
    <mergeCell ref="N23:N30"/>
    <mergeCell ref="O23:O30"/>
  </mergeCells>
  <phoneticPr fontId="115" type="noConversion"/>
  <pageMargins left="0.70866141732283472" right="0.70866141732283472" top="0.74803149606299213" bottom="0.74803149606299213" header="0.31496062992125984" footer="0.31496062992125984"/>
  <pageSetup paperSize="9" scale="60" orientation="landscape" r:id="rId1"/>
  <headerFooter>
    <oddHeader>&amp;C&amp;"Calibri"&amp;10&amp;K000000Confidential&amp;1#</oddHeader>
    <oddFooter>&amp;R&amp;1#&amp;"Calibri"&amp;10&amp;K000000Confidential</oddFooter>
  </headerFooter>
  <rowBreaks count="1" manualBreakCount="1">
    <brk id="57" max="17"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tabColor rgb="FF00B050"/>
  </sheetPr>
  <dimension ref="A1:F47"/>
  <sheetViews>
    <sheetView view="pageBreakPreview" zoomScale="80" zoomScaleNormal="90" zoomScaleSheetLayoutView="80" workbookViewId="0">
      <selection activeCell="F36" sqref="F36"/>
    </sheetView>
  </sheetViews>
  <sheetFormatPr defaultColWidth="9.140625" defaultRowHeight="15"/>
  <cols>
    <col min="1" max="1" width="10.5703125" style="696" customWidth="1"/>
    <col min="2" max="2" width="94.28515625" style="696" bestFit="1" customWidth="1"/>
    <col min="3" max="3" width="16.5703125" style="696" customWidth="1"/>
    <col min="4" max="4" width="12.5703125" style="696" customWidth="1"/>
    <col min="5" max="5" width="14.5703125" style="696" customWidth="1"/>
    <col min="6" max="6" width="12.85546875" style="696" customWidth="1"/>
    <col min="7" max="16384" width="9.140625" style="696"/>
  </cols>
  <sheetData>
    <row r="1" spans="1:6" ht="15.75" thickBot="1"/>
    <row r="2" spans="1:6" ht="15.75" thickBot="1">
      <c r="C2" s="1596" t="s">
        <v>185</v>
      </c>
      <c r="D2" s="1597"/>
      <c r="E2" s="1597"/>
      <c r="F2" s="911"/>
    </row>
    <row r="3" spans="1:6" ht="26.45" customHeight="1">
      <c r="B3" s="1628" t="str">
        <f>'New Bldg Rates'!M4</f>
        <v>Reference 2021 Q4 Table 2 - BER Building Cost Index</v>
      </c>
      <c r="C3" s="915" t="s">
        <v>186</v>
      </c>
      <c r="D3" s="899">
        <v>43040</v>
      </c>
      <c r="E3" s="917">
        <v>217.6</v>
      </c>
      <c r="F3" s="919"/>
    </row>
    <row r="4" spans="1:6" ht="15.75" thickBot="1">
      <c r="B4" s="1629"/>
      <c r="C4" s="702" t="s">
        <v>187</v>
      </c>
      <c r="D4" s="900">
        <f>'New Bldg Rates'!J5</f>
        <v>44621</v>
      </c>
      <c r="E4" s="918">
        <f>'New Bldg Rates'!L5</f>
        <v>267.26587999999998</v>
      </c>
      <c r="F4" s="919"/>
    </row>
    <row r="5" spans="1:6">
      <c r="D5" s="901"/>
      <c r="E5" s="902"/>
      <c r="F5" s="902"/>
    </row>
    <row r="7" spans="1:6">
      <c r="A7" s="698"/>
      <c r="B7" s="811" t="s">
        <v>268</v>
      </c>
      <c r="C7" s="704"/>
    </row>
    <row r="8" spans="1:6" ht="42" customHeight="1" thickBot="1">
      <c r="A8" s="698"/>
      <c r="B8" s="704"/>
      <c r="C8" s="1630" t="s">
        <v>270</v>
      </c>
      <c r="D8" s="1630"/>
      <c r="E8" s="1630" t="s">
        <v>270</v>
      </c>
      <c r="F8" s="1630"/>
    </row>
    <row r="9" spans="1:6" ht="30">
      <c r="B9" s="903" t="s">
        <v>269</v>
      </c>
      <c r="C9" s="1627" t="s">
        <v>186</v>
      </c>
      <c r="D9" s="1627"/>
      <c r="E9" s="904" t="s">
        <v>3464</v>
      </c>
      <c r="F9" s="905"/>
    </row>
    <row r="10" spans="1:6" ht="17.25">
      <c r="B10" s="906" t="s">
        <v>271</v>
      </c>
      <c r="C10" s="907">
        <f>5600*(200.9/169.8-1)+5600</f>
        <v>6625.6772673733803</v>
      </c>
      <c r="D10" s="815" t="s">
        <v>272</v>
      </c>
      <c r="E10" s="908">
        <f>(C10*($E$4/$E$3-1))+C10</f>
        <v>8137.9479111238134</v>
      </c>
      <c r="F10" s="819" t="s">
        <v>319</v>
      </c>
    </row>
    <row r="11" spans="1:6">
      <c r="B11" s="909" t="s">
        <v>273</v>
      </c>
      <c r="C11" s="910"/>
      <c r="D11" s="815"/>
      <c r="E11" s="815"/>
      <c r="F11" s="819"/>
    </row>
    <row r="12" spans="1:6">
      <c r="B12" s="909"/>
      <c r="C12" s="910"/>
      <c r="D12" s="815"/>
      <c r="E12" s="815"/>
      <c r="F12" s="819"/>
    </row>
    <row r="13" spans="1:6">
      <c r="B13" s="911" t="s">
        <v>274</v>
      </c>
      <c r="C13" s="910"/>
      <c r="D13" s="815"/>
      <c r="E13" s="815"/>
      <c r="F13" s="819"/>
    </row>
    <row r="14" spans="1:6" ht="17.25">
      <c r="B14" s="909" t="s">
        <v>275</v>
      </c>
      <c r="C14" s="907">
        <f>1800*(200.9/169.6-1)+1800</f>
        <v>2132.1933962264152</v>
      </c>
      <c r="D14" s="815" t="s">
        <v>272</v>
      </c>
      <c r="E14" s="908">
        <f>(C14*($E$4/$E$3-1))+C14</f>
        <v>2618.8536046536833</v>
      </c>
      <c r="F14" s="819" t="s">
        <v>319</v>
      </c>
    </row>
    <row r="15" spans="1:6">
      <c r="B15" s="912"/>
      <c r="C15" s="907"/>
      <c r="D15" s="815"/>
      <c r="E15" s="815"/>
      <c r="F15" s="819"/>
    </row>
    <row r="16" spans="1:6">
      <c r="B16" s="820" t="s">
        <v>276</v>
      </c>
      <c r="C16" s="907"/>
      <c r="D16" s="815"/>
      <c r="E16" s="815"/>
      <c r="F16" s="819"/>
    </row>
    <row r="17" spans="1:6" ht="17.25">
      <c r="B17" s="814" t="s">
        <v>271</v>
      </c>
      <c r="C17" s="907">
        <f>3100*(200.9/169.6-1)+3100</f>
        <v>3672.1108490566039</v>
      </c>
      <c r="D17" s="815" t="s">
        <v>272</v>
      </c>
      <c r="E17" s="908">
        <f>(C17*($E$4/$E$3-1))+C17</f>
        <v>4510.247874681344</v>
      </c>
      <c r="F17" s="819" t="s">
        <v>319</v>
      </c>
    </row>
    <row r="18" spans="1:6" ht="13.5" customHeight="1">
      <c r="B18" s="814" t="s">
        <v>277</v>
      </c>
      <c r="C18" s="907"/>
      <c r="D18" s="815"/>
      <c r="E18" s="815"/>
      <c r="F18" s="819"/>
    </row>
    <row r="19" spans="1:6" ht="13.5" customHeight="1">
      <c r="B19" s="814"/>
      <c r="C19" s="907"/>
      <c r="D19" s="815"/>
      <c r="E19" s="815"/>
      <c r="F19" s="819"/>
    </row>
    <row r="20" spans="1:6" ht="13.5" customHeight="1">
      <c r="B20" s="820" t="s">
        <v>278</v>
      </c>
      <c r="C20" s="907"/>
      <c r="D20" s="815"/>
      <c r="E20" s="815"/>
      <c r="F20" s="819"/>
    </row>
    <row r="21" spans="1:6" ht="13.5" customHeight="1">
      <c r="B21" s="814" t="s">
        <v>275</v>
      </c>
      <c r="C21" s="907">
        <f>1400*(200.9/169.6-1)+1400</f>
        <v>1658.3726415094341</v>
      </c>
      <c r="D21" s="815" t="s">
        <v>272</v>
      </c>
      <c r="E21" s="908">
        <f>(C21*($E$4/$E$3-1))+C21</f>
        <v>2036.8861369528649</v>
      </c>
      <c r="F21" s="819" t="s">
        <v>319</v>
      </c>
    </row>
    <row r="22" spans="1:6" ht="13.5" customHeight="1">
      <c r="B22" s="814"/>
      <c r="C22" s="907"/>
      <c r="D22" s="815"/>
      <c r="E22" s="815"/>
      <c r="F22" s="819"/>
    </row>
    <row r="23" spans="1:6" ht="17.25">
      <c r="A23" s="698"/>
      <c r="B23" s="820" t="s">
        <v>279</v>
      </c>
      <c r="C23" s="907">
        <f>4800*(200.9/169.6-1)+4800</f>
        <v>5685.8490566037744</v>
      </c>
      <c r="D23" s="815" t="s">
        <v>272</v>
      </c>
      <c r="E23" s="908">
        <f>(C23*($E$4/$E$3-1))+C23</f>
        <v>6983.6096124098231</v>
      </c>
      <c r="F23" s="819" t="s">
        <v>319</v>
      </c>
    </row>
    <row r="24" spans="1:6">
      <c r="A24" s="698"/>
      <c r="B24" s="814" t="s">
        <v>271</v>
      </c>
      <c r="C24" s="907"/>
      <c r="D24" s="815"/>
      <c r="E24" s="815"/>
      <c r="F24" s="819"/>
    </row>
    <row r="25" spans="1:6">
      <c r="A25" s="698"/>
      <c r="B25" s="814" t="s">
        <v>280</v>
      </c>
      <c r="C25" s="907"/>
      <c r="D25" s="815"/>
      <c r="E25" s="815"/>
      <c r="F25" s="819"/>
    </row>
    <row r="26" spans="1:6">
      <c r="A26" s="698"/>
      <c r="B26" s="814"/>
      <c r="C26" s="907"/>
      <c r="D26" s="815"/>
      <c r="E26" s="815"/>
      <c r="F26" s="819"/>
    </row>
    <row r="27" spans="1:6">
      <c r="A27" s="698"/>
      <c r="B27" s="820" t="s">
        <v>281</v>
      </c>
      <c r="C27" s="907"/>
      <c r="D27" s="815"/>
      <c r="E27" s="815"/>
      <c r="F27" s="819"/>
    </row>
    <row r="28" spans="1:6" ht="17.25">
      <c r="A28" s="698"/>
      <c r="B28" s="814" t="s">
        <v>275</v>
      </c>
      <c r="C28" s="907">
        <f>1300*(200.9/169.6-1)+1300</f>
        <v>1539.9174528301887</v>
      </c>
      <c r="D28" s="815" t="s">
        <v>272</v>
      </c>
      <c r="E28" s="908">
        <f>(C28*($E$4/$E$3-1))+C28</f>
        <v>1891.3942700276602</v>
      </c>
      <c r="F28" s="819" t="s">
        <v>319</v>
      </c>
    </row>
    <row r="29" spans="1:6">
      <c r="B29" s="814"/>
      <c r="C29" s="907"/>
      <c r="D29" s="815"/>
      <c r="E29" s="815"/>
      <c r="F29" s="819"/>
    </row>
    <row r="30" spans="1:6" ht="17.25">
      <c r="B30" s="820" t="s">
        <v>240</v>
      </c>
      <c r="C30" s="907"/>
      <c r="D30" s="815"/>
      <c r="E30" s="908">
        <v>14642</v>
      </c>
      <c r="F30" s="819" t="s">
        <v>319</v>
      </c>
    </row>
    <row r="31" spans="1:6">
      <c r="B31" s="814" t="s">
        <v>241</v>
      </c>
      <c r="C31" s="907"/>
      <c r="D31" s="815"/>
    </row>
    <row r="32" spans="1:6">
      <c r="B32" s="814"/>
      <c r="C32" s="907"/>
      <c r="D32" s="815"/>
      <c r="E32" s="815"/>
      <c r="F32" s="819"/>
    </row>
    <row r="33" spans="1:6" ht="17.25">
      <c r="B33" s="820" t="s">
        <v>282</v>
      </c>
      <c r="C33" s="907">
        <f>1400*(200.9/169.6-1)+1400</f>
        <v>1658.3726415094341</v>
      </c>
      <c r="D33" s="815" t="s">
        <v>272</v>
      </c>
      <c r="E33" s="908">
        <f>(C33*($E$4/$E$3-1))+C33</f>
        <v>2036.8861369528649</v>
      </c>
      <c r="F33" s="819" t="s">
        <v>319</v>
      </c>
    </row>
    <row r="34" spans="1:6">
      <c r="B34" s="814" t="s">
        <v>283</v>
      </c>
      <c r="C34" s="907"/>
      <c r="D34" s="815"/>
      <c r="E34" s="815"/>
      <c r="F34" s="819"/>
    </row>
    <row r="35" spans="1:6">
      <c r="B35" s="814" t="s">
        <v>284</v>
      </c>
      <c r="C35" s="907"/>
      <c r="D35" s="815"/>
      <c r="E35" s="815"/>
      <c r="F35" s="819"/>
    </row>
    <row r="36" spans="1:6">
      <c r="B36" s="898"/>
      <c r="C36" s="907"/>
      <c r="D36" s="815"/>
      <c r="E36" s="815"/>
      <c r="F36" s="819"/>
    </row>
    <row r="37" spans="1:6" ht="11.45" customHeight="1">
      <c r="A37" s="698"/>
      <c r="B37" s="820" t="s">
        <v>285</v>
      </c>
      <c r="C37" s="908"/>
      <c r="D37" s="815"/>
      <c r="E37" s="815"/>
      <c r="F37" s="819"/>
    </row>
    <row r="38" spans="1:6" ht="17.25">
      <c r="B38" s="814" t="s">
        <v>286</v>
      </c>
      <c r="C38" s="908">
        <f>570*(200.9/169.6-1)+570</f>
        <v>675.19457547169816</v>
      </c>
      <c r="D38" s="815" t="s">
        <v>272</v>
      </c>
      <c r="E38" s="908">
        <f>(C38*($E$4/$E$3-1))+C38</f>
        <v>829.3036414736664</v>
      </c>
      <c r="F38" s="819" t="s">
        <v>319</v>
      </c>
    </row>
    <row r="39" spans="1:6">
      <c r="B39" s="814"/>
      <c r="C39" s="908"/>
      <c r="D39" s="815"/>
      <c r="E39" s="815"/>
      <c r="F39" s="819"/>
    </row>
    <row r="40" spans="1:6" ht="17.25">
      <c r="B40" s="820" t="s">
        <v>287</v>
      </c>
      <c r="C40" s="907">
        <f>205*(200.9/169.6-1)+205</f>
        <v>242.83313679245285</v>
      </c>
      <c r="D40" s="815" t="s">
        <v>272</v>
      </c>
      <c r="E40" s="908">
        <f>(C40*($E$4/$E$3-1))+C40</f>
        <v>298.25832719666948</v>
      </c>
      <c r="F40" s="819" t="s">
        <v>319</v>
      </c>
    </row>
    <row r="41" spans="1:6">
      <c r="B41" s="814" t="s">
        <v>288</v>
      </c>
      <c r="C41" s="815"/>
      <c r="D41" s="815"/>
      <c r="E41" s="815"/>
      <c r="F41" s="819"/>
    </row>
    <row r="42" spans="1:6">
      <c r="B42" s="814" t="s">
        <v>289</v>
      </c>
      <c r="C42" s="815"/>
      <c r="D42" s="815"/>
      <c r="E42" s="815"/>
      <c r="F42" s="819"/>
    </row>
    <row r="43" spans="1:6">
      <c r="B43" s="814"/>
      <c r="C43" s="815"/>
      <c r="D43" s="815"/>
      <c r="E43" s="815"/>
      <c r="F43" s="819"/>
    </row>
    <row r="44" spans="1:6" ht="16.5" customHeight="1">
      <c r="B44" s="820" t="s">
        <v>290</v>
      </c>
      <c r="C44" s="815"/>
      <c r="D44" s="815"/>
      <c r="E44" s="815"/>
      <c r="F44" s="819"/>
    </row>
    <row r="45" spans="1:6" ht="18" thickBot="1">
      <c r="A45" s="698"/>
      <c r="B45" s="816" t="s">
        <v>291</v>
      </c>
      <c r="C45" s="913">
        <f>170*(200.9/169.6-1)+170</f>
        <v>201.373820754717</v>
      </c>
      <c r="D45" s="817" t="s">
        <v>272</v>
      </c>
      <c r="E45" s="914">
        <f>(C45*($E$4/$E$3-1))+C45</f>
        <v>247.3361737728479</v>
      </c>
      <c r="F45" s="818" t="s">
        <v>319</v>
      </c>
    </row>
    <row r="46" spans="1:6">
      <c r="A46" s="698"/>
      <c r="C46" s="704"/>
      <c r="D46" s="704"/>
    </row>
    <row r="47" spans="1:6">
      <c r="C47" s="812"/>
    </row>
  </sheetData>
  <sheetProtection algorithmName="SHA-512" hashValue="7DRpvybXAKEZvOXf3BLKf/CUhcfwC2VFeDkYVrKu7nLwpAR/xE/FhjQX8jKa3029vudSnozBZgIxEfLkUdJ7dA==" saltValue="B4uiJbY9BhzbbNmd3z/+KQ==" spinCount="100000" sheet="1" objects="1" scenarios="1"/>
  <mergeCells count="5">
    <mergeCell ref="C9:D9"/>
    <mergeCell ref="B3:B4"/>
    <mergeCell ref="C2:E2"/>
    <mergeCell ref="E8:F8"/>
    <mergeCell ref="C8:D8"/>
  </mergeCells>
  <pageMargins left="0.7" right="0.7" top="0.75" bottom="0.75" header="0.3" footer="0.3"/>
  <pageSetup paperSize="8" scale="67" orientation="landscape" r:id="rId1"/>
  <headerFooter>
    <oddHeader>&amp;C&amp;"Calibri"&amp;10&amp;K000000Confidential&amp;1#</oddHeader>
    <oddFooter>&amp;R&amp;1#&amp;"Calibri"&amp;10&amp;K000000Confidential</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5E6FB-9D16-4573-9D92-D727A0927F99}">
  <sheetPr>
    <tabColor rgb="FF00B050"/>
  </sheetPr>
  <dimension ref="A1:E2897"/>
  <sheetViews>
    <sheetView view="pageBreakPreview" zoomScaleNormal="100" zoomScaleSheetLayoutView="100" workbookViewId="0">
      <pane ySplit="6" topLeftCell="A7" activePane="bottomLeft" state="frozen"/>
      <selection activeCell="K29" sqref="K29"/>
      <selection pane="bottomLeft" activeCell="E30" sqref="E30"/>
    </sheetView>
  </sheetViews>
  <sheetFormatPr defaultColWidth="9.140625" defaultRowHeight="15"/>
  <cols>
    <col min="1" max="1" width="4.28515625" style="1253" customWidth="1"/>
    <col min="2" max="2" width="57.28515625" style="1254" customWidth="1"/>
    <col min="3" max="3" width="12.42578125" style="1253" bestFit="1" customWidth="1"/>
    <col min="4" max="5" width="14.28515625" style="1316" bestFit="1" customWidth="1"/>
    <col min="6" max="6" width="13.42578125" style="1252" bestFit="1" customWidth="1"/>
    <col min="7" max="7" width="9.140625" style="1252"/>
    <col min="8" max="8" width="16.28515625" style="1252" bestFit="1" customWidth="1"/>
    <col min="9" max="9" width="10.42578125" style="1252" bestFit="1" customWidth="1"/>
    <col min="10" max="16384" width="9.140625" style="1252"/>
  </cols>
  <sheetData>
    <row r="1" spans="1:5" hidden="1"/>
    <row r="2" spans="1:5" hidden="1">
      <c r="B2" s="1255"/>
      <c r="C2" s="1631" t="s">
        <v>185</v>
      </c>
      <c r="D2" s="1631"/>
      <c r="E2" s="1252"/>
    </row>
    <row r="3" spans="1:5" hidden="1">
      <c r="B3" s="1632" t="str">
        <f>'New Bldg Rates'!M4</f>
        <v>Reference 2021 Q4 Table 2 - BER Building Cost Index</v>
      </c>
      <c r="C3" s="1256" t="s">
        <v>186</v>
      </c>
      <c r="D3" s="1333">
        <v>115.3</v>
      </c>
      <c r="E3" s="1333"/>
    </row>
    <row r="4" spans="1:5" hidden="1">
      <c r="B4" s="1632"/>
      <c r="C4" s="1256" t="s">
        <v>187</v>
      </c>
      <c r="D4" s="1333">
        <v>117.4</v>
      </c>
      <c r="E4" s="1333"/>
    </row>
    <row r="5" spans="1:5" hidden="1">
      <c r="E5" s="1364">
        <v>1.0629999999999999</v>
      </c>
    </row>
    <row r="6" spans="1:5">
      <c r="A6" s="1261"/>
      <c r="B6" s="1262" t="s">
        <v>1666</v>
      </c>
      <c r="C6" s="1263" t="s">
        <v>195</v>
      </c>
      <c r="D6" s="1315" t="s">
        <v>3453</v>
      </c>
      <c r="E6" s="1315" t="s">
        <v>3465</v>
      </c>
    </row>
    <row r="7" spans="1:5" s="1266" customFormat="1">
      <c r="A7" s="1317"/>
      <c r="B7" s="1318" t="s">
        <v>1684</v>
      </c>
      <c r="C7" s="1340"/>
      <c r="D7" s="1324"/>
      <c r="E7" s="1324"/>
    </row>
    <row r="8" spans="1:5">
      <c r="A8" s="1317"/>
      <c r="B8" s="1319"/>
      <c r="C8" s="1340"/>
      <c r="D8" s="1324"/>
      <c r="E8" s="1324"/>
    </row>
    <row r="9" spans="1:5">
      <c r="A9" s="1320"/>
      <c r="B9" s="1321" t="s">
        <v>1291</v>
      </c>
      <c r="C9" s="1341"/>
      <c r="D9" s="1322"/>
      <c r="E9" s="1322"/>
    </row>
    <row r="10" spans="1:5">
      <c r="A10" s="1320"/>
      <c r="B10" s="1321"/>
      <c r="C10" s="1341"/>
      <c r="D10" s="1322"/>
      <c r="E10" s="1322"/>
    </row>
    <row r="11" spans="1:5">
      <c r="A11" s="1320"/>
      <c r="B11" s="1323" t="s">
        <v>1292</v>
      </c>
      <c r="C11" s="1320" t="s">
        <v>1293</v>
      </c>
      <c r="D11" s="1334">
        <v>15.273200346921076</v>
      </c>
      <c r="E11" s="1334">
        <f>D11*$E$5</f>
        <v>16.235411968777104</v>
      </c>
    </row>
    <row r="12" spans="1:5">
      <c r="A12" s="1320"/>
      <c r="B12" s="1323" t="s">
        <v>1294</v>
      </c>
      <c r="C12" s="1320"/>
      <c r="D12" s="1324"/>
      <c r="E12" s="1324"/>
    </row>
    <row r="13" spans="1:5">
      <c r="A13" s="1320"/>
      <c r="B13" s="1323"/>
      <c r="C13" s="1320"/>
      <c r="D13" s="1324"/>
      <c r="E13" s="1324"/>
    </row>
    <row r="14" spans="1:5">
      <c r="A14" s="1320"/>
      <c r="B14" s="1323" t="s">
        <v>1295</v>
      </c>
      <c r="C14" s="1320" t="s">
        <v>1293</v>
      </c>
      <c r="D14" s="1334">
        <v>15.273200346921076</v>
      </c>
      <c r="E14" s="1362">
        <f>D14*$E$5</f>
        <v>16.235411968777104</v>
      </c>
    </row>
    <row r="15" spans="1:5">
      <c r="A15" s="1320"/>
      <c r="B15" s="1323" t="s">
        <v>1296</v>
      </c>
      <c r="C15" s="1320"/>
      <c r="D15" s="1324"/>
      <c r="E15" s="1324"/>
    </row>
    <row r="16" spans="1:5">
      <c r="A16" s="1320"/>
      <c r="B16" s="1323"/>
      <c r="C16" s="1320"/>
      <c r="D16" s="1324"/>
      <c r="E16" s="1324"/>
    </row>
    <row r="17" spans="1:5">
      <c r="A17" s="1317"/>
      <c r="B17" s="1325" t="s">
        <v>1744</v>
      </c>
      <c r="C17" s="1340"/>
      <c r="D17" s="1335"/>
      <c r="E17" s="1335"/>
    </row>
    <row r="18" spans="1:5">
      <c r="A18" s="1317"/>
      <c r="B18" s="1319"/>
      <c r="C18" s="1340"/>
      <c r="D18" s="1324"/>
      <c r="E18" s="1324"/>
    </row>
    <row r="19" spans="1:5">
      <c r="A19" s="1317"/>
      <c r="B19" s="1325" t="s">
        <v>1745</v>
      </c>
      <c r="C19" s="1340"/>
      <c r="D19" s="1335"/>
      <c r="E19" s="1335"/>
    </row>
    <row r="20" spans="1:5">
      <c r="A20" s="1317"/>
      <c r="B20" s="1319"/>
      <c r="C20" s="1340"/>
      <c r="D20" s="1335"/>
      <c r="E20" s="1335"/>
    </row>
    <row r="21" spans="1:5">
      <c r="A21" s="1317"/>
      <c r="B21" s="1319" t="s">
        <v>1746</v>
      </c>
      <c r="C21" s="1340" t="s">
        <v>1293</v>
      </c>
      <c r="D21" s="1335">
        <v>120</v>
      </c>
      <c r="E21" s="1362">
        <f>D21*$E$5</f>
        <v>127.55999999999999</v>
      </c>
    </row>
    <row r="22" spans="1:5">
      <c r="A22" s="1317"/>
      <c r="B22" s="1319"/>
      <c r="C22" s="1340"/>
      <c r="D22" s="1324"/>
      <c r="E22" s="1324"/>
    </row>
    <row r="23" spans="1:5">
      <c r="A23" s="1317"/>
      <c r="B23" s="1325" t="s">
        <v>1685</v>
      </c>
      <c r="C23" s="1340"/>
      <c r="D23" s="1324"/>
      <c r="E23" s="1324"/>
    </row>
    <row r="24" spans="1:5">
      <c r="A24" s="1317"/>
      <c r="B24" s="1319"/>
      <c r="C24" s="1340"/>
      <c r="D24" s="1324"/>
      <c r="E24" s="1324"/>
    </row>
    <row r="25" spans="1:5">
      <c r="A25" s="1317"/>
      <c r="B25" s="1319" t="s">
        <v>1687</v>
      </c>
      <c r="C25" s="1340" t="s">
        <v>1293</v>
      </c>
      <c r="D25" s="1335">
        <v>250</v>
      </c>
      <c r="E25" s="1362">
        <f>D25*$E$5</f>
        <v>265.75</v>
      </c>
    </row>
    <row r="26" spans="1:5">
      <c r="A26" s="1317"/>
      <c r="B26" s="1319"/>
      <c r="C26" s="1340"/>
      <c r="D26" s="1335"/>
      <c r="E26" s="1335"/>
    </row>
    <row r="27" spans="1:5">
      <c r="A27" s="1317"/>
      <c r="B27" s="1319" t="s">
        <v>1689</v>
      </c>
      <c r="C27" s="1340" t="s">
        <v>1293</v>
      </c>
      <c r="D27" s="1335">
        <v>285</v>
      </c>
      <c r="E27" s="1362">
        <f>D27*$E$5</f>
        <v>302.95499999999998</v>
      </c>
    </row>
    <row r="28" spans="1:5">
      <c r="A28" s="1317"/>
      <c r="B28" s="1319"/>
      <c r="C28" s="1340"/>
      <c r="D28" s="1335"/>
      <c r="E28" s="1335"/>
    </row>
    <row r="29" spans="1:5">
      <c r="A29" s="1320"/>
      <c r="B29" s="1321" t="s">
        <v>1297</v>
      </c>
      <c r="C29" s="1341"/>
      <c r="D29" s="1322"/>
      <c r="E29" s="1322"/>
    </row>
    <row r="30" spans="1:5">
      <c r="A30" s="1320"/>
      <c r="B30" s="1321"/>
      <c r="C30" s="1341"/>
      <c r="D30" s="1322"/>
      <c r="E30" s="1322"/>
    </row>
    <row r="31" spans="1:5">
      <c r="A31" s="1320"/>
      <c r="B31" s="1323" t="s">
        <v>1298</v>
      </c>
      <c r="C31" s="1320" t="s">
        <v>1299</v>
      </c>
      <c r="D31" s="1334">
        <v>71.274934952298352</v>
      </c>
      <c r="E31" s="1362">
        <f>D31*$E$5</f>
        <v>75.765255854293144</v>
      </c>
    </row>
    <row r="32" spans="1:5">
      <c r="A32" s="1317"/>
      <c r="B32" s="1319"/>
      <c r="C32" s="1340"/>
      <c r="D32" s="1335"/>
      <c r="E32" s="1335"/>
    </row>
    <row r="33" spans="1:5" ht="26.25">
      <c r="A33" s="1317"/>
      <c r="B33" s="1325" t="s">
        <v>1690</v>
      </c>
      <c r="C33" s="1340"/>
      <c r="D33" s="1335"/>
      <c r="E33" s="1335"/>
    </row>
    <row r="34" spans="1:5">
      <c r="A34" s="1317"/>
      <c r="B34" s="1319"/>
      <c r="C34" s="1340"/>
      <c r="D34" s="1335"/>
      <c r="E34" s="1335"/>
    </row>
    <row r="35" spans="1:5" ht="30">
      <c r="A35" s="1317"/>
      <c r="B35" s="1319" t="s">
        <v>1692</v>
      </c>
      <c r="C35" s="1340" t="s">
        <v>217</v>
      </c>
      <c r="D35" s="1335">
        <v>330</v>
      </c>
      <c r="E35" s="1362">
        <f>D35*$E$5</f>
        <v>350.78999999999996</v>
      </c>
    </row>
    <row r="36" spans="1:5">
      <c r="A36" s="1317"/>
      <c r="B36" s="1319"/>
      <c r="C36" s="1340"/>
      <c r="D36" s="1335"/>
      <c r="E36" s="1335"/>
    </row>
    <row r="37" spans="1:5" ht="30">
      <c r="A37" s="1317"/>
      <c r="B37" s="1319" t="s">
        <v>1694</v>
      </c>
      <c r="C37" s="1340" t="s">
        <v>217</v>
      </c>
      <c r="D37" s="1335">
        <v>565</v>
      </c>
      <c r="E37" s="1362">
        <f>D37*$E$5</f>
        <v>600.59499999999991</v>
      </c>
    </row>
    <row r="38" spans="1:5">
      <c r="A38" s="1317"/>
      <c r="B38" s="1319"/>
      <c r="C38" s="1340"/>
      <c r="D38" s="1335"/>
      <c r="E38" s="1335"/>
    </row>
    <row r="39" spans="1:5" ht="30">
      <c r="A39" s="1317"/>
      <c r="B39" s="1319" t="s">
        <v>1696</v>
      </c>
      <c r="C39" s="1340" t="s">
        <v>217</v>
      </c>
      <c r="D39" s="1335">
        <v>785</v>
      </c>
      <c r="E39" s="1362">
        <f>D39*$E$5</f>
        <v>834.45499999999993</v>
      </c>
    </row>
    <row r="40" spans="1:5">
      <c r="A40" s="1317"/>
      <c r="B40" s="1319"/>
      <c r="C40" s="1340"/>
      <c r="D40" s="1335"/>
      <c r="E40" s="1335"/>
    </row>
    <row r="41" spans="1:5" ht="30">
      <c r="A41" s="1317"/>
      <c r="B41" s="1319" t="s">
        <v>1698</v>
      </c>
      <c r="C41" s="1340" t="s">
        <v>217</v>
      </c>
      <c r="D41" s="1335">
        <v>915</v>
      </c>
      <c r="E41" s="1362">
        <f>D41*$E$5</f>
        <v>972.64499999999998</v>
      </c>
    </row>
    <row r="42" spans="1:5">
      <c r="A42" s="1317"/>
      <c r="B42" s="1319"/>
      <c r="C42" s="1340"/>
      <c r="D42" s="1335"/>
      <c r="E42" s="1335"/>
    </row>
    <row r="43" spans="1:5" ht="30">
      <c r="A43" s="1317"/>
      <c r="B43" s="1319" t="s">
        <v>1700</v>
      </c>
      <c r="C43" s="1340" t="s">
        <v>217</v>
      </c>
      <c r="D43" s="1335">
        <v>945</v>
      </c>
      <c r="E43" s="1362">
        <f>D43*$E$5</f>
        <v>1004.535</v>
      </c>
    </row>
    <row r="44" spans="1:5">
      <c r="A44" s="1317"/>
      <c r="B44" s="1319"/>
      <c r="C44" s="1340"/>
      <c r="D44" s="1335"/>
      <c r="E44" s="1335"/>
    </row>
    <row r="45" spans="1:5" ht="30">
      <c r="A45" s="1317"/>
      <c r="B45" s="1319" t="s">
        <v>1702</v>
      </c>
      <c r="C45" s="1340" t="s">
        <v>217</v>
      </c>
      <c r="D45" s="1335">
        <v>1050</v>
      </c>
      <c r="E45" s="1362">
        <f>D45*$E$5</f>
        <v>1116.1499999999999</v>
      </c>
    </row>
    <row r="46" spans="1:5">
      <c r="A46" s="1317"/>
      <c r="B46" s="1319"/>
      <c r="C46" s="1340"/>
      <c r="D46" s="1335"/>
      <c r="E46" s="1335"/>
    </row>
    <row r="47" spans="1:5" ht="30">
      <c r="A47" s="1317"/>
      <c r="B47" s="1319" t="s">
        <v>1704</v>
      </c>
      <c r="C47" s="1340" t="s">
        <v>217</v>
      </c>
      <c r="D47" s="1335">
        <v>2500</v>
      </c>
      <c r="E47" s="1362">
        <f>D47*$E$5</f>
        <v>2657.5</v>
      </c>
    </row>
    <row r="48" spans="1:5">
      <c r="A48" s="1317"/>
      <c r="B48" s="1319"/>
      <c r="C48" s="1340"/>
      <c r="D48" s="1335"/>
      <c r="E48" s="1335"/>
    </row>
    <row r="49" spans="1:5" ht="26.25">
      <c r="A49" s="1317"/>
      <c r="B49" s="1325" t="s">
        <v>1705</v>
      </c>
      <c r="C49" s="1340"/>
      <c r="D49" s="1335"/>
      <c r="E49" s="1335"/>
    </row>
    <row r="50" spans="1:5">
      <c r="A50" s="1317"/>
      <c r="B50" s="1319"/>
      <c r="C50" s="1340"/>
      <c r="D50" s="1335"/>
      <c r="E50" s="1335"/>
    </row>
    <row r="51" spans="1:5" ht="30">
      <c r="A51" s="1317"/>
      <c r="B51" s="1319" t="s">
        <v>1707</v>
      </c>
      <c r="C51" s="1340" t="s">
        <v>1293</v>
      </c>
      <c r="D51" s="1335">
        <v>85</v>
      </c>
      <c r="E51" s="1362">
        <f>D51*$E$5</f>
        <v>90.35499999999999</v>
      </c>
    </row>
    <row r="52" spans="1:5">
      <c r="A52" s="1317"/>
      <c r="B52" s="1319"/>
      <c r="C52" s="1340"/>
      <c r="D52" s="1335"/>
      <c r="E52" s="1335"/>
    </row>
    <row r="53" spans="1:5" ht="45">
      <c r="A53" s="1317"/>
      <c r="B53" s="1319" t="s">
        <v>1709</v>
      </c>
      <c r="C53" s="1340" t="s">
        <v>1293</v>
      </c>
      <c r="D53" s="1335">
        <v>250</v>
      </c>
      <c r="E53" s="1362">
        <f>D53*$E$5</f>
        <v>265.75</v>
      </c>
    </row>
    <row r="54" spans="1:5">
      <c r="A54" s="1317"/>
      <c r="B54" s="1319"/>
      <c r="C54" s="1340"/>
      <c r="D54" s="1335"/>
      <c r="E54" s="1335"/>
    </row>
    <row r="55" spans="1:5" ht="30">
      <c r="A55" s="1317"/>
      <c r="B55" s="1319" t="s">
        <v>1711</v>
      </c>
      <c r="C55" s="1340" t="s">
        <v>215</v>
      </c>
      <c r="D55" s="1335">
        <v>125</v>
      </c>
      <c r="E55" s="1362">
        <f>D55*$E$5</f>
        <v>132.875</v>
      </c>
    </row>
    <row r="56" spans="1:5">
      <c r="A56" s="1317"/>
      <c r="B56" s="1319"/>
      <c r="C56" s="1340"/>
      <c r="D56" s="1335"/>
      <c r="E56" s="1335"/>
    </row>
    <row r="57" spans="1:5" ht="30">
      <c r="A57" s="1317"/>
      <c r="B57" s="1319" t="s">
        <v>1713</v>
      </c>
      <c r="C57" s="1340" t="s">
        <v>215</v>
      </c>
      <c r="D57" s="1335">
        <v>125</v>
      </c>
      <c r="E57" s="1362">
        <f>D57*$E$5</f>
        <v>132.875</v>
      </c>
    </row>
    <row r="58" spans="1:5">
      <c r="A58" s="1317"/>
      <c r="B58" s="1319"/>
      <c r="C58" s="1340"/>
      <c r="D58" s="1335"/>
      <c r="E58" s="1335"/>
    </row>
    <row r="59" spans="1:5">
      <c r="A59" s="1317"/>
      <c r="B59" s="1325" t="s">
        <v>1714</v>
      </c>
      <c r="C59" s="1340"/>
      <c r="D59" s="1335"/>
      <c r="E59" s="1335"/>
    </row>
    <row r="60" spans="1:5">
      <c r="A60" s="1317"/>
      <c r="B60" s="1319"/>
      <c r="C60" s="1340"/>
      <c r="D60" s="1335"/>
      <c r="E60" s="1335"/>
    </row>
    <row r="61" spans="1:5" ht="45">
      <c r="A61" s="1317"/>
      <c r="B61" s="1319" t="s">
        <v>1715</v>
      </c>
      <c r="C61" s="1340" t="s">
        <v>215</v>
      </c>
      <c r="D61" s="1335">
        <v>2000</v>
      </c>
      <c r="E61" s="1362">
        <f>D61*$E$5</f>
        <v>2126</v>
      </c>
    </row>
    <row r="62" spans="1:5">
      <c r="A62" s="1317"/>
      <c r="B62" s="1319"/>
      <c r="C62" s="1340"/>
      <c r="D62" s="1335"/>
      <c r="E62" s="1335"/>
    </row>
    <row r="63" spans="1:5" ht="45">
      <c r="A63" s="1317"/>
      <c r="B63" s="1319" t="s">
        <v>1716</v>
      </c>
      <c r="C63" s="1340" t="s">
        <v>215</v>
      </c>
      <c r="D63" s="1335">
        <v>2000</v>
      </c>
      <c r="E63" s="1362">
        <f>D63*$E$5</f>
        <v>2126</v>
      </c>
    </row>
    <row r="64" spans="1:5">
      <c r="A64" s="1317"/>
      <c r="B64" s="1319"/>
      <c r="C64" s="1340"/>
      <c r="D64" s="1335"/>
      <c r="E64" s="1335"/>
    </row>
    <row r="65" spans="1:5">
      <c r="A65" s="1317"/>
      <c r="B65" s="1319" t="s">
        <v>1717</v>
      </c>
      <c r="C65" s="1340" t="s">
        <v>1293</v>
      </c>
      <c r="D65" s="1335">
        <v>200</v>
      </c>
      <c r="E65" s="1362">
        <f>D65*$E$5</f>
        <v>212.6</v>
      </c>
    </row>
    <row r="66" spans="1:5">
      <c r="A66" s="1317"/>
      <c r="B66" s="1319"/>
      <c r="C66" s="1340"/>
      <c r="D66" s="1335"/>
      <c r="E66" s="1335"/>
    </row>
    <row r="67" spans="1:5">
      <c r="A67" s="1317"/>
      <c r="B67" s="1325" t="s">
        <v>1718</v>
      </c>
      <c r="C67" s="1340"/>
      <c r="D67" s="1335"/>
      <c r="E67" s="1335"/>
    </row>
    <row r="68" spans="1:5">
      <c r="A68" s="1317"/>
      <c r="B68" s="1319"/>
      <c r="C68" s="1340"/>
      <c r="D68" s="1335"/>
      <c r="E68" s="1335"/>
    </row>
    <row r="69" spans="1:5" ht="30">
      <c r="A69" s="1317"/>
      <c r="B69" s="1319" t="s">
        <v>1719</v>
      </c>
      <c r="C69" s="1340" t="s">
        <v>217</v>
      </c>
      <c r="D69" s="1335">
        <v>5000</v>
      </c>
      <c r="E69" s="1362">
        <f>D69*$E$5</f>
        <v>5315</v>
      </c>
    </row>
    <row r="70" spans="1:5">
      <c r="A70" s="1317"/>
      <c r="B70" s="1319"/>
      <c r="C70" s="1340"/>
      <c r="D70" s="1335"/>
      <c r="E70" s="1335"/>
    </row>
    <row r="71" spans="1:5" ht="30">
      <c r="A71" s="1317"/>
      <c r="B71" s="1319" t="s">
        <v>1720</v>
      </c>
      <c r="C71" s="1340" t="s">
        <v>217</v>
      </c>
      <c r="D71" s="1335">
        <v>5000</v>
      </c>
      <c r="E71" s="1362">
        <f>D71*$E$5</f>
        <v>5315</v>
      </c>
    </row>
    <row r="72" spans="1:5">
      <c r="A72" s="1317"/>
      <c r="B72" s="1319"/>
      <c r="C72" s="1340"/>
      <c r="D72" s="1335"/>
      <c r="E72" s="1335"/>
    </row>
    <row r="73" spans="1:5" ht="30">
      <c r="A73" s="1317"/>
      <c r="B73" s="1319" t="s">
        <v>1721</v>
      </c>
      <c r="C73" s="1340" t="s">
        <v>217</v>
      </c>
      <c r="D73" s="1335">
        <v>5000</v>
      </c>
      <c r="E73" s="1362">
        <f>D73*$E$5</f>
        <v>5315</v>
      </c>
    </row>
    <row r="74" spans="1:5">
      <c r="A74" s="1317"/>
      <c r="B74" s="1319"/>
      <c r="C74" s="1340"/>
      <c r="D74" s="1335"/>
      <c r="E74" s="1335"/>
    </row>
    <row r="75" spans="1:5" ht="45">
      <c r="A75" s="1317"/>
      <c r="B75" s="1319" t="s">
        <v>1722</v>
      </c>
      <c r="C75" s="1340" t="s">
        <v>217</v>
      </c>
      <c r="D75" s="1335">
        <v>5000</v>
      </c>
      <c r="E75" s="1362">
        <f>D75*$E$5</f>
        <v>5315</v>
      </c>
    </row>
    <row r="76" spans="1:5">
      <c r="A76" s="1317"/>
      <c r="B76" s="1319"/>
      <c r="C76" s="1340"/>
      <c r="D76" s="1335"/>
      <c r="E76" s="1335"/>
    </row>
    <row r="77" spans="1:5" ht="45">
      <c r="A77" s="1317"/>
      <c r="B77" s="1319" t="s">
        <v>1723</v>
      </c>
      <c r="C77" s="1340" t="s">
        <v>217</v>
      </c>
      <c r="D77" s="1335">
        <v>5000</v>
      </c>
      <c r="E77" s="1362">
        <f>D77*$E$5</f>
        <v>5315</v>
      </c>
    </row>
    <row r="78" spans="1:5">
      <c r="A78" s="1317"/>
      <c r="B78" s="1319"/>
      <c r="C78" s="1340"/>
      <c r="D78" s="1335"/>
      <c r="E78" s="1335"/>
    </row>
    <row r="79" spans="1:5" ht="45">
      <c r="A79" s="1317"/>
      <c r="B79" s="1319" t="s">
        <v>1724</v>
      </c>
      <c r="C79" s="1340" t="s">
        <v>217</v>
      </c>
      <c r="D79" s="1335">
        <v>5000</v>
      </c>
      <c r="E79" s="1362">
        <f>D79*$E$5</f>
        <v>5315</v>
      </c>
    </row>
    <row r="80" spans="1:5">
      <c r="A80" s="1317"/>
      <c r="B80" s="1319"/>
      <c r="C80" s="1340"/>
      <c r="D80" s="1335"/>
      <c r="E80" s="1335"/>
    </row>
    <row r="81" spans="1:5" ht="45">
      <c r="A81" s="1317"/>
      <c r="B81" s="1319" t="s">
        <v>1725</v>
      </c>
      <c r="C81" s="1340" t="s">
        <v>217</v>
      </c>
      <c r="D81" s="1335">
        <v>5000</v>
      </c>
      <c r="E81" s="1362">
        <f>D81*$E$5</f>
        <v>5315</v>
      </c>
    </row>
    <row r="82" spans="1:5">
      <c r="A82" s="1317"/>
      <c r="B82" s="1319"/>
      <c r="C82" s="1340"/>
      <c r="D82" s="1335"/>
      <c r="E82" s="1335"/>
    </row>
    <row r="83" spans="1:5" ht="45">
      <c r="A83" s="1317"/>
      <c r="B83" s="1319" t="s">
        <v>1726</v>
      </c>
      <c r="C83" s="1340" t="s">
        <v>217</v>
      </c>
      <c r="D83" s="1335">
        <v>2500</v>
      </c>
      <c r="E83" s="1362">
        <f>D83*$E$5</f>
        <v>2657.5</v>
      </c>
    </row>
    <row r="84" spans="1:5">
      <c r="A84" s="1317"/>
      <c r="B84" s="1319"/>
      <c r="C84" s="1340"/>
      <c r="D84" s="1335"/>
      <c r="E84" s="1335"/>
    </row>
    <row r="85" spans="1:5" ht="45">
      <c r="A85" s="1317"/>
      <c r="B85" s="1319" t="s">
        <v>1727</v>
      </c>
      <c r="C85" s="1340" t="s">
        <v>217</v>
      </c>
      <c r="D85" s="1335">
        <v>2500</v>
      </c>
      <c r="E85" s="1362">
        <f>D85*$E$5</f>
        <v>2657.5</v>
      </c>
    </row>
    <row r="86" spans="1:5">
      <c r="A86" s="1317"/>
      <c r="B86" s="1319"/>
      <c r="C86" s="1340"/>
      <c r="D86" s="1335"/>
      <c r="E86" s="1335"/>
    </row>
    <row r="87" spans="1:5" ht="30">
      <c r="A87" s="1317"/>
      <c r="B87" s="1319" t="s">
        <v>1728</v>
      </c>
      <c r="C87" s="1340" t="s">
        <v>217</v>
      </c>
      <c r="D87" s="1335">
        <v>2500</v>
      </c>
      <c r="E87" s="1362">
        <f>D87*$E$5</f>
        <v>2657.5</v>
      </c>
    </row>
    <row r="88" spans="1:5">
      <c r="A88" s="1317"/>
      <c r="B88" s="1319"/>
      <c r="C88" s="1340"/>
      <c r="D88" s="1335"/>
      <c r="E88" s="1335"/>
    </row>
    <row r="89" spans="1:5" ht="30">
      <c r="A89" s="1317"/>
      <c r="B89" s="1319" t="s">
        <v>1729</v>
      </c>
      <c r="C89" s="1340" t="s">
        <v>215</v>
      </c>
      <c r="D89" s="1335">
        <v>125</v>
      </c>
      <c r="E89" s="1362">
        <f>D89*$E$5</f>
        <v>132.875</v>
      </c>
    </row>
    <row r="90" spans="1:5">
      <c r="A90" s="1317"/>
      <c r="B90" s="1319"/>
      <c r="C90" s="1340"/>
      <c r="D90" s="1335"/>
      <c r="E90" s="1335"/>
    </row>
    <row r="91" spans="1:5" ht="30">
      <c r="A91" s="1317"/>
      <c r="B91" s="1319" t="s">
        <v>1730</v>
      </c>
      <c r="C91" s="1340" t="s">
        <v>215</v>
      </c>
      <c r="D91" s="1335">
        <v>300</v>
      </c>
      <c r="E91" s="1362">
        <f>D91*$E$5</f>
        <v>318.89999999999998</v>
      </c>
    </row>
    <row r="92" spans="1:5">
      <c r="A92" s="1317"/>
      <c r="B92" s="1319"/>
      <c r="C92" s="1340"/>
      <c r="D92" s="1335"/>
      <c r="E92" s="1335"/>
    </row>
    <row r="93" spans="1:5" ht="45">
      <c r="A93" s="1317"/>
      <c r="B93" s="1319" t="s">
        <v>1731</v>
      </c>
      <c r="C93" s="1340" t="s">
        <v>215</v>
      </c>
      <c r="D93" s="1335">
        <v>400</v>
      </c>
      <c r="E93" s="1362">
        <f>D93*$E$5</f>
        <v>425.2</v>
      </c>
    </row>
    <row r="94" spans="1:5">
      <c r="A94" s="1317"/>
      <c r="B94" s="1319"/>
      <c r="C94" s="1340"/>
      <c r="D94" s="1335"/>
      <c r="E94" s="1335"/>
    </row>
    <row r="95" spans="1:5" ht="30">
      <c r="A95" s="1317"/>
      <c r="B95" s="1319" t="s">
        <v>1732</v>
      </c>
      <c r="C95" s="1340" t="s">
        <v>217</v>
      </c>
      <c r="D95" s="1335">
        <v>1000</v>
      </c>
      <c r="E95" s="1362">
        <f>D95*$E$5</f>
        <v>1063</v>
      </c>
    </row>
    <row r="96" spans="1:5">
      <c r="A96" s="1317"/>
      <c r="B96" s="1319"/>
      <c r="C96" s="1340"/>
      <c r="D96" s="1335"/>
      <c r="E96" s="1335"/>
    </row>
    <row r="97" spans="1:5" ht="60">
      <c r="A97" s="1317"/>
      <c r="B97" s="1319" t="s">
        <v>1733</v>
      </c>
      <c r="C97" s="1340" t="s">
        <v>217</v>
      </c>
      <c r="D97" s="1335">
        <v>1000</v>
      </c>
      <c r="E97" s="1362">
        <f>D97*$E$5</f>
        <v>1063</v>
      </c>
    </row>
    <row r="98" spans="1:5">
      <c r="A98" s="1317"/>
      <c r="B98" s="1319"/>
      <c r="C98" s="1340"/>
      <c r="D98" s="1335"/>
      <c r="E98" s="1335"/>
    </row>
    <row r="99" spans="1:5" ht="60">
      <c r="A99" s="1317"/>
      <c r="B99" s="1319" t="s">
        <v>1734</v>
      </c>
      <c r="C99" s="1340" t="s">
        <v>217</v>
      </c>
      <c r="D99" s="1335">
        <v>750</v>
      </c>
      <c r="E99" s="1362">
        <f>D99*$E$5</f>
        <v>797.25</v>
      </c>
    </row>
    <row r="100" spans="1:5">
      <c r="A100" s="1317"/>
      <c r="B100" s="1319"/>
      <c r="C100" s="1340"/>
      <c r="D100" s="1335"/>
      <c r="E100" s="1335"/>
    </row>
    <row r="101" spans="1:5" ht="60">
      <c r="A101" s="1317"/>
      <c r="B101" s="1319" t="s">
        <v>1735</v>
      </c>
      <c r="C101" s="1340" t="s">
        <v>217</v>
      </c>
      <c r="D101" s="1335">
        <v>2500</v>
      </c>
      <c r="E101" s="1362">
        <f>D101*$E$5</f>
        <v>2657.5</v>
      </c>
    </row>
    <row r="102" spans="1:5">
      <c r="A102" s="1317"/>
      <c r="B102" s="1319"/>
      <c r="C102" s="1340"/>
      <c r="D102" s="1335"/>
      <c r="E102" s="1335"/>
    </row>
    <row r="103" spans="1:5" ht="39">
      <c r="A103" s="1317"/>
      <c r="B103" s="1325" t="s">
        <v>1736</v>
      </c>
      <c r="C103" s="1340"/>
      <c r="D103" s="1335"/>
      <c r="E103" s="1335"/>
    </row>
    <row r="104" spans="1:5">
      <c r="A104" s="1317"/>
      <c r="B104" s="1319"/>
      <c r="C104" s="1340"/>
      <c r="D104" s="1335"/>
      <c r="E104" s="1335"/>
    </row>
    <row r="105" spans="1:5">
      <c r="A105" s="1317"/>
      <c r="B105" s="1319" t="s">
        <v>1737</v>
      </c>
      <c r="C105" s="1340" t="s">
        <v>1293</v>
      </c>
      <c r="D105" s="1335">
        <v>100</v>
      </c>
      <c r="E105" s="1362">
        <f>D105*$E$5</f>
        <v>106.3</v>
      </c>
    </row>
    <row r="106" spans="1:5">
      <c r="A106" s="1317"/>
      <c r="B106" s="1319"/>
      <c r="C106" s="1340"/>
      <c r="D106" s="1335"/>
      <c r="E106" s="1335"/>
    </row>
    <row r="107" spans="1:5" ht="39">
      <c r="A107" s="1317"/>
      <c r="B107" s="1325" t="s">
        <v>1738</v>
      </c>
      <c r="C107" s="1340"/>
      <c r="D107" s="1335"/>
      <c r="E107" s="1335"/>
    </row>
    <row r="108" spans="1:5">
      <c r="A108" s="1317"/>
      <c r="B108" s="1319"/>
      <c r="C108" s="1340"/>
      <c r="D108" s="1335"/>
      <c r="E108" s="1335"/>
    </row>
    <row r="109" spans="1:5">
      <c r="A109" s="1317"/>
      <c r="B109" s="1319" t="s">
        <v>1739</v>
      </c>
      <c r="C109" s="1340" t="s">
        <v>217</v>
      </c>
      <c r="D109" s="1335">
        <v>500</v>
      </c>
      <c r="E109" s="1362">
        <f>D109*$E$5</f>
        <v>531.5</v>
      </c>
    </row>
    <row r="110" spans="1:5">
      <c r="A110" s="1317"/>
      <c r="B110" s="1319"/>
      <c r="C110" s="1340"/>
      <c r="D110" s="1335"/>
      <c r="E110" s="1335"/>
    </row>
    <row r="111" spans="1:5">
      <c r="A111" s="1317"/>
      <c r="B111" s="1319" t="s">
        <v>1740</v>
      </c>
      <c r="C111" s="1340" t="s">
        <v>217</v>
      </c>
      <c r="D111" s="1335">
        <v>500</v>
      </c>
      <c r="E111" s="1362">
        <f>D111*$E$5</f>
        <v>531.5</v>
      </c>
    </row>
    <row r="112" spans="1:5">
      <c r="A112" s="1317"/>
      <c r="B112" s="1319"/>
      <c r="C112" s="1340"/>
      <c r="D112" s="1335"/>
      <c r="E112" s="1335"/>
    </row>
    <row r="113" spans="1:5">
      <c r="A113" s="1317"/>
      <c r="B113" s="1325" t="s">
        <v>1741</v>
      </c>
      <c r="C113" s="1340"/>
      <c r="D113" s="1335"/>
      <c r="E113" s="1335"/>
    </row>
    <row r="114" spans="1:5">
      <c r="A114" s="1317"/>
      <c r="B114" s="1319"/>
      <c r="C114" s="1340"/>
      <c r="D114" s="1335"/>
      <c r="E114" s="1335"/>
    </row>
    <row r="115" spans="1:5" ht="45">
      <c r="A115" s="1317"/>
      <c r="B115" s="1319" t="s">
        <v>1742</v>
      </c>
      <c r="C115" s="1340" t="s">
        <v>1293</v>
      </c>
      <c r="D115" s="1335">
        <v>500</v>
      </c>
      <c r="E115" s="1362">
        <f>D115*$E$5</f>
        <v>531.5</v>
      </c>
    </row>
    <row r="116" spans="1:5">
      <c r="A116" s="1317"/>
      <c r="B116" s="1319"/>
      <c r="C116" s="1340"/>
      <c r="D116" s="1335"/>
      <c r="E116" s="1335"/>
    </row>
    <row r="117" spans="1:5" ht="30">
      <c r="A117" s="1317"/>
      <c r="B117" s="1319" t="s">
        <v>1743</v>
      </c>
      <c r="C117" s="1340" t="s">
        <v>1293</v>
      </c>
      <c r="D117" s="1335">
        <v>500</v>
      </c>
      <c r="E117" s="1362">
        <f>D117*$E$5</f>
        <v>531.5</v>
      </c>
    </row>
    <row r="118" spans="1:5">
      <c r="A118" s="1317"/>
      <c r="B118" s="1319"/>
      <c r="C118" s="1340"/>
      <c r="D118" s="1335"/>
      <c r="E118" s="1335"/>
    </row>
    <row r="119" spans="1:5">
      <c r="A119" s="1320"/>
      <c r="B119" s="1321" t="s">
        <v>1319</v>
      </c>
      <c r="C119" s="1341"/>
      <c r="D119" s="1322"/>
      <c r="E119" s="1322"/>
    </row>
    <row r="120" spans="1:5">
      <c r="A120" s="1320"/>
      <c r="B120" s="1321"/>
      <c r="C120" s="1341"/>
      <c r="D120" s="1322"/>
      <c r="E120" s="1322"/>
    </row>
    <row r="121" spans="1:5">
      <c r="A121" s="1320"/>
      <c r="B121" s="1321" t="s">
        <v>1320</v>
      </c>
      <c r="C121" s="1341"/>
      <c r="D121" s="1322"/>
      <c r="E121" s="1322"/>
    </row>
    <row r="122" spans="1:5">
      <c r="A122" s="1320"/>
      <c r="B122" s="1321"/>
      <c r="C122" s="1341"/>
      <c r="D122" s="1322"/>
      <c r="E122" s="1322"/>
    </row>
    <row r="123" spans="1:5">
      <c r="A123" s="1320"/>
      <c r="B123" s="1323" t="s">
        <v>1321</v>
      </c>
      <c r="C123" s="1320" t="s">
        <v>1293</v>
      </c>
      <c r="D123" s="1334">
        <v>15.273200346921076</v>
      </c>
      <c r="E123" s="1362">
        <f>D123*$E$5</f>
        <v>16.235411968777104</v>
      </c>
    </row>
    <row r="124" spans="1:5">
      <c r="A124" s="1320"/>
      <c r="B124" s="1323" t="s">
        <v>1322</v>
      </c>
      <c r="C124" s="1320"/>
      <c r="D124" s="1324"/>
      <c r="E124" s="1324"/>
    </row>
    <row r="125" spans="1:5">
      <c r="A125" s="1320"/>
      <c r="B125" s="1323" t="s">
        <v>1323</v>
      </c>
      <c r="C125" s="1320"/>
      <c r="D125" s="1324"/>
      <c r="E125" s="1324"/>
    </row>
    <row r="126" spans="1:5">
      <c r="A126" s="1317"/>
      <c r="B126" s="1319"/>
      <c r="C126" s="1340"/>
      <c r="D126" s="1335"/>
      <c r="E126" s="1335"/>
    </row>
    <row r="127" spans="1:5">
      <c r="A127" s="1320"/>
      <c r="B127" s="1321" t="s">
        <v>1758</v>
      </c>
      <c r="C127" s="1341"/>
      <c r="D127" s="1322"/>
      <c r="E127" s="1322"/>
    </row>
    <row r="128" spans="1:5">
      <c r="A128" s="1320"/>
      <c r="B128" s="1321"/>
      <c r="C128" s="1341"/>
      <c r="D128" s="1322"/>
      <c r="E128" s="1322"/>
    </row>
    <row r="129" spans="1:5">
      <c r="A129" s="1320"/>
      <c r="B129" s="1321" t="s">
        <v>1300</v>
      </c>
      <c r="C129" s="1341"/>
      <c r="D129" s="1322"/>
      <c r="E129" s="1322"/>
    </row>
    <row r="130" spans="1:5">
      <c r="A130" s="1320"/>
      <c r="B130" s="1321"/>
      <c r="C130" s="1341"/>
      <c r="D130" s="1322"/>
      <c r="E130" s="1322"/>
    </row>
    <row r="131" spans="1:5">
      <c r="A131" s="1320"/>
      <c r="B131" s="1323" t="s">
        <v>1301</v>
      </c>
      <c r="C131" s="1320" t="s">
        <v>1299</v>
      </c>
      <c r="D131" s="1334">
        <v>86.548135299219439</v>
      </c>
      <c r="E131" s="1362">
        <f>D131*$E$5</f>
        <v>92.000667823070259</v>
      </c>
    </row>
    <row r="132" spans="1:5">
      <c r="A132" s="1320"/>
      <c r="B132" s="1323"/>
      <c r="C132" s="1320"/>
      <c r="D132" s="1324"/>
      <c r="E132" s="1324"/>
    </row>
    <row r="133" spans="1:5">
      <c r="A133" s="1320"/>
      <c r="B133" s="1323" t="s">
        <v>1302</v>
      </c>
      <c r="C133" s="1320" t="s">
        <v>1299</v>
      </c>
      <c r="D133" s="1334">
        <v>86.548135299219439</v>
      </c>
      <c r="E133" s="1362">
        <f>D133*$E$5</f>
        <v>92.000667823070259</v>
      </c>
    </row>
    <row r="134" spans="1:5">
      <c r="A134" s="1320"/>
      <c r="B134" s="1323"/>
      <c r="C134" s="1320"/>
      <c r="D134" s="1324"/>
      <c r="E134" s="1324"/>
    </row>
    <row r="135" spans="1:5">
      <c r="A135" s="1320"/>
      <c r="B135" s="1321" t="s">
        <v>1303</v>
      </c>
      <c r="C135" s="1320"/>
      <c r="D135" s="1324"/>
      <c r="E135" s="1324"/>
    </row>
    <row r="136" spans="1:5">
      <c r="A136" s="1320"/>
      <c r="B136" s="1323"/>
      <c r="C136" s="1320"/>
      <c r="D136" s="1324"/>
      <c r="E136" s="1324"/>
    </row>
    <row r="137" spans="1:5">
      <c r="A137" s="1320"/>
      <c r="B137" s="1323" t="s">
        <v>1304</v>
      </c>
      <c r="C137" s="1320" t="s">
        <v>1299</v>
      </c>
      <c r="D137" s="1334">
        <v>112.00346921075456</v>
      </c>
      <c r="E137" s="1362">
        <f>D137*$E$5</f>
        <v>119.05968777103209</v>
      </c>
    </row>
    <row r="138" spans="1:5">
      <c r="A138" s="1320"/>
      <c r="B138" s="1323"/>
      <c r="C138" s="1320"/>
      <c r="D138" s="1324"/>
      <c r="E138" s="1324"/>
    </row>
    <row r="139" spans="1:5">
      <c r="A139" s="1320"/>
      <c r="B139" s="1323" t="s">
        <v>1305</v>
      </c>
      <c r="C139" s="1320" t="s">
        <v>1299</v>
      </c>
      <c r="D139" s="1334">
        <v>305.46400693842151</v>
      </c>
      <c r="E139" s="1362">
        <f>D139*$E$5</f>
        <v>324.70823937554206</v>
      </c>
    </row>
    <row r="140" spans="1:5">
      <c r="A140" s="1320"/>
      <c r="B140" s="1323"/>
      <c r="C140" s="1320"/>
      <c r="D140" s="1324"/>
      <c r="E140" s="1324"/>
    </row>
    <row r="141" spans="1:5">
      <c r="A141" s="1320"/>
      <c r="B141" s="1321" t="s">
        <v>1306</v>
      </c>
      <c r="C141" s="1341"/>
      <c r="D141" s="1322"/>
      <c r="E141" s="1322"/>
    </row>
    <row r="142" spans="1:5">
      <c r="A142" s="1320"/>
      <c r="B142" s="1321"/>
      <c r="C142" s="1341"/>
      <c r="D142" s="1322"/>
      <c r="E142" s="1322"/>
    </row>
    <row r="143" spans="1:5">
      <c r="A143" s="1320"/>
      <c r="B143" s="1323" t="s">
        <v>1307</v>
      </c>
      <c r="C143" s="1320" t="s">
        <v>1293</v>
      </c>
      <c r="D143" s="1334">
        <v>15.273200346921076</v>
      </c>
      <c r="E143" s="1362">
        <f>D143*$E$5</f>
        <v>16.235411968777104</v>
      </c>
    </row>
    <row r="144" spans="1:5">
      <c r="A144" s="1320"/>
      <c r="B144" s="1323" t="s">
        <v>1308</v>
      </c>
      <c r="C144" s="1320"/>
      <c r="D144" s="1324"/>
      <c r="E144" s="1324"/>
    </row>
    <row r="145" spans="1:5">
      <c r="A145" s="1320"/>
      <c r="B145" s="1321"/>
      <c r="C145" s="1341"/>
      <c r="D145" s="1322"/>
      <c r="E145" s="1322"/>
    </row>
    <row r="146" spans="1:5">
      <c r="A146" s="1320"/>
      <c r="B146" s="1321" t="s">
        <v>1309</v>
      </c>
      <c r="C146" s="1341"/>
      <c r="D146" s="1322"/>
      <c r="E146" s="1322"/>
    </row>
    <row r="147" spans="1:5">
      <c r="A147" s="1320"/>
      <c r="B147" s="1321"/>
      <c r="C147" s="1341"/>
      <c r="D147" s="1322"/>
      <c r="E147" s="1322"/>
    </row>
    <row r="148" spans="1:5" ht="30">
      <c r="A148" s="1320"/>
      <c r="B148" s="1323" t="s">
        <v>1310</v>
      </c>
      <c r="C148" s="1320" t="s">
        <v>608</v>
      </c>
      <c r="D148" s="1334">
        <v>2545.5333911535126</v>
      </c>
      <c r="E148" s="1362">
        <f>D148*$E$5</f>
        <v>2705.9019947961838</v>
      </c>
    </row>
    <row r="149" spans="1:5">
      <c r="A149" s="1320"/>
      <c r="B149" s="1321"/>
      <c r="C149" s="1341"/>
      <c r="D149" s="1322"/>
      <c r="E149" s="1322"/>
    </row>
    <row r="150" spans="1:5">
      <c r="A150" s="1320"/>
      <c r="B150" s="1321" t="s">
        <v>1311</v>
      </c>
      <c r="C150" s="1341"/>
      <c r="D150" s="1322"/>
      <c r="E150" s="1322"/>
    </row>
    <row r="151" spans="1:5">
      <c r="A151" s="1320"/>
      <c r="B151" s="1321"/>
      <c r="C151" s="1341"/>
      <c r="D151" s="1322"/>
      <c r="E151" s="1322"/>
    </row>
    <row r="152" spans="1:5">
      <c r="A152" s="1320"/>
      <c r="B152" s="1323" t="s">
        <v>1312</v>
      </c>
      <c r="C152" s="1320" t="s">
        <v>1299</v>
      </c>
      <c r="D152" s="1334">
        <v>40.728534258456207</v>
      </c>
      <c r="E152" s="1362">
        <f>D152*$E$5</f>
        <v>43.294431916738944</v>
      </c>
    </row>
    <row r="153" spans="1:5">
      <c r="A153" s="1320"/>
      <c r="B153" s="1321"/>
      <c r="C153" s="1341"/>
      <c r="D153" s="1322"/>
      <c r="E153" s="1322"/>
    </row>
    <row r="154" spans="1:5">
      <c r="A154" s="1320"/>
      <c r="B154" s="1323" t="s">
        <v>1313</v>
      </c>
      <c r="C154" s="1320" t="s">
        <v>1299</v>
      </c>
      <c r="D154" s="1334">
        <v>40.728534258456207</v>
      </c>
      <c r="E154" s="1362">
        <f>D154*$E$5</f>
        <v>43.294431916738944</v>
      </c>
    </row>
    <row r="155" spans="1:5">
      <c r="A155" s="1320"/>
      <c r="B155" s="1321"/>
      <c r="C155" s="1341"/>
      <c r="D155" s="1322"/>
      <c r="E155" s="1322"/>
    </row>
    <row r="156" spans="1:5">
      <c r="A156" s="1320"/>
      <c r="B156" s="1321" t="s">
        <v>1314</v>
      </c>
      <c r="C156" s="1341"/>
      <c r="D156" s="1322"/>
      <c r="E156" s="1322"/>
    </row>
    <row r="157" spans="1:5">
      <c r="A157" s="1320"/>
      <c r="B157" s="1321"/>
      <c r="C157" s="1341"/>
      <c r="D157" s="1322"/>
      <c r="E157" s="1322"/>
    </row>
    <row r="158" spans="1:5">
      <c r="A158" s="1320"/>
      <c r="B158" s="1323" t="s">
        <v>1315</v>
      </c>
      <c r="C158" s="1320" t="s">
        <v>1293</v>
      </c>
      <c r="D158" s="1334">
        <v>15.273200346921076</v>
      </c>
      <c r="E158" s="1362">
        <f>D158*$E$5</f>
        <v>16.235411968777104</v>
      </c>
    </row>
    <row r="159" spans="1:5">
      <c r="A159" s="1320"/>
      <c r="B159" s="1323" t="s">
        <v>1316</v>
      </c>
      <c r="C159" s="1320"/>
      <c r="D159" s="1324"/>
      <c r="E159" s="1324"/>
    </row>
    <row r="160" spans="1:5">
      <c r="A160" s="1320"/>
      <c r="B160" s="1323" t="s">
        <v>1317</v>
      </c>
      <c r="C160" s="1320"/>
      <c r="D160" s="1324"/>
      <c r="E160" s="1324"/>
    </row>
    <row r="161" spans="1:5">
      <c r="A161" s="1320"/>
      <c r="B161" s="1323" t="s">
        <v>1318</v>
      </c>
      <c r="C161" s="1320"/>
      <c r="D161" s="1324"/>
      <c r="E161" s="1324"/>
    </row>
    <row r="162" spans="1:5">
      <c r="A162" s="1320"/>
      <c r="B162" s="1321"/>
      <c r="C162" s="1341"/>
      <c r="D162" s="1322"/>
      <c r="E162" s="1322"/>
    </row>
    <row r="163" spans="1:5">
      <c r="A163" s="1317"/>
      <c r="B163" s="1325" t="s">
        <v>1749</v>
      </c>
      <c r="C163" s="1340"/>
      <c r="D163" s="1335"/>
      <c r="E163" s="1335"/>
    </row>
    <row r="164" spans="1:5">
      <c r="A164" s="1317"/>
      <c r="B164" s="1319"/>
      <c r="C164" s="1340"/>
      <c r="D164" s="1335"/>
      <c r="E164" s="1335"/>
    </row>
    <row r="165" spans="1:5">
      <c r="A165" s="1317"/>
      <c r="B165" s="1319" t="s">
        <v>1750</v>
      </c>
      <c r="C165" s="1340" t="s">
        <v>1299</v>
      </c>
      <c r="D165" s="1335">
        <v>55</v>
      </c>
      <c r="E165" s="1362">
        <f>D165*$E$5</f>
        <v>58.464999999999996</v>
      </c>
    </row>
    <row r="166" spans="1:5">
      <c r="A166" s="1317"/>
      <c r="B166" s="1319"/>
      <c r="C166" s="1340"/>
      <c r="D166" s="1335"/>
      <c r="E166" s="1335"/>
    </row>
    <row r="167" spans="1:5">
      <c r="A167" s="1317"/>
      <c r="B167" s="1319" t="s">
        <v>1751</v>
      </c>
      <c r="C167" s="1340" t="s">
        <v>1299</v>
      </c>
      <c r="D167" s="1335">
        <v>55</v>
      </c>
      <c r="E167" s="1362">
        <f>D167*$E$5</f>
        <v>58.464999999999996</v>
      </c>
    </row>
    <row r="168" spans="1:5">
      <c r="A168" s="1317"/>
      <c r="B168" s="1319"/>
      <c r="C168" s="1340"/>
      <c r="D168" s="1335"/>
      <c r="E168" s="1335"/>
    </row>
    <row r="169" spans="1:5" ht="30">
      <c r="A169" s="1317"/>
      <c r="B169" s="1319" t="s">
        <v>1752</v>
      </c>
      <c r="C169" s="1340" t="s">
        <v>1299</v>
      </c>
      <c r="D169" s="1335">
        <v>55</v>
      </c>
      <c r="E169" s="1362">
        <f>D169*$E$5</f>
        <v>58.464999999999996</v>
      </c>
    </row>
    <row r="170" spans="1:5">
      <c r="A170" s="1317"/>
      <c r="B170" s="1319"/>
      <c r="C170" s="1340"/>
      <c r="D170" s="1335"/>
      <c r="E170" s="1335"/>
    </row>
    <row r="171" spans="1:5" ht="30">
      <c r="A171" s="1317"/>
      <c r="B171" s="1319" t="s">
        <v>1753</v>
      </c>
      <c r="C171" s="1340" t="s">
        <v>1299</v>
      </c>
      <c r="D171" s="1335">
        <v>55</v>
      </c>
      <c r="E171" s="1362">
        <f>D171*$E$5</f>
        <v>58.464999999999996</v>
      </c>
    </row>
    <row r="172" spans="1:5">
      <c r="A172" s="1317"/>
      <c r="B172" s="1319"/>
      <c r="C172" s="1340"/>
      <c r="D172" s="1335"/>
      <c r="E172" s="1335"/>
    </row>
    <row r="173" spans="1:5" ht="30">
      <c r="A173" s="1317"/>
      <c r="B173" s="1319" t="s">
        <v>1754</v>
      </c>
      <c r="C173" s="1340" t="s">
        <v>1299</v>
      </c>
      <c r="D173" s="1335">
        <v>55</v>
      </c>
      <c r="E173" s="1362">
        <f>D173*$E$5</f>
        <v>58.464999999999996</v>
      </c>
    </row>
    <row r="174" spans="1:5">
      <c r="A174" s="1317"/>
      <c r="B174" s="1319"/>
      <c r="C174" s="1340"/>
      <c r="D174" s="1335"/>
      <c r="E174" s="1335"/>
    </row>
    <row r="175" spans="1:5">
      <c r="A175" s="1317"/>
      <c r="B175" s="1325" t="s">
        <v>1755</v>
      </c>
      <c r="C175" s="1340"/>
      <c r="D175" s="1335"/>
      <c r="E175" s="1335"/>
    </row>
    <row r="176" spans="1:5">
      <c r="A176" s="1317"/>
      <c r="B176" s="1319"/>
      <c r="C176" s="1340"/>
      <c r="D176" s="1335"/>
      <c r="E176" s="1335"/>
    </row>
    <row r="177" spans="1:5">
      <c r="A177" s="1317"/>
      <c r="B177" s="1319" t="s">
        <v>1304</v>
      </c>
      <c r="C177" s="1340" t="s">
        <v>1299</v>
      </c>
      <c r="D177" s="1335">
        <v>120</v>
      </c>
      <c r="E177" s="1362">
        <f>D177*$E$5</f>
        <v>127.55999999999999</v>
      </c>
    </row>
    <row r="178" spans="1:5">
      <c r="A178" s="1317"/>
      <c r="B178" s="1319"/>
      <c r="C178" s="1340"/>
      <c r="D178" s="1335"/>
      <c r="E178" s="1335"/>
    </row>
    <row r="179" spans="1:5">
      <c r="A179" s="1317"/>
      <c r="B179" s="1319" t="s">
        <v>1305</v>
      </c>
      <c r="C179" s="1340" t="s">
        <v>1299</v>
      </c>
      <c r="D179" s="1335">
        <v>750</v>
      </c>
      <c r="E179" s="1362">
        <f>D179*$E$5</f>
        <v>797.25</v>
      </c>
    </row>
    <row r="180" spans="1:5">
      <c r="A180" s="1317"/>
      <c r="B180" s="1319"/>
      <c r="C180" s="1340"/>
      <c r="D180" s="1335"/>
      <c r="E180" s="1335"/>
    </row>
    <row r="181" spans="1:5">
      <c r="A181" s="1317"/>
      <c r="B181" s="1325" t="s">
        <v>1756</v>
      </c>
      <c r="C181" s="1340"/>
      <c r="D181" s="1335"/>
      <c r="E181" s="1335"/>
    </row>
    <row r="182" spans="1:5">
      <c r="A182" s="1317"/>
      <c r="B182" s="1319"/>
      <c r="C182" s="1340"/>
      <c r="D182" s="1335"/>
      <c r="E182" s="1335"/>
    </row>
    <row r="183" spans="1:5" ht="30">
      <c r="A183" s="1317"/>
      <c r="B183" s="1319" t="s">
        <v>1757</v>
      </c>
      <c r="C183" s="1340" t="s">
        <v>1299</v>
      </c>
      <c r="D183" s="1335">
        <v>150</v>
      </c>
      <c r="E183" s="1362">
        <f>D183*$E$5</f>
        <v>159.44999999999999</v>
      </c>
    </row>
    <row r="184" spans="1:5">
      <c r="A184" s="1317"/>
      <c r="B184" s="1319"/>
      <c r="C184" s="1340"/>
      <c r="D184" s="1335"/>
      <c r="E184" s="1335"/>
    </row>
    <row r="185" spans="1:5">
      <c r="A185" s="1317"/>
      <c r="B185" s="1318" t="s">
        <v>1758</v>
      </c>
      <c r="C185" s="1340"/>
      <c r="D185" s="1335"/>
      <c r="E185" s="1335"/>
    </row>
    <row r="186" spans="1:5">
      <c r="A186" s="1317"/>
      <c r="B186" s="1319"/>
      <c r="C186" s="1340"/>
      <c r="D186" s="1335"/>
      <c r="E186" s="1335"/>
    </row>
    <row r="187" spans="1:5" ht="26.25">
      <c r="A187" s="1317"/>
      <c r="B187" s="1325" t="s">
        <v>1759</v>
      </c>
      <c r="C187" s="1340"/>
      <c r="D187" s="1335"/>
      <c r="E187" s="1335"/>
    </row>
    <row r="188" spans="1:5">
      <c r="A188" s="1317"/>
      <c r="B188" s="1319"/>
      <c r="C188" s="1340"/>
      <c r="D188" s="1335"/>
      <c r="E188" s="1335"/>
    </row>
    <row r="189" spans="1:5" ht="30">
      <c r="A189" s="1317"/>
      <c r="B189" s="1319" t="s">
        <v>1760</v>
      </c>
      <c r="C189" s="1340" t="s">
        <v>1299</v>
      </c>
      <c r="D189" s="1335">
        <v>50</v>
      </c>
      <c r="E189" s="1362">
        <f>D189*$E$5</f>
        <v>53.15</v>
      </c>
    </row>
    <row r="190" spans="1:5">
      <c r="A190" s="1317"/>
      <c r="B190" s="1319"/>
      <c r="C190" s="1340"/>
      <c r="D190" s="1335"/>
      <c r="E190" s="1335"/>
    </row>
    <row r="191" spans="1:5">
      <c r="A191" s="1317"/>
      <c r="B191" s="1319" t="s">
        <v>1761</v>
      </c>
      <c r="C191" s="1340" t="s">
        <v>1299</v>
      </c>
      <c r="D191" s="1335">
        <v>150.80000000000001</v>
      </c>
      <c r="E191" s="1362">
        <f>D191*$E$5</f>
        <v>160.3004</v>
      </c>
    </row>
    <row r="192" spans="1:5">
      <c r="A192" s="1317"/>
      <c r="B192" s="1319"/>
      <c r="C192" s="1340"/>
      <c r="D192" s="1335"/>
      <c r="E192" s="1335"/>
    </row>
    <row r="193" spans="1:5">
      <c r="A193" s="1317"/>
      <c r="B193" s="1319" t="s">
        <v>1301</v>
      </c>
      <c r="C193" s="1340" t="s">
        <v>1299</v>
      </c>
      <c r="D193" s="1335">
        <v>150.80000000000001</v>
      </c>
      <c r="E193" s="1362">
        <f>D193*$E$5</f>
        <v>160.3004</v>
      </c>
    </row>
    <row r="194" spans="1:5">
      <c r="A194" s="1317"/>
      <c r="B194" s="1319"/>
      <c r="C194" s="1340"/>
      <c r="D194" s="1335"/>
      <c r="E194" s="1335"/>
    </row>
    <row r="195" spans="1:5">
      <c r="A195" s="1317"/>
      <c r="B195" s="1319" t="s">
        <v>1762</v>
      </c>
      <c r="C195" s="1340" t="s">
        <v>1299</v>
      </c>
      <c r="D195" s="1335">
        <v>50</v>
      </c>
      <c r="E195" s="1362">
        <f>D195*$E$5</f>
        <v>53.15</v>
      </c>
    </row>
    <row r="196" spans="1:5">
      <c r="A196" s="1317"/>
      <c r="B196" s="1319"/>
      <c r="C196" s="1340"/>
      <c r="D196" s="1335"/>
      <c r="E196" s="1335"/>
    </row>
    <row r="197" spans="1:5">
      <c r="A197" s="1317"/>
      <c r="B197" s="1325" t="s">
        <v>1300</v>
      </c>
      <c r="C197" s="1340"/>
      <c r="D197" s="1335"/>
      <c r="E197" s="1335"/>
    </row>
    <row r="198" spans="1:5">
      <c r="A198" s="1317"/>
      <c r="B198" s="1319"/>
      <c r="C198" s="1340"/>
      <c r="D198" s="1335"/>
      <c r="E198" s="1335"/>
    </row>
    <row r="199" spans="1:5">
      <c r="A199" s="1317"/>
      <c r="B199" s="1319" t="s">
        <v>1301</v>
      </c>
      <c r="C199" s="1340" t="s">
        <v>1299</v>
      </c>
      <c r="D199" s="1335">
        <v>160</v>
      </c>
      <c r="E199" s="1362">
        <f>D199*$E$5</f>
        <v>170.07999999999998</v>
      </c>
    </row>
    <row r="200" spans="1:5">
      <c r="A200" s="1317"/>
      <c r="B200" s="1319"/>
      <c r="C200" s="1340"/>
      <c r="D200" s="1335"/>
      <c r="E200" s="1335"/>
    </row>
    <row r="201" spans="1:5">
      <c r="A201" s="1317"/>
      <c r="B201" s="1319" t="s">
        <v>1763</v>
      </c>
      <c r="C201" s="1340" t="s">
        <v>1299</v>
      </c>
      <c r="D201" s="1335">
        <v>160</v>
      </c>
      <c r="E201" s="1362">
        <f>D201*$E$5</f>
        <v>170.07999999999998</v>
      </c>
    </row>
    <row r="202" spans="1:5">
      <c r="A202" s="1317"/>
      <c r="B202" s="1319"/>
      <c r="C202" s="1340"/>
      <c r="D202" s="1335"/>
      <c r="E202" s="1335"/>
    </row>
    <row r="203" spans="1:5">
      <c r="A203" s="1317"/>
      <c r="B203" s="1319" t="s">
        <v>1761</v>
      </c>
      <c r="C203" s="1340" t="s">
        <v>1299</v>
      </c>
      <c r="D203" s="1335">
        <v>160</v>
      </c>
      <c r="E203" s="1362">
        <f>D203*$E$5</f>
        <v>170.07999999999998</v>
      </c>
    </row>
    <row r="204" spans="1:5">
      <c r="A204" s="1317"/>
      <c r="B204" s="1319"/>
      <c r="C204" s="1340"/>
      <c r="D204" s="1335"/>
      <c r="E204" s="1335"/>
    </row>
    <row r="205" spans="1:5" ht="26.25">
      <c r="A205" s="1317"/>
      <c r="B205" s="1325" t="s">
        <v>1764</v>
      </c>
      <c r="C205" s="1340"/>
      <c r="D205" s="1335"/>
      <c r="E205" s="1335"/>
    </row>
    <row r="206" spans="1:5">
      <c r="A206" s="1317"/>
      <c r="B206" s="1319"/>
      <c r="C206" s="1340"/>
      <c r="D206" s="1335"/>
      <c r="E206" s="1335"/>
    </row>
    <row r="207" spans="1:5" ht="45">
      <c r="A207" s="1317"/>
      <c r="B207" s="1319" t="s">
        <v>1765</v>
      </c>
      <c r="C207" s="1340" t="s">
        <v>1293</v>
      </c>
      <c r="D207" s="1335">
        <v>45</v>
      </c>
      <c r="E207" s="1362">
        <f>D207*$E$5</f>
        <v>47.835000000000001</v>
      </c>
    </row>
    <row r="208" spans="1:5">
      <c r="A208" s="1317"/>
      <c r="B208" s="1319"/>
      <c r="C208" s="1340"/>
      <c r="D208" s="1335"/>
      <c r="E208" s="1335"/>
    </row>
    <row r="209" spans="1:5" ht="45">
      <c r="A209" s="1317"/>
      <c r="B209" s="1319" t="s">
        <v>1766</v>
      </c>
      <c r="C209" s="1340" t="s">
        <v>1293</v>
      </c>
      <c r="D209" s="1335">
        <v>45</v>
      </c>
      <c r="E209" s="1362">
        <f>D209*$E$5</f>
        <v>47.835000000000001</v>
      </c>
    </row>
    <row r="210" spans="1:5">
      <c r="A210" s="1317"/>
      <c r="B210" s="1319"/>
      <c r="C210" s="1340"/>
      <c r="D210" s="1335"/>
      <c r="E210" s="1335"/>
    </row>
    <row r="211" spans="1:5" ht="26.25">
      <c r="A211" s="1317"/>
      <c r="B211" s="1325" t="s">
        <v>1767</v>
      </c>
      <c r="C211" s="1340"/>
      <c r="D211" s="1335"/>
      <c r="E211" s="1335"/>
    </row>
    <row r="212" spans="1:5">
      <c r="A212" s="1317"/>
      <c r="B212" s="1319"/>
      <c r="C212" s="1340"/>
      <c r="D212" s="1335"/>
      <c r="E212" s="1335"/>
    </row>
    <row r="213" spans="1:5" ht="45">
      <c r="A213" s="1317"/>
      <c r="B213" s="1319" t="s">
        <v>1765</v>
      </c>
      <c r="C213" s="1340" t="s">
        <v>1293</v>
      </c>
      <c r="D213" s="1335">
        <v>85</v>
      </c>
      <c r="E213" s="1362">
        <f>D213*$E$5</f>
        <v>90.35499999999999</v>
      </c>
    </row>
    <row r="214" spans="1:5">
      <c r="A214" s="1317"/>
      <c r="B214" s="1319"/>
      <c r="C214" s="1340"/>
      <c r="D214" s="1335"/>
      <c r="E214" s="1335"/>
    </row>
    <row r="215" spans="1:5" ht="45">
      <c r="A215" s="1317"/>
      <c r="B215" s="1319" t="s">
        <v>1766</v>
      </c>
      <c r="C215" s="1340" t="s">
        <v>1293</v>
      </c>
      <c r="D215" s="1335">
        <v>85</v>
      </c>
      <c r="E215" s="1362">
        <f>D215*$E$5</f>
        <v>90.35499999999999</v>
      </c>
    </row>
    <row r="216" spans="1:5">
      <c r="A216" s="1317"/>
      <c r="B216" s="1319"/>
      <c r="C216" s="1340"/>
      <c r="D216" s="1335"/>
      <c r="E216" s="1335"/>
    </row>
    <row r="217" spans="1:5" ht="26.25">
      <c r="A217" s="1317"/>
      <c r="B217" s="1325" t="s">
        <v>1768</v>
      </c>
      <c r="C217" s="1340"/>
      <c r="D217" s="1335"/>
      <c r="E217" s="1335"/>
    </row>
    <row r="218" spans="1:5">
      <c r="A218" s="1317"/>
      <c r="B218" s="1319"/>
      <c r="C218" s="1340"/>
      <c r="D218" s="1335"/>
      <c r="E218" s="1335"/>
    </row>
    <row r="219" spans="1:5" ht="45">
      <c r="A219" s="1317"/>
      <c r="B219" s="1319" t="s">
        <v>1766</v>
      </c>
      <c r="C219" s="1340" t="s">
        <v>1293</v>
      </c>
      <c r="D219" s="1335">
        <v>150</v>
      </c>
      <c r="E219" s="1362">
        <f>D219*$E$5</f>
        <v>159.44999999999999</v>
      </c>
    </row>
    <row r="220" spans="1:5">
      <c r="A220" s="1317"/>
      <c r="B220" s="1319"/>
      <c r="C220" s="1340"/>
      <c r="D220" s="1335"/>
      <c r="E220" s="1335"/>
    </row>
    <row r="221" spans="1:5" ht="45">
      <c r="A221" s="1317"/>
      <c r="B221" s="1319" t="s">
        <v>1765</v>
      </c>
      <c r="C221" s="1340" t="s">
        <v>1293</v>
      </c>
      <c r="D221" s="1335">
        <v>150</v>
      </c>
      <c r="E221" s="1362">
        <f>D221*$E$5</f>
        <v>159.44999999999999</v>
      </c>
    </row>
    <row r="222" spans="1:5">
      <c r="A222" s="1317"/>
      <c r="B222" s="1319"/>
      <c r="C222" s="1340"/>
      <c r="D222" s="1335"/>
      <c r="E222" s="1335"/>
    </row>
    <row r="223" spans="1:5">
      <c r="A223" s="1317"/>
      <c r="B223" s="1325" t="s">
        <v>1769</v>
      </c>
      <c r="C223" s="1340"/>
      <c r="D223" s="1335"/>
      <c r="E223" s="1335"/>
    </row>
    <row r="224" spans="1:5">
      <c r="A224" s="1317"/>
      <c r="B224" s="1319"/>
      <c r="C224" s="1340"/>
      <c r="D224" s="1335"/>
      <c r="E224" s="1335"/>
    </row>
    <row r="225" spans="1:5">
      <c r="A225" s="1317"/>
      <c r="B225" s="1319" t="s">
        <v>1304</v>
      </c>
      <c r="C225" s="1340" t="s">
        <v>1299</v>
      </c>
      <c r="D225" s="1335">
        <v>35</v>
      </c>
      <c r="E225" s="1362">
        <f>D225*$E$5</f>
        <v>37.204999999999998</v>
      </c>
    </row>
    <row r="226" spans="1:5">
      <c r="A226" s="1317"/>
      <c r="B226" s="1319"/>
      <c r="C226" s="1340"/>
      <c r="D226" s="1335"/>
      <c r="E226" s="1335"/>
    </row>
    <row r="227" spans="1:5">
      <c r="A227" s="1317"/>
      <c r="B227" s="1319" t="s">
        <v>1305</v>
      </c>
      <c r="C227" s="1340" t="s">
        <v>1299</v>
      </c>
      <c r="D227" s="1335">
        <v>35</v>
      </c>
      <c r="E227" s="1362">
        <f>D227*$E$5</f>
        <v>37.204999999999998</v>
      </c>
    </row>
    <row r="228" spans="1:5">
      <c r="A228" s="1317"/>
      <c r="B228" s="1319"/>
      <c r="C228" s="1340"/>
      <c r="D228" s="1335"/>
      <c r="E228" s="1335"/>
    </row>
    <row r="229" spans="1:5">
      <c r="A229" s="1317"/>
      <c r="B229" s="1325" t="s">
        <v>1756</v>
      </c>
      <c r="C229" s="1340"/>
      <c r="D229" s="1335"/>
      <c r="E229" s="1335"/>
    </row>
    <row r="230" spans="1:5">
      <c r="A230" s="1317"/>
      <c r="B230" s="1319"/>
      <c r="C230" s="1340"/>
      <c r="D230" s="1335"/>
      <c r="E230" s="1335"/>
    </row>
    <row r="231" spans="1:5" ht="30">
      <c r="A231" s="1317"/>
      <c r="B231" s="1319" t="s">
        <v>1757</v>
      </c>
      <c r="C231" s="1340" t="s">
        <v>1299</v>
      </c>
      <c r="D231" s="1335">
        <v>150</v>
      </c>
      <c r="E231" s="1362">
        <f>D231*$E$5</f>
        <v>159.44999999999999</v>
      </c>
    </row>
    <row r="232" spans="1:5">
      <c r="A232" s="1317"/>
      <c r="B232" s="1319"/>
      <c r="C232" s="1340"/>
      <c r="D232" s="1335"/>
      <c r="E232" s="1335"/>
    </row>
    <row r="233" spans="1:5">
      <c r="A233" s="1317"/>
      <c r="B233" s="1325" t="s">
        <v>1306</v>
      </c>
      <c r="C233" s="1340"/>
      <c r="D233" s="1335"/>
      <c r="E233" s="1335"/>
    </row>
    <row r="234" spans="1:5">
      <c r="A234" s="1317"/>
      <c r="B234" s="1319"/>
      <c r="C234" s="1340"/>
      <c r="D234" s="1335"/>
      <c r="E234" s="1335"/>
    </row>
    <row r="235" spans="1:5" ht="30">
      <c r="A235" s="1317"/>
      <c r="B235" s="1319" t="s">
        <v>1770</v>
      </c>
      <c r="C235" s="1340" t="s">
        <v>1293</v>
      </c>
      <c r="D235" s="1335">
        <v>15</v>
      </c>
      <c r="E235" s="1362">
        <f>D235*$E$5</f>
        <v>15.944999999999999</v>
      </c>
    </row>
    <row r="236" spans="1:5">
      <c r="A236" s="1317"/>
      <c r="B236" s="1319"/>
      <c r="C236" s="1340"/>
      <c r="D236" s="1335"/>
      <c r="E236" s="1335"/>
    </row>
    <row r="237" spans="1:5">
      <c r="A237" s="1317"/>
      <c r="B237" s="1319" t="s">
        <v>1771</v>
      </c>
      <c r="C237" s="1340" t="s">
        <v>1293</v>
      </c>
      <c r="D237" s="1335">
        <v>25</v>
      </c>
      <c r="E237" s="1362">
        <f>D237*$E$5</f>
        <v>26.574999999999999</v>
      </c>
    </row>
    <row r="238" spans="1:5">
      <c r="A238" s="1317"/>
      <c r="B238" s="1319"/>
      <c r="C238" s="1340"/>
      <c r="D238" s="1335"/>
      <c r="E238" s="1335"/>
    </row>
    <row r="239" spans="1:5">
      <c r="A239" s="1317"/>
      <c r="B239" s="1318" t="s">
        <v>1773</v>
      </c>
      <c r="C239" s="1340"/>
      <c r="D239" s="1335"/>
      <c r="E239" s="1335"/>
    </row>
    <row r="240" spans="1:5">
      <c r="A240" s="1317"/>
      <c r="B240" s="1319"/>
      <c r="C240" s="1340"/>
      <c r="D240" s="1335"/>
      <c r="E240" s="1335"/>
    </row>
    <row r="241" spans="1:5" ht="26.25">
      <c r="A241" s="1317"/>
      <c r="B241" s="1325" t="s">
        <v>1774</v>
      </c>
      <c r="C241" s="1340"/>
      <c r="D241" s="1335"/>
      <c r="E241" s="1335"/>
    </row>
    <row r="242" spans="1:5">
      <c r="A242" s="1317"/>
      <c r="B242" s="1319"/>
      <c r="C242" s="1340"/>
      <c r="D242" s="1335"/>
      <c r="E242" s="1335"/>
    </row>
    <row r="243" spans="1:5">
      <c r="A243" s="1317"/>
      <c r="B243" s="1319" t="s">
        <v>1775</v>
      </c>
      <c r="C243" s="1340" t="s">
        <v>1299</v>
      </c>
      <c r="D243" s="1335">
        <v>180</v>
      </c>
      <c r="E243" s="1362">
        <f>D243*$E$5</f>
        <v>191.34</v>
      </c>
    </row>
    <row r="244" spans="1:5">
      <c r="A244" s="1317"/>
      <c r="B244" s="1319"/>
      <c r="C244" s="1340"/>
      <c r="D244" s="1335"/>
      <c r="E244" s="1335"/>
    </row>
    <row r="245" spans="1:5">
      <c r="A245" s="1317"/>
      <c r="B245" s="1319" t="s">
        <v>1776</v>
      </c>
      <c r="C245" s="1340" t="s">
        <v>1299</v>
      </c>
      <c r="D245" s="1335">
        <v>180</v>
      </c>
      <c r="E245" s="1362">
        <f>D245*$E$5</f>
        <v>191.34</v>
      </c>
    </row>
    <row r="246" spans="1:5">
      <c r="A246" s="1317"/>
      <c r="B246" s="1319"/>
      <c r="C246" s="1340"/>
      <c r="D246" s="1335"/>
      <c r="E246" s="1335"/>
    </row>
    <row r="247" spans="1:5">
      <c r="A247" s="1317"/>
      <c r="B247" s="1325" t="s">
        <v>1777</v>
      </c>
      <c r="C247" s="1340"/>
      <c r="D247" s="1335"/>
      <c r="E247" s="1335"/>
    </row>
    <row r="248" spans="1:5">
      <c r="A248" s="1317"/>
      <c r="B248" s="1319"/>
      <c r="C248" s="1340"/>
      <c r="D248" s="1335"/>
      <c r="E248" s="1335"/>
    </row>
    <row r="249" spans="1:5" ht="30">
      <c r="A249" s="1317"/>
      <c r="B249" s="1319" t="s">
        <v>1778</v>
      </c>
      <c r="C249" s="1340" t="s">
        <v>1299</v>
      </c>
      <c r="D249" s="1335">
        <v>450</v>
      </c>
      <c r="E249" s="1362">
        <f>D249*$E$5</f>
        <v>478.34999999999997</v>
      </c>
    </row>
    <row r="250" spans="1:5">
      <c r="A250" s="1317"/>
      <c r="B250" s="1319"/>
      <c r="C250" s="1340"/>
      <c r="D250" s="1335"/>
      <c r="E250" s="1335"/>
    </row>
    <row r="251" spans="1:5" ht="30">
      <c r="A251" s="1317"/>
      <c r="B251" s="1319" t="s">
        <v>1779</v>
      </c>
      <c r="C251" s="1340" t="s">
        <v>1299</v>
      </c>
      <c r="D251" s="1335">
        <v>220</v>
      </c>
      <c r="E251" s="1362">
        <f>D251*$E$5</f>
        <v>233.85999999999999</v>
      </c>
    </row>
    <row r="252" spans="1:5">
      <c r="A252" s="1317"/>
      <c r="B252" s="1319"/>
      <c r="C252" s="1340"/>
      <c r="D252" s="1335"/>
      <c r="E252" s="1335"/>
    </row>
    <row r="253" spans="1:5">
      <c r="A253" s="1317"/>
      <c r="B253" s="1325" t="s">
        <v>1780</v>
      </c>
      <c r="C253" s="1340"/>
      <c r="D253" s="1335"/>
      <c r="E253" s="1335"/>
    </row>
    <row r="254" spans="1:5">
      <c r="A254" s="1317"/>
      <c r="B254" s="1319"/>
      <c r="C254" s="1340"/>
      <c r="D254" s="1335"/>
      <c r="E254" s="1335"/>
    </row>
    <row r="255" spans="1:5">
      <c r="A255" s="1317"/>
      <c r="B255" s="1319" t="s">
        <v>1781</v>
      </c>
      <c r="C255" s="1340" t="s">
        <v>1299</v>
      </c>
      <c r="D255" s="1335">
        <v>580</v>
      </c>
      <c r="E255" s="1362">
        <f>D255*$E$5</f>
        <v>616.54</v>
      </c>
    </row>
    <row r="256" spans="1:5">
      <c r="A256" s="1317"/>
      <c r="B256" s="1319"/>
      <c r="C256" s="1340"/>
      <c r="D256" s="1335"/>
      <c r="E256" s="1335"/>
    </row>
    <row r="257" spans="1:5">
      <c r="A257" s="1317"/>
      <c r="B257" s="1325" t="s">
        <v>1782</v>
      </c>
      <c r="C257" s="1340"/>
      <c r="D257" s="1335"/>
      <c r="E257" s="1335"/>
    </row>
    <row r="258" spans="1:5">
      <c r="A258" s="1317"/>
      <c r="B258" s="1319"/>
      <c r="C258" s="1340"/>
      <c r="D258" s="1335"/>
      <c r="E258" s="1335"/>
    </row>
    <row r="259" spans="1:5">
      <c r="A259" s="1317"/>
      <c r="B259" s="1319" t="s">
        <v>1783</v>
      </c>
      <c r="C259" s="1340" t="s">
        <v>1299</v>
      </c>
      <c r="D259" s="1335">
        <v>600</v>
      </c>
      <c r="E259" s="1362">
        <f>D259*$E$5</f>
        <v>637.79999999999995</v>
      </c>
    </row>
    <row r="260" spans="1:5">
      <c r="A260" s="1317"/>
      <c r="B260" s="1319"/>
      <c r="C260" s="1340"/>
      <c r="D260" s="1335"/>
      <c r="E260" s="1335"/>
    </row>
    <row r="261" spans="1:5">
      <c r="A261" s="1317"/>
      <c r="B261" s="1319" t="s">
        <v>1784</v>
      </c>
      <c r="C261" s="1340" t="s">
        <v>1299</v>
      </c>
      <c r="D261" s="1335">
        <v>600</v>
      </c>
      <c r="E261" s="1362">
        <f>D261*$E$5</f>
        <v>637.79999999999995</v>
      </c>
    </row>
    <row r="262" spans="1:5">
      <c r="A262" s="1317"/>
      <c r="B262" s="1319"/>
      <c r="C262" s="1340"/>
      <c r="D262" s="1335"/>
      <c r="E262" s="1335"/>
    </row>
    <row r="263" spans="1:5">
      <c r="A263" s="1317"/>
      <c r="B263" s="1325" t="s">
        <v>1785</v>
      </c>
      <c r="C263" s="1340"/>
      <c r="D263" s="1335"/>
      <c r="E263" s="1335"/>
    </row>
    <row r="264" spans="1:5">
      <c r="A264" s="1317"/>
      <c r="B264" s="1319"/>
      <c r="C264" s="1340"/>
      <c r="D264" s="1335"/>
      <c r="E264" s="1335"/>
    </row>
    <row r="265" spans="1:5">
      <c r="A265" s="1317"/>
      <c r="B265" s="1319" t="s">
        <v>1783</v>
      </c>
      <c r="C265" s="1340" t="s">
        <v>1299</v>
      </c>
      <c r="D265" s="1335">
        <v>700</v>
      </c>
      <c r="E265" s="1362">
        <f>D265*$E$5</f>
        <v>744.09999999999991</v>
      </c>
    </row>
    <row r="266" spans="1:5">
      <c r="A266" s="1317"/>
      <c r="B266" s="1319"/>
      <c r="C266" s="1340"/>
      <c r="D266" s="1335"/>
      <c r="E266" s="1335"/>
    </row>
    <row r="267" spans="1:5">
      <c r="A267" s="1317"/>
      <c r="B267" s="1325" t="s">
        <v>1786</v>
      </c>
      <c r="C267" s="1340"/>
      <c r="D267" s="1335"/>
      <c r="E267" s="1335"/>
    </row>
    <row r="268" spans="1:5">
      <c r="A268" s="1317"/>
      <c r="B268" s="1319"/>
      <c r="C268" s="1340"/>
      <c r="D268" s="1335"/>
      <c r="E268" s="1335"/>
    </row>
    <row r="269" spans="1:5" ht="60">
      <c r="A269" s="1317"/>
      <c r="B269" s="1319" t="s">
        <v>1787</v>
      </c>
      <c r="C269" s="1340" t="s">
        <v>1293</v>
      </c>
      <c r="D269" s="1335">
        <v>35</v>
      </c>
      <c r="E269" s="1362">
        <f>D269*$E$5</f>
        <v>37.204999999999998</v>
      </c>
    </row>
    <row r="270" spans="1:5">
      <c r="A270" s="1317"/>
      <c r="B270" s="1319"/>
      <c r="C270" s="1340"/>
      <c r="D270" s="1335"/>
      <c r="E270" s="1335"/>
    </row>
    <row r="271" spans="1:5" ht="30">
      <c r="A271" s="1317"/>
      <c r="B271" s="1319" t="s">
        <v>1788</v>
      </c>
      <c r="C271" s="1340" t="s">
        <v>1293</v>
      </c>
      <c r="D271" s="1335">
        <v>30</v>
      </c>
      <c r="E271" s="1362">
        <f>D271*$E$5</f>
        <v>31.889999999999997</v>
      </c>
    </row>
    <row r="272" spans="1:5">
      <c r="A272" s="1317"/>
      <c r="B272" s="1319"/>
      <c r="C272" s="1340"/>
      <c r="D272" s="1335"/>
      <c r="E272" s="1335"/>
    </row>
    <row r="273" spans="1:5">
      <c r="A273" s="1317"/>
      <c r="B273" s="1318" t="s">
        <v>1789</v>
      </c>
      <c r="C273" s="1340"/>
      <c r="D273" s="1335"/>
      <c r="E273" s="1335"/>
    </row>
    <row r="274" spans="1:5">
      <c r="A274" s="1317"/>
      <c r="B274" s="1319"/>
      <c r="C274" s="1340"/>
      <c r="D274" s="1335"/>
      <c r="E274" s="1335"/>
    </row>
    <row r="275" spans="1:5">
      <c r="A275" s="1317"/>
      <c r="B275" s="1325" t="s">
        <v>1790</v>
      </c>
      <c r="C275" s="1340"/>
      <c r="D275" s="1335"/>
      <c r="E275" s="1335"/>
    </row>
    <row r="276" spans="1:5">
      <c r="A276" s="1317"/>
      <c r="B276" s="1319"/>
      <c r="C276" s="1340"/>
      <c r="D276" s="1335"/>
      <c r="E276" s="1335"/>
    </row>
    <row r="277" spans="1:5" ht="45">
      <c r="A277" s="1317"/>
      <c r="B277" s="1319" t="s">
        <v>1791</v>
      </c>
      <c r="C277" s="1340" t="s">
        <v>1293</v>
      </c>
      <c r="D277" s="1335">
        <v>20</v>
      </c>
      <c r="E277" s="1362">
        <f>D277*$E$5</f>
        <v>21.259999999999998</v>
      </c>
    </row>
    <row r="278" spans="1:5">
      <c r="A278" s="1317"/>
      <c r="B278" s="1319"/>
      <c r="C278" s="1340"/>
      <c r="D278" s="1335"/>
      <c r="E278" s="1335"/>
    </row>
    <row r="279" spans="1:5">
      <c r="A279" s="1317"/>
      <c r="B279" s="1318" t="s">
        <v>1792</v>
      </c>
      <c r="C279" s="1340"/>
      <c r="D279" s="1335"/>
      <c r="E279" s="1335"/>
    </row>
    <row r="280" spans="1:5">
      <c r="A280" s="1317"/>
      <c r="B280" s="1319"/>
      <c r="C280" s="1340"/>
      <c r="D280" s="1335"/>
      <c r="E280" s="1335"/>
    </row>
    <row r="281" spans="1:5" ht="26.25">
      <c r="A281" s="1317"/>
      <c r="B281" s="1325" t="s">
        <v>1793</v>
      </c>
      <c r="C281" s="1340"/>
      <c r="D281" s="1335"/>
      <c r="E281" s="1335"/>
    </row>
    <row r="282" spans="1:5">
      <c r="A282" s="1317"/>
      <c r="B282" s="1319"/>
      <c r="C282" s="1340"/>
      <c r="D282" s="1335"/>
      <c r="E282" s="1335"/>
    </row>
    <row r="283" spans="1:5">
      <c r="A283" s="1317"/>
      <c r="B283" s="1319" t="s">
        <v>1794</v>
      </c>
      <c r="C283" s="1340" t="s">
        <v>217</v>
      </c>
      <c r="D283" s="1335">
        <v>600</v>
      </c>
      <c r="E283" s="1362">
        <f>D283*$E$5</f>
        <v>637.79999999999995</v>
      </c>
    </row>
    <row r="284" spans="1:5">
      <c r="A284" s="1317"/>
      <c r="B284" s="1319"/>
      <c r="C284" s="1340"/>
      <c r="D284" s="1335"/>
      <c r="E284" s="1335"/>
    </row>
    <row r="285" spans="1:5">
      <c r="A285" s="1317"/>
      <c r="B285" s="1319" t="s">
        <v>1795</v>
      </c>
      <c r="C285" s="1340" t="s">
        <v>217</v>
      </c>
      <c r="D285" s="1335">
        <v>600</v>
      </c>
      <c r="E285" s="1362">
        <f>D285*$E$5</f>
        <v>637.79999999999995</v>
      </c>
    </row>
    <row r="286" spans="1:5">
      <c r="A286" s="1317"/>
      <c r="B286" s="1319"/>
      <c r="C286" s="1340"/>
      <c r="D286" s="1335"/>
      <c r="E286" s="1335"/>
    </row>
    <row r="287" spans="1:5">
      <c r="A287" s="1317"/>
      <c r="B287" s="1318" t="s">
        <v>1796</v>
      </c>
      <c r="C287" s="1340"/>
      <c r="D287" s="1335"/>
      <c r="E287" s="1335"/>
    </row>
    <row r="288" spans="1:5">
      <c r="A288" s="1317"/>
      <c r="B288" s="1319"/>
      <c r="C288" s="1340"/>
      <c r="D288" s="1335"/>
      <c r="E288" s="1335"/>
    </row>
    <row r="289" spans="1:5">
      <c r="A289" s="1317"/>
      <c r="B289" s="1325" t="s">
        <v>1797</v>
      </c>
      <c r="C289" s="1340"/>
      <c r="D289" s="1335"/>
      <c r="E289" s="1335"/>
    </row>
    <row r="290" spans="1:5">
      <c r="A290" s="1317"/>
      <c r="B290" s="1319"/>
      <c r="C290" s="1340"/>
      <c r="D290" s="1335"/>
      <c r="E290" s="1335"/>
    </row>
    <row r="291" spans="1:5" ht="90">
      <c r="A291" s="1317"/>
      <c r="B291" s="1319" t="s">
        <v>1798</v>
      </c>
      <c r="C291" s="1340" t="s">
        <v>215</v>
      </c>
      <c r="D291" s="1335">
        <v>546</v>
      </c>
      <c r="E291" s="1362">
        <f>D291*$E$5</f>
        <v>580.39800000000002</v>
      </c>
    </row>
    <row r="292" spans="1:5">
      <c r="A292" s="1317"/>
      <c r="B292" s="1319"/>
      <c r="C292" s="1340"/>
      <c r="D292" s="1335"/>
      <c r="E292" s="1335"/>
    </row>
    <row r="293" spans="1:5" ht="90">
      <c r="A293" s="1317"/>
      <c r="B293" s="1319" t="s">
        <v>1799</v>
      </c>
      <c r="C293" s="1340" t="s">
        <v>215</v>
      </c>
      <c r="D293" s="1335">
        <v>488.25</v>
      </c>
      <c r="E293" s="1362">
        <f>D293*$E$5</f>
        <v>519.00974999999994</v>
      </c>
    </row>
    <row r="294" spans="1:5">
      <c r="A294" s="1317"/>
      <c r="B294" s="1319"/>
      <c r="C294" s="1340"/>
      <c r="D294" s="1335"/>
      <c r="E294" s="1335"/>
    </row>
    <row r="295" spans="1:5">
      <c r="A295" s="1317"/>
      <c r="B295" s="1319" t="s">
        <v>1800</v>
      </c>
      <c r="C295" s="1340" t="s">
        <v>217</v>
      </c>
      <c r="D295" s="1335">
        <v>183.75</v>
      </c>
      <c r="E295" s="1362">
        <f>D295*$E$5</f>
        <v>195.32624999999999</v>
      </c>
    </row>
    <row r="296" spans="1:5">
      <c r="A296" s="1317"/>
      <c r="B296" s="1319"/>
      <c r="C296" s="1340"/>
      <c r="D296" s="1335"/>
      <c r="E296" s="1335"/>
    </row>
    <row r="297" spans="1:5">
      <c r="A297" s="1317"/>
      <c r="B297" s="1319" t="s">
        <v>1801</v>
      </c>
      <c r="C297" s="1340" t="s">
        <v>217</v>
      </c>
      <c r="D297" s="1335">
        <v>204.75</v>
      </c>
      <c r="E297" s="1362">
        <f>D297*$E$5</f>
        <v>217.64924999999999</v>
      </c>
    </row>
    <row r="298" spans="1:5">
      <c r="A298" s="1317"/>
      <c r="B298" s="1319"/>
      <c r="C298" s="1340"/>
      <c r="D298" s="1335"/>
      <c r="E298" s="1335"/>
    </row>
    <row r="299" spans="1:5">
      <c r="A299" s="1317"/>
      <c r="B299" s="1319" t="s">
        <v>1802</v>
      </c>
      <c r="C299" s="1340" t="s">
        <v>217</v>
      </c>
      <c r="D299" s="1335">
        <v>252</v>
      </c>
      <c r="E299" s="1362">
        <f>D299*$E$5</f>
        <v>267.87599999999998</v>
      </c>
    </row>
    <row r="300" spans="1:5">
      <c r="A300" s="1317"/>
      <c r="B300" s="1319"/>
      <c r="C300" s="1340"/>
      <c r="D300" s="1335"/>
      <c r="E300" s="1335"/>
    </row>
    <row r="301" spans="1:5">
      <c r="A301" s="1317"/>
      <c r="B301" s="1319" t="s">
        <v>1803</v>
      </c>
      <c r="C301" s="1340" t="s">
        <v>217</v>
      </c>
      <c r="D301" s="1335">
        <v>162.75</v>
      </c>
      <c r="E301" s="1362">
        <f>D301*$E$5</f>
        <v>173.00324999999998</v>
      </c>
    </row>
    <row r="302" spans="1:5">
      <c r="A302" s="1317"/>
      <c r="B302" s="1319"/>
      <c r="C302" s="1340"/>
      <c r="D302" s="1335"/>
      <c r="E302" s="1335"/>
    </row>
    <row r="303" spans="1:5">
      <c r="A303" s="1317"/>
      <c r="B303" s="1319" t="s">
        <v>1804</v>
      </c>
      <c r="C303" s="1340" t="s">
        <v>217</v>
      </c>
      <c r="D303" s="1335">
        <v>189</v>
      </c>
      <c r="E303" s="1362">
        <f>D303*$E$5</f>
        <v>200.90699999999998</v>
      </c>
    </row>
    <row r="304" spans="1:5">
      <c r="A304" s="1317"/>
      <c r="B304" s="1319"/>
      <c r="C304" s="1340"/>
      <c r="D304" s="1335"/>
      <c r="E304" s="1335"/>
    </row>
    <row r="305" spans="1:5">
      <c r="A305" s="1317"/>
      <c r="B305" s="1319" t="s">
        <v>1805</v>
      </c>
      <c r="C305" s="1340" t="s">
        <v>217</v>
      </c>
      <c r="D305" s="1335">
        <v>231</v>
      </c>
      <c r="E305" s="1362">
        <f>D305*$E$5</f>
        <v>245.553</v>
      </c>
    </row>
    <row r="306" spans="1:5">
      <c r="A306" s="1317"/>
      <c r="B306" s="1319"/>
      <c r="C306" s="1340"/>
      <c r="D306" s="1335"/>
      <c r="E306" s="1335"/>
    </row>
    <row r="307" spans="1:5">
      <c r="A307" s="1317"/>
      <c r="B307" s="1319" t="s">
        <v>1806</v>
      </c>
      <c r="C307" s="1340" t="s">
        <v>217</v>
      </c>
      <c r="D307" s="1335">
        <v>189</v>
      </c>
      <c r="E307" s="1362">
        <f>D307*$E$5</f>
        <v>200.90699999999998</v>
      </c>
    </row>
    <row r="308" spans="1:5">
      <c r="A308" s="1317"/>
      <c r="B308" s="1319"/>
      <c r="C308" s="1340"/>
      <c r="D308" s="1335"/>
      <c r="E308" s="1335"/>
    </row>
    <row r="309" spans="1:5" ht="26.25">
      <c r="A309" s="1317"/>
      <c r="B309" s="1325" t="s">
        <v>1807</v>
      </c>
      <c r="C309" s="1340"/>
      <c r="D309" s="1335"/>
      <c r="E309" s="1335"/>
    </row>
    <row r="310" spans="1:5">
      <c r="A310" s="1317"/>
      <c r="B310" s="1319"/>
      <c r="C310" s="1340"/>
      <c r="D310" s="1335"/>
      <c r="E310" s="1335"/>
    </row>
    <row r="311" spans="1:5" ht="30">
      <c r="A311" s="1317"/>
      <c r="B311" s="1319" t="s">
        <v>1808</v>
      </c>
      <c r="C311" s="1340" t="s">
        <v>1293</v>
      </c>
      <c r="D311" s="1335">
        <v>26.25</v>
      </c>
      <c r="E311" s="1362">
        <f>D311*$E$5</f>
        <v>27.903749999999999</v>
      </c>
    </row>
    <row r="312" spans="1:5">
      <c r="A312" s="1317"/>
      <c r="B312" s="1319"/>
      <c r="C312" s="1340"/>
      <c r="D312" s="1335"/>
      <c r="E312" s="1335"/>
    </row>
    <row r="313" spans="1:5" ht="26.25">
      <c r="A313" s="1317"/>
      <c r="B313" s="1318" t="s">
        <v>1809</v>
      </c>
      <c r="C313" s="1340"/>
      <c r="D313" s="1335"/>
      <c r="E313" s="1335"/>
    </row>
    <row r="314" spans="1:5">
      <c r="A314" s="1317"/>
      <c r="B314" s="1319"/>
      <c r="C314" s="1340"/>
      <c r="D314" s="1335"/>
      <c r="E314" s="1335"/>
    </row>
    <row r="315" spans="1:5">
      <c r="A315" s="1317"/>
      <c r="B315" s="1325" t="s">
        <v>1810</v>
      </c>
      <c r="C315" s="1340"/>
      <c r="D315" s="1335"/>
      <c r="E315" s="1335"/>
    </row>
    <row r="316" spans="1:5">
      <c r="A316" s="1317"/>
      <c r="B316" s="1319"/>
      <c r="C316" s="1340"/>
      <c r="D316" s="1335"/>
      <c r="E316" s="1335"/>
    </row>
    <row r="317" spans="1:5">
      <c r="A317" s="1317"/>
      <c r="B317" s="1325" t="s">
        <v>1811</v>
      </c>
      <c r="C317" s="1340"/>
      <c r="D317" s="1335"/>
      <c r="E317" s="1335"/>
    </row>
    <row r="318" spans="1:5">
      <c r="A318" s="1317"/>
      <c r="B318" s="1319"/>
      <c r="C318" s="1340"/>
      <c r="D318" s="1335"/>
      <c r="E318" s="1335"/>
    </row>
    <row r="319" spans="1:5" ht="64.5">
      <c r="A319" s="1317"/>
      <c r="B319" s="1325" t="s">
        <v>3405</v>
      </c>
      <c r="C319" s="1340"/>
      <c r="D319" s="1335"/>
      <c r="E319" s="1335"/>
    </row>
    <row r="320" spans="1:5">
      <c r="A320" s="1317"/>
      <c r="B320" s="1319"/>
      <c r="C320" s="1340"/>
      <c r="D320" s="1335"/>
      <c r="E320" s="1335"/>
    </row>
    <row r="321" spans="1:5" ht="60">
      <c r="A321" s="1317"/>
      <c r="B321" s="1319" t="s">
        <v>1812</v>
      </c>
      <c r="C321" s="1340" t="s">
        <v>608</v>
      </c>
      <c r="D321" s="1335">
        <v>5350214.0999999996</v>
      </c>
      <c r="E321" s="1362">
        <f>D321*$E$5</f>
        <v>5687277.588299999</v>
      </c>
    </row>
    <row r="322" spans="1:5">
      <c r="A322" s="1317"/>
      <c r="B322" s="1319"/>
      <c r="C322" s="1340"/>
      <c r="D322" s="1335"/>
      <c r="E322" s="1335"/>
    </row>
    <row r="323" spans="1:5">
      <c r="A323" s="1326"/>
      <c r="B323" s="1321" t="s">
        <v>1668</v>
      </c>
      <c r="C323" s="1342"/>
      <c r="D323" s="1336"/>
      <c r="E323" s="1336"/>
    </row>
    <row r="324" spans="1:5">
      <c r="A324" s="1326"/>
      <c r="B324" s="1321"/>
      <c r="C324" s="1342"/>
      <c r="D324" s="1336"/>
      <c r="E324" s="1336"/>
    </row>
    <row r="325" spans="1:5">
      <c r="A325" s="1326"/>
      <c r="B325" s="1321" t="s">
        <v>1324</v>
      </c>
      <c r="C325" s="1342"/>
      <c r="D325" s="1336"/>
      <c r="E325" s="1336"/>
    </row>
    <row r="326" spans="1:5">
      <c r="A326" s="1326"/>
      <c r="B326" s="1321" t="s">
        <v>1325</v>
      </c>
      <c r="C326" s="1342"/>
      <c r="D326" s="1336"/>
      <c r="E326" s="1336"/>
    </row>
    <row r="327" spans="1:5">
      <c r="A327" s="1326"/>
      <c r="B327" s="1321"/>
      <c r="C327" s="1342"/>
      <c r="D327" s="1336"/>
      <c r="E327" s="1336"/>
    </row>
    <row r="328" spans="1:5">
      <c r="A328" s="1326"/>
      <c r="B328" s="1321" t="s">
        <v>1326</v>
      </c>
      <c r="C328" s="1342"/>
      <c r="D328" s="1336"/>
      <c r="E328" s="1336"/>
    </row>
    <row r="329" spans="1:5">
      <c r="A329" s="1326"/>
      <c r="B329" s="1326"/>
      <c r="C329" s="1342"/>
      <c r="D329" s="1336"/>
      <c r="E329" s="1336"/>
    </row>
    <row r="330" spans="1:5">
      <c r="A330" s="1326"/>
      <c r="B330" s="1326" t="s">
        <v>1327</v>
      </c>
      <c r="C330" s="1342" t="s">
        <v>1328</v>
      </c>
      <c r="D330" s="1334">
        <v>1763</v>
      </c>
      <c r="E330" s="1362">
        <f>D330*$E$5</f>
        <v>1874.069</v>
      </c>
    </row>
    <row r="331" spans="1:5">
      <c r="A331" s="1326"/>
      <c r="B331" s="1326"/>
      <c r="C331" s="1342"/>
      <c r="D331" s="1336"/>
      <c r="E331" s="1336"/>
    </row>
    <row r="332" spans="1:5">
      <c r="A332" s="1326"/>
      <c r="B332" s="1323" t="s">
        <v>1329</v>
      </c>
      <c r="C332" s="1342" t="s">
        <v>1328</v>
      </c>
      <c r="D332" s="1334">
        <v>1763</v>
      </c>
      <c r="E332" s="1362">
        <f>D332*$E$5</f>
        <v>1874.069</v>
      </c>
    </row>
    <row r="333" spans="1:5">
      <c r="A333" s="1326"/>
      <c r="B333" s="1323"/>
      <c r="C333" s="1342"/>
      <c r="D333" s="1336"/>
      <c r="E333" s="1336"/>
    </row>
    <row r="334" spans="1:5">
      <c r="A334" s="1326"/>
      <c r="B334" s="1323" t="s">
        <v>1330</v>
      </c>
      <c r="C334" s="1342" t="s">
        <v>1328</v>
      </c>
      <c r="D334" s="1334">
        <v>1763</v>
      </c>
      <c r="E334" s="1362">
        <f>D334*$E$5</f>
        <v>1874.069</v>
      </c>
    </row>
    <row r="335" spans="1:5">
      <c r="A335" s="1326"/>
      <c r="B335" s="1323"/>
      <c r="C335" s="1342"/>
      <c r="D335" s="1336"/>
      <c r="E335" s="1336"/>
    </row>
    <row r="336" spans="1:5">
      <c r="A336" s="1326"/>
      <c r="B336" s="1323" t="s">
        <v>1331</v>
      </c>
      <c r="C336" s="1342" t="s">
        <v>1328</v>
      </c>
      <c r="D336" s="1334">
        <v>1763</v>
      </c>
      <c r="E336" s="1362">
        <f>D336*$E$5</f>
        <v>1874.069</v>
      </c>
    </row>
    <row r="337" spans="1:5">
      <c r="A337" s="1326"/>
      <c r="B337" s="1323"/>
      <c r="C337" s="1342"/>
      <c r="D337" s="1336"/>
      <c r="E337" s="1336"/>
    </row>
    <row r="338" spans="1:5">
      <c r="A338" s="1326"/>
      <c r="B338" s="1321" t="s">
        <v>1332</v>
      </c>
      <c r="C338" s="1342"/>
      <c r="D338" s="1336"/>
      <c r="E338" s="1336"/>
    </row>
    <row r="339" spans="1:5">
      <c r="A339" s="1326"/>
      <c r="B339" s="1323"/>
      <c r="C339" s="1342"/>
      <c r="D339" s="1336"/>
      <c r="E339" s="1336"/>
    </row>
    <row r="340" spans="1:5">
      <c r="A340" s="1326"/>
      <c r="B340" s="1323" t="s">
        <v>1333</v>
      </c>
      <c r="C340" s="1342" t="s">
        <v>1328</v>
      </c>
      <c r="D340" s="1334">
        <v>2036.4267129228101</v>
      </c>
      <c r="E340" s="1362">
        <f>D340*$E$5</f>
        <v>2164.721595836947</v>
      </c>
    </row>
    <row r="341" spans="1:5">
      <c r="A341" s="1326"/>
      <c r="B341" s="1323"/>
      <c r="C341" s="1342"/>
      <c r="D341" s="1336"/>
      <c r="E341" s="1336"/>
    </row>
    <row r="342" spans="1:5">
      <c r="A342" s="1326"/>
      <c r="B342" s="1323" t="s">
        <v>1334</v>
      </c>
      <c r="C342" s="1342" t="s">
        <v>1328</v>
      </c>
      <c r="D342" s="1334">
        <v>2036.4267129228101</v>
      </c>
      <c r="E342" s="1362">
        <f>D342*$E$5</f>
        <v>2164.721595836947</v>
      </c>
    </row>
    <row r="343" spans="1:5">
      <c r="A343" s="1326"/>
      <c r="B343" s="1323"/>
      <c r="C343" s="1342"/>
      <c r="D343" s="1336"/>
      <c r="E343" s="1336"/>
    </row>
    <row r="344" spans="1:5">
      <c r="A344" s="1326"/>
      <c r="B344" s="1323" t="s">
        <v>1335</v>
      </c>
      <c r="C344" s="1342" t="s">
        <v>1328</v>
      </c>
      <c r="D344" s="1334">
        <v>2036.4267129228101</v>
      </c>
      <c r="E344" s="1362">
        <f>D344*$E$5</f>
        <v>2164.721595836947</v>
      </c>
    </row>
    <row r="345" spans="1:5">
      <c r="A345" s="1326"/>
      <c r="B345" s="1323"/>
      <c r="C345" s="1342"/>
      <c r="D345" s="1336"/>
      <c r="E345" s="1336"/>
    </row>
    <row r="346" spans="1:5">
      <c r="A346" s="1326"/>
      <c r="B346" s="1321" t="s">
        <v>1336</v>
      </c>
      <c r="C346" s="1342"/>
      <c r="D346" s="1336"/>
      <c r="E346" s="1336"/>
    </row>
    <row r="347" spans="1:5">
      <c r="A347" s="1326"/>
      <c r="B347" s="1321" t="s">
        <v>1337</v>
      </c>
      <c r="C347" s="1342"/>
      <c r="D347" s="1336"/>
      <c r="E347" s="1336"/>
    </row>
    <row r="348" spans="1:5">
      <c r="A348" s="1326"/>
      <c r="B348" s="1326"/>
      <c r="C348" s="1342"/>
      <c r="D348" s="1336"/>
      <c r="E348" s="1336"/>
    </row>
    <row r="349" spans="1:5">
      <c r="A349" s="1326"/>
      <c r="B349" s="1326" t="s">
        <v>1338</v>
      </c>
      <c r="C349" s="1342" t="s">
        <v>217</v>
      </c>
      <c r="D349" s="1334">
        <v>305.46400693842151</v>
      </c>
      <c r="E349" s="1362">
        <f>D349*$E$5</f>
        <v>324.70823937554206</v>
      </c>
    </row>
    <row r="350" spans="1:5">
      <c r="A350" s="1326"/>
      <c r="B350" s="1326" t="s">
        <v>1339</v>
      </c>
      <c r="C350" s="1342"/>
      <c r="D350" s="1336"/>
      <c r="E350" s="1336"/>
    </row>
    <row r="351" spans="1:5">
      <c r="A351" s="1326"/>
      <c r="B351" s="1326"/>
      <c r="C351" s="1342"/>
      <c r="D351" s="1336"/>
      <c r="E351" s="1336"/>
    </row>
    <row r="352" spans="1:5">
      <c r="A352" s="1326"/>
      <c r="B352" s="1327" t="s">
        <v>1340</v>
      </c>
      <c r="C352" s="1342"/>
      <c r="D352" s="1336"/>
      <c r="E352" s="1336"/>
    </row>
    <row r="353" spans="1:5">
      <c r="A353" s="1326"/>
      <c r="B353" s="1326"/>
      <c r="C353" s="1342"/>
      <c r="D353" s="1336"/>
      <c r="E353" s="1336"/>
    </row>
    <row r="354" spans="1:5" ht="30">
      <c r="A354" s="1326"/>
      <c r="B354" s="1326" t="s">
        <v>1341</v>
      </c>
      <c r="C354" s="1342" t="s">
        <v>217</v>
      </c>
      <c r="D354" s="1334">
        <v>661.83868169991331</v>
      </c>
      <c r="E354" s="1362">
        <f>D354*$E$5</f>
        <v>703.53451864700776</v>
      </c>
    </row>
    <row r="355" spans="1:5">
      <c r="A355" s="1326"/>
      <c r="B355" s="1326" t="s">
        <v>1342</v>
      </c>
      <c r="C355" s="1342"/>
      <c r="D355" s="1336"/>
      <c r="E355" s="1336"/>
    </row>
    <row r="356" spans="1:5">
      <c r="A356" s="1326"/>
      <c r="B356" s="1326"/>
      <c r="C356" s="1342"/>
      <c r="D356" s="1336"/>
      <c r="E356" s="1336"/>
    </row>
    <row r="357" spans="1:5" ht="30">
      <c r="A357" s="1326"/>
      <c r="B357" s="1326" t="s">
        <v>1343</v>
      </c>
      <c r="C357" s="1342" t="s">
        <v>217</v>
      </c>
      <c r="D357" s="1334">
        <v>814.57068516912409</v>
      </c>
      <c r="E357" s="1362">
        <f>D357*$E$5</f>
        <v>865.88863833477888</v>
      </c>
    </row>
    <row r="358" spans="1:5">
      <c r="A358" s="1326"/>
      <c r="B358" s="1326" t="s">
        <v>1342</v>
      </c>
      <c r="C358" s="1342"/>
      <c r="D358" s="1336"/>
      <c r="E358" s="1336"/>
    </row>
    <row r="359" spans="1:5">
      <c r="A359" s="1326"/>
      <c r="B359" s="1326"/>
      <c r="C359" s="1342"/>
      <c r="D359" s="1336"/>
      <c r="E359" s="1336"/>
    </row>
    <row r="360" spans="1:5">
      <c r="A360" s="1326"/>
      <c r="B360" s="1321" t="s">
        <v>1344</v>
      </c>
      <c r="C360" s="1342"/>
      <c r="D360" s="1336"/>
      <c r="E360" s="1336"/>
    </row>
    <row r="361" spans="1:5">
      <c r="A361" s="1326"/>
      <c r="B361" s="1326"/>
      <c r="C361" s="1342"/>
      <c r="D361" s="1336"/>
      <c r="E361" s="1336"/>
    </row>
    <row r="362" spans="1:5">
      <c r="A362" s="1326"/>
      <c r="B362" s="1321" t="s">
        <v>1345</v>
      </c>
      <c r="C362" s="1342"/>
      <c r="D362" s="1336"/>
      <c r="E362" s="1336"/>
    </row>
    <row r="363" spans="1:5">
      <c r="A363" s="1326"/>
      <c r="B363" s="1326"/>
      <c r="C363" s="1342"/>
      <c r="D363" s="1336"/>
      <c r="E363" s="1336"/>
    </row>
    <row r="364" spans="1:5">
      <c r="A364" s="1326"/>
      <c r="B364" s="1321" t="s">
        <v>1346</v>
      </c>
      <c r="C364" s="1342"/>
      <c r="D364" s="1336"/>
      <c r="E364" s="1336"/>
    </row>
    <row r="365" spans="1:5">
      <c r="A365" s="1326"/>
      <c r="B365" s="1326"/>
      <c r="C365" s="1342"/>
      <c r="D365" s="1336"/>
      <c r="E365" s="1336"/>
    </row>
    <row r="366" spans="1:5" ht="30">
      <c r="A366" s="1326"/>
      <c r="B366" s="1326" t="s">
        <v>1347</v>
      </c>
      <c r="C366" s="1342" t="s">
        <v>215</v>
      </c>
      <c r="D366" s="1334">
        <v>50.910667823070256</v>
      </c>
      <c r="E366" s="1362">
        <f>D366*$E$5</f>
        <v>54.11803989592368</v>
      </c>
    </row>
    <row r="367" spans="1:5">
      <c r="A367" s="1326"/>
      <c r="B367" s="1326"/>
      <c r="C367" s="1342"/>
      <c r="D367" s="1336"/>
      <c r="E367" s="1336"/>
    </row>
    <row r="368" spans="1:5">
      <c r="A368" s="1326"/>
      <c r="B368" s="1321" t="s">
        <v>1348</v>
      </c>
      <c r="C368" s="1342"/>
      <c r="D368" s="1336"/>
      <c r="E368" s="1336"/>
    </row>
    <row r="369" spans="1:5">
      <c r="A369" s="1326"/>
      <c r="B369" s="1326"/>
      <c r="C369" s="1342"/>
      <c r="D369" s="1336"/>
      <c r="E369" s="1336"/>
    </row>
    <row r="370" spans="1:5" ht="30">
      <c r="A370" s="1326"/>
      <c r="B370" s="1323" t="s">
        <v>1349</v>
      </c>
      <c r="C370" s="1342" t="s">
        <v>206</v>
      </c>
      <c r="D370" s="1334">
        <v>81.457068516912415</v>
      </c>
      <c r="E370" s="1362">
        <f>D370*$E$5</f>
        <v>86.588863833477888</v>
      </c>
    </row>
    <row r="371" spans="1:5">
      <c r="A371" s="1326"/>
      <c r="B371" s="1326"/>
      <c r="C371" s="1342"/>
      <c r="D371" s="1336"/>
      <c r="E371" s="1336"/>
    </row>
    <row r="372" spans="1:5" ht="30">
      <c r="A372" s="1326"/>
      <c r="B372" s="1323" t="s">
        <v>1350</v>
      </c>
      <c r="C372" s="1342" t="s">
        <v>206</v>
      </c>
      <c r="D372" s="1334">
        <v>40.728534258456207</v>
      </c>
      <c r="E372" s="1362">
        <f>D372*$E$5</f>
        <v>43.294431916738944</v>
      </c>
    </row>
    <row r="373" spans="1:5">
      <c r="A373" s="1326"/>
      <c r="B373" s="1326"/>
      <c r="C373" s="1342"/>
      <c r="D373" s="1336"/>
      <c r="E373" s="1336"/>
    </row>
    <row r="374" spans="1:5">
      <c r="A374" s="1326"/>
      <c r="B374" s="1321" t="s">
        <v>1351</v>
      </c>
      <c r="C374" s="1342"/>
      <c r="D374" s="1336"/>
      <c r="E374" s="1336"/>
    </row>
    <row r="375" spans="1:5">
      <c r="A375" s="1326"/>
      <c r="B375" s="1321"/>
      <c r="C375" s="1342"/>
      <c r="D375" s="1336"/>
      <c r="E375" s="1336"/>
    </row>
    <row r="376" spans="1:5">
      <c r="A376" s="1326"/>
      <c r="B376" s="1321" t="s">
        <v>1352</v>
      </c>
      <c r="C376" s="1342"/>
      <c r="D376" s="1336"/>
      <c r="E376" s="1336"/>
    </row>
    <row r="377" spans="1:5">
      <c r="A377" s="1326"/>
      <c r="B377" s="1321" t="s">
        <v>1353</v>
      </c>
      <c r="C377" s="1342"/>
      <c r="D377" s="1336"/>
      <c r="E377" s="1336"/>
    </row>
    <row r="378" spans="1:5">
      <c r="A378" s="1326"/>
      <c r="B378" s="1326"/>
      <c r="C378" s="1342"/>
      <c r="D378" s="1336"/>
      <c r="E378" s="1336"/>
    </row>
    <row r="379" spans="1:5">
      <c r="A379" s="1326"/>
      <c r="B379" s="1326" t="s">
        <v>1354</v>
      </c>
      <c r="C379" s="1342" t="s">
        <v>215</v>
      </c>
      <c r="D379" s="1334">
        <v>30.546400693842152</v>
      </c>
      <c r="E379" s="1362">
        <f>D379*$E$5</f>
        <v>32.470823937554208</v>
      </c>
    </row>
    <row r="380" spans="1:5">
      <c r="A380" s="1326"/>
      <c r="B380" s="1326"/>
      <c r="C380" s="1342"/>
      <c r="D380" s="1336"/>
      <c r="E380" s="1336"/>
    </row>
    <row r="381" spans="1:5">
      <c r="A381" s="1320"/>
      <c r="B381" s="1321" t="s">
        <v>1355</v>
      </c>
      <c r="C381" s="1320"/>
      <c r="D381" s="1324"/>
      <c r="E381" s="1324"/>
    </row>
    <row r="382" spans="1:5">
      <c r="A382" s="1320"/>
      <c r="B382" s="1323"/>
      <c r="C382" s="1320"/>
      <c r="D382" s="1324"/>
      <c r="E382" s="1324"/>
    </row>
    <row r="383" spans="1:5" ht="30">
      <c r="A383" s="1320"/>
      <c r="B383" s="1323" t="s">
        <v>1356</v>
      </c>
      <c r="C383" s="1320" t="s">
        <v>1357</v>
      </c>
      <c r="D383" s="1334">
        <v>15273.200346921076</v>
      </c>
      <c r="E383" s="1362">
        <f>D383*$E$5</f>
        <v>16235.411968777104</v>
      </c>
    </row>
    <row r="384" spans="1:5">
      <c r="A384" s="1320"/>
      <c r="B384" s="1323"/>
      <c r="C384" s="1320"/>
      <c r="D384" s="1324"/>
      <c r="E384" s="1324"/>
    </row>
    <row r="385" spans="1:5">
      <c r="A385" s="1326"/>
      <c r="B385" s="1321" t="s">
        <v>1358</v>
      </c>
      <c r="C385" s="1342"/>
      <c r="D385" s="1336"/>
      <c r="E385" s="1336"/>
    </row>
    <row r="386" spans="1:5">
      <c r="A386" s="1326"/>
      <c r="B386" s="1321"/>
      <c r="C386" s="1342"/>
      <c r="D386" s="1336"/>
      <c r="E386" s="1336"/>
    </row>
    <row r="387" spans="1:5">
      <c r="A387" s="1326"/>
      <c r="B387" s="1321" t="s">
        <v>1359</v>
      </c>
      <c r="C387" s="1342"/>
      <c r="D387" s="1336"/>
      <c r="E387" s="1336"/>
    </row>
    <row r="388" spans="1:5">
      <c r="A388" s="1326"/>
      <c r="B388" s="1321"/>
      <c r="C388" s="1342"/>
      <c r="D388" s="1336"/>
      <c r="E388" s="1336"/>
    </row>
    <row r="389" spans="1:5">
      <c r="A389" s="1326"/>
      <c r="B389" s="1321" t="s">
        <v>1360</v>
      </c>
      <c r="C389" s="1342"/>
      <c r="D389" s="1336"/>
      <c r="E389" s="1336"/>
    </row>
    <row r="390" spans="1:5">
      <c r="A390" s="1326"/>
      <c r="B390" s="1321" t="s">
        <v>1361</v>
      </c>
      <c r="C390" s="1342"/>
      <c r="D390" s="1336"/>
      <c r="E390" s="1336"/>
    </row>
    <row r="391" spans="1:5">
      <c r="A391" s="1326"/>
      <c r="B391" s="1321"/>
      <c r="C391" s="1342"/>
      <c r="D391" s="1336"/>
      <c r="E391" s="1336"/>
    </row>
    <row r="392" spans="1:5">
      <c r="A392" s="1326"/>
      <c r="B392" s="1323" t="s">
        <v>1362</v>
      </c>
      <c r="C392" s="1342" t="s">
        <v>206</v>
      </c>
      <c r="D392" s="1334">
        <v>61.092801387684304</v>
      </c>
      <c r="E392" s="1362">
        <f>D392*$E$5</f>
        <v>64.941647875108416</v>
      </c>
    </row>
    <row r="393" spans="1:5">
      <c r="A393" s="1326"/>
      <c r="B393" s="1326"/>
      <c r="C393" s="1342"/>
      <c r="D393" s="1336"/>
      <c r="E393" s="1336"/>
    </row>
    <row r="394" spans="1:5">
      <c r="A394" s="1326"/>
      <c r="B394" s="1321" t="s">
        <v>1363</v>
      </c>
      <c r="C394" s="1342"/>
      <c r="D394" s="1336"/>
      <c r="E394" s="1336"/>
    </row>
    <row r="395" spans="1:5">
      <c r="A395" s="1326"/>
      <c r="B395" s="1321" t="s">
        <v>1364</v>
      </c>
      <c r="C395" s="1342"/>
      <c r="D395" s="1336"/>
      <c r="E395" s="1336"/>
    </row>
    <row r="396" spans="1:5">
      <c r="A396" s="1326"/>
      <c r="B396" s="1321" t="s">
        <v>1365</v>
      </c>
      <c r="C396" s="1342"/>
      <c r="D396" s="1336"/>
      <c r="E396" s="1336"/>
    </row>
    <row r="397" spans="1:5">
      <c r="A397" s="1326"/>
      <c r="B397" s="1321" t="s">
        <v>1366</v>
      </c>
      <c r="C397" s="1342"/>
      <c r="D397" s="1336"/>
      <c r="E397" s="1336"/>
    </row>
    <row r="398" spans="1:5">
      <c r="A398" s="1326"/>
      <c r="B398" s="1326"/>
      <c r="C398" s="1342"/>
      <c r="D398" s="1336"/>
      <c r="E398" s="1336"/>
    </row>
    <row r="399" spans="1:5">
      <c r="A399" s="1326"/>
      <c r="B399" s="1326" t="s">
        <v>1367</v>
      </c>
      <c r="C399" s="1342" t="s">
        <v>206</v>
      </c>
      <c r="D399" s="1334">
        <v>30.546400693842152</v>
      </c>
      <c r="E399" s="1362">
        <f>D399*$E$5</f>
        <v>32.470823937554208</v>
      </c>
    </row>
    <row r="400" spans="1:5">
      <c r="A400" s="1326"/>
      <c r="B400" s="1326"/>
      <c r="C400" s="1342"/>
      <c r="D400" s="1336"/>
      <c r="E400" s="1336"/>
    </row>
    <row r="401" spans="1:5">
      <c r="A401" s="1326"/>
      <c r="B401" s="1327" t="s">
        <v>1368</v>
      </c>
      <c r="C401" s="1320"/>
      <c r="D401" s="1336"/>
      <c r="E401" s="1336"/>
    </row>
    <row r="402" spans="1:5">
      <c r="A402" s="1326"/>
      <c r="B402" s="1327" t="s">
        <v>1369</v>
      </c>
      <c r="C402" s="1342"/>
      <c r="D402" s="1336"/>
      <c r="E402" s="1336"/>
    </row>
    <row r="403" spans="1:5">
      <c r="A403" s="1326"/>
      <c r="B403" s="1326"/>
      <c r="C403" s="1342"/>
      <c r="D403" s="1336"/>
      <c r="E403" s="1336"/>
    </row>
    <row r="404" spans="1:5">
      <c r="A404" s="1326"/>
      <c r="B404" s="1326" t="s">
        <v>1370</v>
      </c>
      <c r="C404" s="1342" t="s">
        <v>206</v>
      </c>
      <c r="D404" s="1334">
        <v>30.546400693842152</v>
      </c>
      <c r="E404" s="1362">
        <f>D404*$E$5</f>
        <v>32.470823937554208</v>
      </c>
    </row>
    <row r="405" spans="1:5">
      <c r="A405" s="1326"/>
      <c r="B405" s="1326"/>
      <c r="C405" s="1342"/>
      <c r="D405" s="1336"/>
      <c r="E405" s="1336"/>
    </row>
    <row r="406" spans="1:5">
      <c r="A406" s="1326"/>
      <c r="B406" s="1321" t="s">
        <v>1371</v>
      </c>
      <c r="C406" s="1342"/>
      <c r="D406" s="1336"/>
      <c r="E406" s="1336"/>
    </row>
    <row r="407" spans="1:5">
      <c r="A407" s="1326"/>
      <c r="B407" s="1321"/>
      <c r="C407" s="1342"/>
      <c r="D407" s="1336"/>
      <c r="E407" s="1336"/>
    </row>
    <row r="408" spans="1:5">
      <c r="A408" s="1326"/>
      <c r="B408" s="1321" t="s">
        <v>1372</v>
      </c>
      <c r="C408" s="1342"/>
      <c r="D408" s="1336"/>
      <c r="E408" s="1336"/>
    </row>
    <row r="409" spans="1:5">
      <c r="A409" s="1326"/>
      <c r="B409" s="1321"/>
      <c r="C409" s="1342"/>
      <c r="D409" s="1336"/>
      <c r="E409" s="1336"/>
    </row>
    <row r="410" spans="1:5">
      <c r="A410" s="1326"/>
      <c r="B410" s="1321" t="s">
        <v>1373</v>
      </c>
      <c r="C410" s="1342"/>
      <c r="D410" s="1336"/>
      <c r="E410" s="1336"/>
    </row>
    <row r="411" spans="1:5">
      <c r="A411" s="1326"/>
      <c r="B411" s="1321"/>
      <c r="C411" s="1342"/>
      <c r="D411" s="1336"/>
      <c r="E411" s="1336"/>
    </row>
    <row r="412" spans="1:5">
      <c r="A412" s="1326"/>
      <c r="B412" s="1323" t="s">
        <v>1374</v>
      </c>
      <c r="C412" s="1342" t="s">
        <v>206</v>
      </c>
      <c r="D412" s="1334">
        <v>458.19601040763229</v>
      </c>
      <c r="E412" s="1362">
        <f>D412*$E$5</f>
        <v>487.06235906331307</v>
      </c>
    </row>
    <row r="413" spans="1:5">
      <c r="A413" s="1326"/>
      <c r="B413" s="1321"/>
      <c r="C413" s="1342"/>
      <c r="D413" s="1336"/>
      <c r="E413" s="1336"/>
    </row>
    <row r="414" spans="1:5">
      <c r="A414" s="1326"/>
      <c r="B414" s="1323" t="s">
        <v>1375</v>
      </c>
      <c r="C414" s="1342" t="s">
        <v>206</v>
      </c>
      <c r="D414" s="1334">
        <v>458.19601040763229</v>
      </c>
      <c r="E414" s="1362">
        <f>D414*$E$5</f>
        <v>487.06235906331307</v>
      </c>
    </row>
    <row r="415" spans="1:5">
      <c r="A415" s="1326"/>
      <c r="B415" s="1321"/>
      <c r="C415" s="1342"/>
      <c r="D415" s="1336"/>
      <c r="E415" s="1336"/>
    </row>
    <row r="416" spans="1:5">
      <c r="A416" s="1326"/>
      <c r="B416" s="1321" t="s">
        <v>1376</v>
      </c>
      <c r="C416" s="1342"/>
      <c r="D416" s="1336"/>
      <c r="E416" s="1336"/>
    </row>
    <row r="417" spans="1:5">
      <c r="A417" s="1326"/>
      <c r="B417" s="1321"/>
      <c r="C417" s="1342"/>
      <c r="D417" s="1336"/>
      <c r="E417" s="1336"/>
    </row>
    <row r="418" spans="1:5">
      <c r="A418" s="1326"/>
      <c r="B418" s="1321" t="s">
        <v>1377</v>
      </c>
      <c r="C418" s="1342"/>
      <c r="D418" s="1336"/>
      <c r="E418" s="1336"/>
    </row>
    <row r="419" spans="1:5">
      <c r="A419" s="1326"/>
      <c r="B419" s="1321"/>
      <c r="C419" s="1342"/>
      <c r="D419" s="1336"/>
      <c r="E419" s="1336"/>
    </row>
    <row r="420" spans="1:5">
      <c r="A420" s="1326"/>
      <c r="B420" s="1323" t="s">
        <v>1374</v>
      </c>
      <c r="C420" s="1342" t="s">
        <v>206</v>
      </c>
      <c r="D420" s="1334">
        <v>458.19601040763229</v>
      </c>
      <c r="E420" s="1362">
        <f>D420*$E$5</f>
        <v>487.06235906331307</v>
      </c>
    </row>
    <row r="421" spans="1:5">
      <c r="A421" s="1326"/>
      <c r="B421" s="1321"/>
      <c r="C421" s="1342"/>
      <c r="D421" s="1336"/>
      <c r="E421" s="1336"/>
    </row>
    <row r="422" spans="1:5">
      <c r="A422" s="1326"/>
      <c r="B422" s="1327" t="s">
        <v>1378</v>
      </c>
      <c r="C422" s="1342"/>
      <c r="D422" s="1336"/>
      <c r="E422" s="1336"/>
    </row>
    <row r="423" spans="1:5">
      <c r="A423" s="1326"/>
      <c r="B423" s="1326"/>
      <c r="C423" s="1342"/>
      <c r="D423" s="1336"/>
      <c r="E423" s="1336"/>
    </row>
    <row r="424" spans="1:5">
      <c r="A424" s="1326"/>
      <c r="B424" s="1327" t="s">
        <v>1379</v>
      </c>
      <c r="C424" s="1342"/>
      <c r="D424" s="1336"/>
      <c r="E424" s="1336"/>
    </row>
    <row r="425" spans="1:5">
      <c r="A425" s="1326"/>
      <c r="B425" s="1326"/>
      <c r="C425" s="1342"/>
      <c r="D425" s="1336"/>
      <c r="E425" s="1336"/>
    </row>
    <row r="426" spans="1:5">
      <c r="A426" s="1326"/>
      <c r="B426" s="1326" t="s">
        <v>1380</v>
      </c>
      <c r="C426" s="1342" t="s">
        <v>215</v>
      </c>
      <c r="D426" s="1334">
        <v>8.1457068516912408</v>
      </c>
      <c r="E426" s="1362">
        <f>D426*$E$5</f>
        <v>8.658886383347788</v>
      </c>
    </row>
    <row r="427" spans="1:5">
      <c r="A427" s="1326"/>
      <c r="B427" s="1326"/>
      <c r="C427" s="1342"/>
      <c r="D427" s="1336"/>
      <c r="E427" s="1336"/>
    </row>
    <row r="428" spans="1:5">
      <c r="A428" s="1326"/>
      <c r="B428" s="1326" t="s">
        <v>1381</v>
      </c>
      <c r="C428" s="1342" t="s">
        <v>206</v>
      </c>
      <c r="D428" s="1334">
        <v>61.092801387684304</v>
      </c>
      <c r="E428" s="1362">
        <f>D428*$E$5</f>
        <v>64.941647875108416</v>
      </c>
    </row>
    <row r="429" spans="1:5">
      <c r="A429" s="1326"/>
      <c r="B429" s="1321"/>
      <c r="C429" s="1342"/>
      <c r="D429" s="1336"/>
      <c r="E429" s="1336"/>
    </row>
    <row r="430" spans="1:5">
      <c r="A430" s="1326"/>
      <c r="B430" s="1327" t="s">
        <v>1382</v>
      </c>
      <c r="C430" s="1342"/>
      <c r="D430" s="1336"/>
      <c r="E430" s="1336"/>
    </row>
    <row r="431" spans="1:5">
      <c r="A431" s="1326"/>
      <c r="B431" s="1323"/>
      <c r="C431" s="1342"/>
      <c r="D431" s="1336"/>
      <c r="E431" s="1336"/>
    </row>
    <row r="432" spans="1:5">
      <c r="A432" s="1326"/>
      <c r="B432" s="1323" t="s">
        <v>1383</v>
      </c>
      <c r="C432" s="1342" t="s">
        <v>215</v>
      </c>
      <c r="D432" s="1334">
        <v>152.73200346921075</v>
      </c>
      <c r="E432" s="1362">
        <f>D432*$E$5</f>
        <v>162.35411968777103</v>
      </c>
    </row>
    <row r="433" spans="1:5">
      <c r="A433" s="1326"/>
      <c r="B433" s="1323"/>
      <c r="C433" s="1342"/>
      <c r="D433" s="1336"/>
      <c r="E433" s="1336"/>
    </row>
    <row r="434" spans="1:5">
      <c r="A434" s="1326"/>
      <c r="B434" s="1327" t="s">
        <v>1384</v>
      </c>
      <c r="C434" s="1342"/>
      <c r="D434" s="1336"/>
      <c r="E434" s="1336"/>
    </row>
    <row r="435" spans="1:5">
      <c r="A435" s="1326"/>
      <c r="B435" s="1326"/>
      <c r="C435" s="1342"/>
      <c r="D435" s="1336"/>
      <c r="E435" s="1336"/>
    </row>
    <row r="436" spans="1:5" ht="30">
      <c r="A436" s="1326"/>
      <c r="B436" s="1326" t="s">
        <v>1385</v>
      </c>
      <c r="C436" s="1342" t="s">
        <v>215</v>
      </c>
      <c r="D436" s="1334">
        <v>50.910667823070256</v>
      </c>
      <c r="E436" s="1362">
        <f>D436*$E$5</f>
        <v>54.11803989592368</v>
      </c>
    </row>
    <row r="437" spans="1:5">
      <c r="A437" s="1326"/>
      <c r="B437" s="1326" t="s">
        <v>1386</v>
      </c>
      <c r="C437" s="1342"/>
      <c r="D437" s="1336"/>
      <c r="E437" s="1336"/>
    </row>
    <row r="438" spans="1:5">
      <c r="A438" s="1326"/>
      <c r="B438" s="1326"/>
      <c r="C438" s="1342"/>
      <c r="D438" s="1336"/>
      <c r="E438" s="1336"/>
    </row>
    <row r="439" spans="1:5">
      <c r="A439" s="1320"/>
      <c r="B439" s="1321" t="s">
        <v>1387</v>
      </c>
      <c r="C439" s="1341"/>
      <c r="D439" s="1322"/>
      <c r="E439" s="1322"/>
    </row>
    <row r="440" spans="1:5">
      <c r="A440" s="1320"/>
      <c r="B440" s="1321"/>
      <c r="C440" s="1341"/>
      <c r="D440" s="1322"/>
      <c r="E440" s="1322"/>
    </row>
    <row r="441" spans="1:5">
      <c r="A441" s="1320"/>
      <c r="B441" s="1323" t="s">
        <v>1388</v>
      </c>
      <c r="C441" s="1320" t="s">
        <v>215</v>
      </c>
      <c r="D441" s="1334">
        <v>91.639202081526463</v>
      </c>
      <c r="E441" s="1362">
        <f>D441*$E$5</f>
        <v>97.412471812662631</v>
      </c>
    </row>
    <row r="442" spans="1:5">
      <c r="A442" s="1320"/>
      <c r="B442" s="1321"/>
      <c r="C442" s="1341"/>
      <c r="D442" s="1322"/>
      <c r="E442" s="1322"/>
    </row>
    <row r="443" spans="1:5">
      <c r="A443" s="1320"/>
      <c r="B443" s="1321" t="s">
        <v>1389</v>
      </c>
      <c r="C443" s="1341"/>
      <c r="D443" s="1322"/>
      <c r="E443" s="1322"/>
    </row>
    <row r="444" spans="1:5">
      <c r="A444" s="1320"/>
      <c r="B444" s="1321"/>
      <c r="C444" s="1341"/>
      <c r="D444" s="1322"/>
      <c r="E444" s="1322"/>
    </row>
    <row r="445" spans="1:5">
      <c r="A445" s="1320"/>
      <c r="B445" s="1321" t="s">
        <v>1390</v>
      </c>
      <c r="C445" s="1342"/>
      <c r="D445" s="1336"/>
      <c r="E445" s="1336"/>
    </row>
    <row r="446" spans="1:5">
      <c r="A446" s="1320"/>
      <c r="B446" s="1321"/>
      <c r="C446" s="1342"/>
      <c r="D446" s="1336"/>
      <c r="E446" s="1336"/>
    </row>
    <row r="447" spans="1:5">
      <c r="A447" s="1320"/>
      <c r="B447" s="1321" t="s">
        <v>1391</v>
      </c>
      <c r="C447" s="1342"/>
      <c r="D447" s="1336"/>
      <c r="E447" s="1336"/>
    </row>
    <row r="448" spans="1:5">
      <c r="A448" s="1320"/>
      <c r="B448" s="1326"/>
      <c r="C448" s="1342"/>
      <c r="D448" s="1336"/>
      <c r="E448" s="1336"/>
    </row>
    <row r="449" spans="1:5" ht="30">
      <c r="A449" s="1320"/>
      <c r="B449" s="1326" t="s">
        <v>1392</v>
      </c>
      <c r="C449" s="1342" t="s">
        <v>217</v>
      </c>
      <c r="D449" s="1334">
        <v>1832.7840416305291</v>
      </c>
      <c r="E449" s="1362">
        <f>D449*$E$5</f>
        <v>1948.2494362532523</v>
      </c>
    </row>
    <row r="450" spans="1:5" ht="30">
      <c r="A450" s="1320"/>
      <c r="B450" s="1326" t="s">
        <v>1393</v>
      </c>
      <c r="C450" s="1342"/>
      <c r="D450" s="1336"/>
      <c r="E450" s="1336"/>
    </row>
    <row r="451" spans="1:5">
      <c r="A451" s="1320"/>
      <c r="B451" s="1326" t="s">
        <v>1394</v>
      </c>
      <c r="C451" s="1342"/>
      <c r="D451" s="1336"/>
      <c r="E451" s="1336"/>
    </row>
    <row r="452" spans="1:5">
      <c r="A452" s="1326"/>
      <c r="B452" s="1321"/>
      <c r="C452" s="1342"/>
      <c r="D452" s="1336"/>
      <c r="E452" s="1336"/>
    </row>
    <row r="453" spans="1:5" ht="11.85" customHeight="1">
      <c r="A453" s="1326"/>
      <c r="B453" s="1326" t="s">
        <v>1395</v>
      </c>
      <c r="C453" s="1342" t="s">
        <v>217</v>
      </c>
      <c r="D453" s="1334">
        <v>1832.7840416305291</v>
      </c>
      <c r="E453" s="1362">
        <f>D453*$E$5</f>
        <v>1948.2494362532523</v>
      </c>
    </row>
    <row r="454" spans="1:5" ht="11.85" customHeight="1">
      <c r="A454" s="1326"/>
      <c r="B454" s="1326" t="s">
        <v>1393</v>
      </c>
      <c r="C454" s="1342"/>
      <c r="D454" s="1336"/>
      <c r="E454" s="1336"/>
    </row>
    <row r="455" spans="1:5">
      <c r="A455" s="1326"/>
      <c r="B455" s="1326" t="s">
        <v>1396</v>
      </c>
      <c r="C455" s="1342"/>
      <c r="D455" s="1336"/>
      <c r="E455" s="1336"/>
    </row>
    <row r="456" spans="1:5">
      <c r="A456" s="1326"/>
      <c r="B456" s="1321"/>
      <c r="C456" s="1342"/>
      <c r="D456" s="1336"/>
      <c r="E456" s="1336"/>
    </row>
    <row r="457" spans="1:5">
      <c r="A457" s="1326"/>
      <c r="B457" s="1321" t="s">
        <v>1397</v>
      </c>
      <c r="C457" s="1342"/>
      <c r="D457" s="1336"/>
      <c r="E457" s="1336"/>
    </row>
    <row r="458" spans="1:5">
      <c r="A458" s="1326"/>
      <c r="B458" s="1321"/>
      <c r="C458" s="1342"/>
      <c r="D458" s="1336"/>
      <c r="E458" s="1336"/>
    </row>
    <row r="459" spans="1:5">
      <c r="A459" s="1326"/>
      <c r="B459" s="1321" t="s">
        <v>1398</v>
      </c>
      <c r="C459" s="1342"/>
      <c r="D459" s="1336"/>
      <c r="E459" s="1336"/>
    </row>
    <row r="460" spans="1:5">
      <c r="A460" s="1326"/>
      <c r="B460" s="1326"/>
      <c r="C460" s="1342"/>
      <c r="D460" s="1336"/>
      <c r="E460" s="1336"/>
    </row>
    <row r="461" spans="1:5">
      <c r="A461" s="1326"/>
      <c r="B461" s="1326" t="s">
        <v>1399</v>
      </c>
      <c r="C461" s="1342" t="s">
        <v>217</v>
      </c>
      <c r="D461" s="1334">
        <v>305.46400693842151</v>
      </c>
      <c r="E461" s="1362">
        <f>D461*$E$5</f>
        <v>324.70823937554206</v>
      </c>
    </row>
    <row r="462" spans="1:5">
      <c r="A462" s="1326"/>
      <c r="B462" s="1326"/>
      <c r="C462" s="1342"/>
      <c r="D462" s="1336"/>
      <c r="E462" s="1336"/>
    </row>
    <row r="463" spans="1:5">
      <c r="A463" s="1326"/>
      <c r="B463" s="1321" t="s">
        <v>1400</v>
      </c>
      <c r="C463" s="1342"/>
      <c r="D463" s="1336"/>
      <c r="E463" s="1336"/>
    </row>
    <row r="464" spans="1:5">
      <c r="A464" s="1326"/>
      <c r="B464" s="1321"/>
      <c r="C464" s="1342"/>
      <c r="D464" s="1336"/>
      <c r="E464" s="1336"/>
    </row>
    <row r="465" spans="1:5" ht="30">
      <c r="A465" s="1326"/>
      <c r="B465" s="1321" t="s">
        <v>1401</v>
      </c>
      <c r="C465" s="1342"/>
      <c r="D465" s="1336"/>
      <c r="E465" s="1336"/>
    </row>
    <row r="466" spans="1:5">
      <c r="A466" s="1326"/>
      <c r="B466" s="1326"/>
      <c r="C466" s="1342"/>
      <c r="D466" s="1336"/>
      <c r="E466" s="1336"/>
    </row>
    <row r="467" spans="1:5">
      <c r="A467" s="1326"/>
      <c r="B467" s="1326" t="s">
        <v>1402</v>
      </c>
      <c r="C467" s="1342" t="s">
        <v>217</v>
      </c>
      <c r="D467" s="1334">
        <v>560.01734605377283</v>
      </c>
      <c r="E467" s="1362">
        <f>D467*$E$5</f>
        <v>595.2984388551605</v>
      </c>
    </row>
    <row r="468" spans="1:5">
      <c r="A468" s="1326"/>
      <c r="B468" s="1326"/>
      <c r="C468" s="1342"/>
      <c r="D468" s="1336"/>
      <c r="E468" s="1336"/>
    </row>
    <row r="469" spans="1:5">
      <c r="A469" s="1326"/>
      <c r="B469" s="1326" t="s">
        <v>1403</v>
      </c>
      <c r="C469" s="1342" t="s">
        <v>217</v>
      </c>
      <c r="D469" s="1334">
        <v>3563.7467476149177</v>
      </c>
      <c r="E469" s="1362">
        <f>D469*$E$5</f>
        <v>3788.2627927146573</v>
      </c>
    </row>
    <row r="470" spans="1:5">
      <c r="A470" s="1326"/>
      <c r="B470" s="1326"/>
      <c r="C470" s="1342"/>
      <c r="D470" s="1336"/>
      <c r="E470" s="1336"/>
    </row>
    <row r="471" spans="1:5">
      <c r="A471" s="1326"/>
      <c r="B471" s="1321" t="s">
        <v>1404</v>
      </c>
      <c r="C471" s="1342"/>
      <c r="D471" s="1336"/>
      <c r="E471" s="1336"/>
    </row>
    <row r="472" spans="1:5">
      <c r="A472" s="1326"/>
      <c r="B472" s="1326"/>
      <c r="C472" s="1342"/>
      <c r="D472" s="1336"/>
      <c r="E472" s="1336"/>
    </row>
    <row r="473" spans="1:5">
      <c r="A473" s="1326"/>
      <c r="B473" s="1326" t="s">
        <v>1405</v>
      </c>
      <c r="C473" s="1342" t="s">
        <v>217</v>
      </c>
      <c r="D473" s="1334">
        <v>101.82133564614051</v>
      </c>
      <c r="E473" s="1362">
        <f>D473*$E$5</f>
        <v>108.23607979184736</v>
      </c>
    </row>
    <row r="474" spans="1:5">
      <c r="A474" s="1326"/>
      <c r="B474" s="1326"/>
      <c r="C474" s="1342"/>
      <c r="D474" s="1336"/>
      <c r="E474" s="1336"/>
    </row>
    <row r="475" spans="1:5">
      <c r="A475" s="1326"/>
      <c r="B475" s="1321" t="s">
        <v>1406</v>
      </c>
      <c r="C475" s="1342"/>
      <c r="D475" s="1336"/>
      <c r="E475" s="1336"/>
    </row>
    <row r="476" spans="1:5">
      <c r="A476" s="1326"/>
      <c r="B476" s="1321"/>
      <c r="C476" s="1342"/>
      <c r="D476" s="1336"/>
      <c r="E476" s="1336"/>
    </row>
    <row r="477" spans="1:5">
      <c r="A477" s="1326"/>
      <c r="B477" s="1321" t="s">
        <v>1407</v>
      </c>
      <c r="C477" s="1342"/>
      <c r="D477" s="1336"/>
      <c r="E477" s="1336"/>
    </row>
    <row r="478" spans="1:5" ht="30">
      <c r="A478" s="1326"/>
      <c r="B478" s="1321" t="s">
        <v>1408</v>
      </c>
      <c r="C478" s="1342"/>
      <c r="D478" s="1336"/>
      <c r="E478" s="1336"/>
    </row>
    <row r="479" spans="1:5">
      <c r="A479" s="1326"/>
      <c r="B479" s="1321" t="s">
        <v>1409</v>
      </c>
      <c r="C479" s="1342"/>
      <c r="D479" s="1336"/>
      <c r="E479" s="1336"/>
    </row>
    <row r="480" spans="1:5" ht="30">
      <c r="A480" s="1326"/>
      <c r="B480" s="1321" t="s">
        <v>1410</v>
      </c>
      <c r="C480" s="1342"/>
      <c r="D480" s="1336"/>
      <c r="E480" s="1336"/>
    </row>
    <row r="481" spans="1:5">
      <c r="A481" s="1326"/>
      <c r="B481" s="1321" t="s">
        <v>1411</v>
      </c>
      <c r="C481" s="1342"/>
      <c r="D481" s="1336"/>
      <c r="E481" s="1336"/>
    </row>
    <row r="482" spans="1:5">
      <c r="A482" s="1326"/>
      <c r="B482" s="1321"/>
      <c r="C482" s="1342"/>
      <c r="D482" s="1336"/>
      <c r="E482" s="1336"/>
    </row>
    <row r="483" spans="1:5">
      <c r="A483" s="1326"/>
      <c r="B483" s="1326" t="s">
        <v>1412</v>
      </c>
      <c r="C483" s="1320" t="s">
        <v>217</v>
      </c>
      <c r="D483" s="1334">
        <v>2036.4267129228101</v>
      </c>
      <c r="E483" s="1362">
        <f>D483*$E$5</f>
        <v>2164.721595836947</v>
      </c>
    </row>
    <row r="484" spans="1:5">
      <c r="A484" s="1326"/>
      <c r="B484" s="1326"/>
      <c r="C484" s="1320"/>
      <c r="D484" s="1336"/>
      <c r="E484" s="1336"/>
    </row>
    <row r="485" spans="1:5">
      <c r="A485" s="1326"/>
      <c r="B485" s="1326" t="s">
        <v>1413</v>
      </c>
      <c r="C485" s="1320" t="s">
        <v>217</v>
      </c>
      <c r="D485" s="1334">
        <v>2036.4267129228101</v>
      </c>
      <c r="E485" s="1362">
        <f>D485*$E$5</f>
        <v>2164.721595836947</v>
      </c>
    </row>
    <row r="486" spans="1:5">
      <c r="A486" s="1326"/>
      <c r="B486" s="1326"/>
      <c r="C486" s="1320"/>
      <c r="D486" s="1336"/>
      <c r="E486" s="1336"/>
    </row>
    <row r="487" spans="1:5">
      <c r="A487" s="1326"/>
      <c r="B487" s="1327" t="s">
        <v>1414</v>
      </c>
      <c r="C487" s="1320"/>
      <c r="D487" s="1336"/>
      <c r="E487" s="1336"/>
    </row>
    <row r="488" spans="1:5">
      <c r="A488" s="1326"/>
      <c r="B488" s="1326"/>
      <c r="C488" s="1342"/>
      <c r="D488" s="1336"/>
      <c r="E488" s="1336"/>
    </row>
    <row r="489" spans="1:5">
      <c r="A489" s="1326"/>
      <c r="B489" s="1323" t="s">
        <v>1415</v>
      </c>
      <c r="C489" s="1320" t="s">
        <v>217</v>
      </c>
      <c r="D489" s="1334">
        <v>10182.133564614051</v>
      </c>
      <c r="E489" s="1362">
        <f>D489*$E$5</f>
        <v>10823.607979184735</v>
      </c>
    </row>
    <row r="490" spans="1:5">
      <c r="A490" s="1326"/>
      <c r="B490" s="1323"/>
      <c r="C490" s="1320"/>
      <c r="D490" s="1336"/>
      <c r="E490" s="1336"/>
    </row>
    <row r="491" spans="1:5">
      <c r="A491" s="1326"/>
      <c r="B491" s="1323" t="s">
        <v>1416</v>
      </c>
      <c r="C491" s="1320" t="s">
        <v>217</v>
      </c>
      <c r="D491" s="1334">
        <v>8145.7068516912404</v>
      </c>
      <c r="E491" s="1362">
        <f>D491*$E$5</f>
        <v>8658.8863833477881</v>
      </c>
    </row>
    <row r="492" spans="1:5">
      <c r="A492" s="1326"/>
      <c r="B492" s="1323"/>
      <c r="C492" s="1320"/>
      <c r="D492" s="1336"/>
      <c r="E492" s="1336"/>
    </row>
    <row r="493" spans="1:5">
      <c r="A493" s="1326"/>
      <c r="B493" s="1321" t="s">
        <v>1417</v>
      </c>
      <c r="C493" s="1320"/>
      <c r="D493" s="1324"/>
      <c r="E493" s="1324"/>
    </row>
    <row r="494" spans="1:5">
      <c r="A494" s="1326"/>
      <c r="B494" s="1326"/>
      <c r="C494" s="1342"/>
      <c r="D494" s="1336"/>
      <c r="E494" s="1336"/>
    </row>
    <row r="495" spans="1:5">
      <c r="A495" s="1326"/>
      <c r="B495" s="1323" t="s">
        <v>1418</v>
      </c>
      <c r="C495" s="1320" t="s">
        <v>403</v>
      </c>
      <c r="D495" s="1334">
        <v>40728.534258456202</v>
      </c>
      <c r="E495" s="1362">
        <f>D495*$E$5</f>
        <v>43294.43191673894</v>
      </c>
    </row>
    <row r="496" spans="1:5">
      <c r="A496" s="1326"/>
      <c r="B496" s="1321"/>
      <c r="C496" s="1342"/>
      <c r="D496" s="1336"/>
      <c r="E496" s="1336"/>
    </row>
    <row r="497" spans="1:5">
      <c r="A497" s="1326"/>
      <c r="B497" s="1321" t="s">
        <v>1419</v>
      </c>
      <c r="C497" s="1342"/>
      <c r="D497" s="1336"/>
      <c r="E497" s="1336"/>
    </row>
    <row r="498" spans="1:5">
      <c r="A498" s="1326"/>
      <c r="B498" s="1323"/>
      <c r="C498" s="1320"/>
      <c r="D498" s="1336"/>
      <c r="E498" s="1336"/>
    </row>
    <row r="499" spans="1:5">
      <c r="A499" s="1326"/>
      <c r="B499" s="1326" t="s">
        <v>1268</v>
      </c>
      <c r="C499" s="1342" t="s">
        <v>403</v>
      </c>
      <c r="D499" s="1334">
        <v>45819.601040763228</v>
      </c>
      <c r="E499" s="1362">
        <f>D499*$E$5</f>
        <v>48706.235906331305</v>
      </c>
    </row>
    <row r="500" spans="1:5">
      <c r="A500" s="1326"/>
      <c r="B500" s="1321"/>
      <c r="C500" s="1342"/>
      <c r="D500" s="1336"/>
      <c r="E500" s="1336"/>
    </row>
    <row r="501" spans="1:5">
      <c r="A501" s="1326"/>
      <c r="B501" s="1327" t="s">
        <v>1420</v>
      </c>
      <c r="C501" s="1342"/>
      <c r="D501" s="1336"/>
      <c r="E501" s="1336"/>
    </row>
    <row r="502" spans="1:5">
      <c r="A502" s="1326"/>
      <c r="B502" s="1323"/>
      <c r="C502" s="1320"/>
      <c r="D502" s="1336"/>
      <c r="E502" s="1336"/>
    </row>
    <row r="503" spans="1:5">
      <c r="A503" s="1326"/>
      <c r="B503" s="1326" t="s">
        <v>1421</v>
      </c>
      <c r="C503" s="1342" t="s">
        <v>403</v>
      </c>
      <c r="D503" s="1334">
        <v>20364.267129228101</v>
      </c>
      <c r="E503" s="1362">
        <f>D503*$E$5</f>
        <v>21647.21595836947</v>
      </c>
    </row>
    <row r="504" spans="1:5">
      <c r="A504" s="1326"/>
      <c r="B504" s="1326"/>
      <c r="C504" s="1342"/>
      <c r="D504" s="1336"/>
      <c r="E504" s="1336"/>
    </row>
    <row r="505" spans="1:5">
      <c r="A505" s="1326"/>
      <c r="B505" s="1321" t="s">
        <v>1422</v>
      </c>
      <c r="C505" s="1342"/>
      <c r="D505" s="1336"/>
      <c r="E505" s="1336"/>
    </row>
    <row r="506" spans="1:5">
      <c r="A506" s="1326"/>
      <c r="B506" s="1321"/>
      <c r="C506" s="1342"/>
      <c r="D506" s="1336"/>
      <c r="E506" s="1336"/>
    </row>
    <row r="507" spans="1:5">
      <c r="A507" s="1326"/>
      <c r="B507" s="1321" t="s">
        <v>1423</v>
      </c>
      <c r="C507" s="1342"/>
      <c r="D507" s="1336"/>
      <c r="E507" s="1336"/>
    </row>
    <row r="508" spans="1:5">
      <c r="A508" s="1326"/>
      <c r="B508" s="1321"/>
      <c r="C508" s="1342"/>
      <c r="D508" s="1336"/>
      <c r="E508" s="1336"/>
    </row>
    <row r="509" spans="1:5">
      <c r="A509" s="1326"/>
      <c r="B509" s="1321" t="s">
        <v>1424</v>
      </c>
      <c r="C509" s="1342"/>
      <c r="D509" s="1336"/>
      <c r="E509" s="1336"/>
    </row>
    <row r="510" spans="1:5">
      <c r="A510" s="1326"/>
      <c r="B510" s="1321"/>
      <c r="C510" s="1342"/>
      <c r="D510" s="1336"/>
      <c r="E510" s="1336"/>
    </row>
    <row r="511" spans="1:5">
      <c r="A511" s="1326"/>
      <c r="B511" s="1326" t="s">
        <v>1425</v>
      </c>
      <c r="C511" s="1342" t="s">
        <v>206</v>
      </c>
      <c r="D511" s="1334">
        <v>86.548135299219439</v>
      </c>
      <c r="E511" s="1362">
        <f>D511*$E$5</f>
        <v>92.000667823070259</v>
      </c>
    </row>
    <row r="512" spans="1:5">
      <c r="A512" s="1326"/>
      <c r="B512" s="1326"/>
      <c r="C512" s="1342"/>
      <c r="D512" s="1336"/>
      <c r="E512" s="1336"/>
    </row>
    <row r="513" spans="1:5">
      <c r="A513" s="1326"/>
      <c r="B513" s="1321" t="s">
        <v>1426</v>
      </c>
      <c r="C513" s="1342"/>
      <c r="D513" s="1336"/>
      <c r="E513" s="1336"/>
    </row>
    <row r="514" spans="1:5">
      <c r="A514" s="1326"/>
      <c r="B514" s="1321"/>
      <c r="C514" s="1342"/>
      <c r="D514" s="1336"/>
      <c r="E514" s="1336"/>
    </row>
    <row r="515" spans="1:5">
      <c r="A515" s="1326"/>
      <c r="B515" s="1321" t="s">
        <v>1427</v>
      </c>
      <c r="C515" s="1342"/>
      <c r="D515" s="1336"/>
      <c r="E515" s="1336"/>
    </row>
    <row r="516" spans="1:5">
      <c r="A516" s="1326"/>
      <c r="B516" s="1326"/>
      <c r="C516" s="1342"/>
      <c r="D516" s="1336"/>
      <c r="E516" s="1336"/>
    </row>
    <row r="517" spans="1:5">
      <c r="A517" s="1326"/>
      <c r="B517" s="1326" t="s">
        <v>1428</v>
      </c>
      <c r="C517" s="1342" t="s">
        <v>206</v>
      </c>
      <c r="D517" s="1334">
        <v>86.548135299219439</v>
      </c>
      <c r="E517" s="1362">
        <f>D517*$E$5</f>
        <v>92.000667823070259</v>
      </c>
    </row>
    <row r="518" spans="1:5">
      <c r="A518" s="1326"/>
      <c r="B518" s="1326"/>
      <c r="C518" s="1342"/>
      <c r="D518" s="1336"/>
      <c r="E518" s="1336"/>
    </row>
    <row r="519" spans="1:5">
      <c r="A519" s="1326"/>
      <c r="B519" s="1326" t="s">
        <v>1429</v>
      </c>
      <c r="C519" s="1342" t="s">
        <v>206</v>
      </c>
      <c r="D519" s="1334">
        <v>91.639202081526463</v>
      </c>
      <c r="E519" s="1362">
        <f>D519*$E$5</f>
        <v>97.412471812662631</v>
      </c>
    </row>
    <row r="520" spans="1:5">
      <c r="A520" s="1326"/>
      <c r="B520" s="1326"/>
      <c r="C520" s="1342"/>
      <c r="D520" s="1336"/>
      <c r="E520" s="1336"/>
    </row>
    <row r="521" spans="1:5">
      <c r="A521" s="1326"/>
      <c r="B521" s="1327" t="s">
        <v>1430</v>
      </c>
      <c r="C521" s="1342"/>
      <c r="D521" s="1336"/>
      <c r="E521" s="1336"/>
    </row>
    <row r="522" spans="1:5">
      <c r="A522" s="1326"/>
      <c r="B522" s="1326"/>
      <c r="C522" s="1342"/>
      <c r="D522" s="1336"/>
      <c r="E522" s="1336"/>
    </row>
    <row r="523" spans="1:5">
      <c r="A523" s="1326"/>
      <c r="B523" s="1326" t="s">
        <v>1431</v>
      </c>
      <c r="C523" s="1342" t="s">
        <v>206</v>
      </c>
      <c r="D523" s="1334">
        <v>122.18560277536861</v>
      </c>
      <c r="E523" s="1362">
        <f>D523*$E$5</f>
        <v>129.88329575021683</v>
      </c>
    </row>
    <row r="524" spans="1:5">
      <c r="A524" s="1320"/>
      <c r="B524" s="1321"/>
      <c r="C524" s="1341"/>
      <c r="D524" s="1322"/>
      <c r="E524" s="1322"/>
    </row>
    <row r="525" spans="1:5">
      <c r="A525" s="1326"/>
      <c r="B525" s="1321" t="s">
        <v>1432</v>
      </c>
      <c r="C525" s="1342"/>
      <c r="D525" s="1336"/>
      <c r="E525" s="1336"/>
    </row>
    <row r="526" spans="1:5">
      <c r="A526" s="1326"/>
      <c r="B526" s="1321"/>
      <c r="C526" s="1342"/>
      <c r="D526" s="1336"/>
      <c r="E526" s="1336"/>
    </row>
    <row r="527" spans="1:5">
      <c r="A527" s="1326"/>
      <c r="B527" s="1321" t="s">
        <v>1433</v>
      </c>
      <c r="C527" s="1342"/>
      <c r="D527" s="1336"/>
      <c r="E527" s="1336"/>
    </row>
    <row r="528" spans="1:5">
      <c r="A528" s="1326"/>
      <c r="B528" s="1321"/>
      <c r="C528" s="1342"/>
      <c r="D528" s="1336"/>
      <c r="E528" s="1336"/>
    </row>
    <row r="529" spans="1:5">
      <c r="A529" s="1326"/>
      <c r="B529" s="1321" t="s">
        <v>1434</v>
      </c>
      <c r="C529" s="1342"/>
      <c r="D529" s="1336"/>
      <c r="E529" s="1336"/>
    </row>
    <row r="530" spans="1:5">
      <c r="A530" s="1326"/>
      <c r="B530" s="1326"/>
      <c r="C530" s="1342"/>
      <c r="D530" s="1336"/>
      <c r="E530" s="1336"/>
    </row>
    <row r="531" spans="1:5">
      <c r="A531" s="1326"/>
      <c r="B531" s="1326" t="s">
        <v>1435</v>
      </c>
      <c r="C531" s="1342" t="s">
        <v>215</v>
      </c>
      <c r="D531" s="1334">
        <v>560.01734605377283</v>
      </c>
      <c r="E531" s="1362">
        <f>D531*$E$5</f>
        <v>595.2984388551605</v>
      </c>
    </row>
    <row r="532" spans="1:5">
      <c r="A532" s="1326"/>
      <c r="B532" s="1326"/>
      <c r="C532" s="1342"/>
      <c r="D532" s="1336"/>
      <c r="E532" s="1336"/>
    </row>
    <row r="533" spans="1:5">
      <c r="A533" s="1326"/>
      <c r="B533" s="1326" t="s">
        <v>1436</v>
      </c>
      <c r="C533" s="1342" t="s">
        <v>217</v>
      </c>
      <c r="D533" s="1334">
        <v>203.64267129228102</v>
      </c>
      <c r="E533" s="1362">
        <f>D533*$E$5</f>
        <v>216.47215958369472</v>
      </c>
    </row>
    <row r="534" spans="1:5">
      <c r="A534" s="1326"/>
      <c r="B534" s="1326"/>
      <c r="C534" s="1342"/>
      <c r="D534" s="1336"/>
      <c r="E534" s="1336"/>
    </row>
    <row r="535" spans="1:5">
      <c r="A535" s="1326"/>
      <c r="B535" s="1326" t="s">
        <v>1437</v>
      </c>
      <c r="C535" s="1342" t="s">
        <v>217</v>
      </c>
      <c r="D535" s="1334">
        <v>203.64267129228102</v>
      </c>
      <c r="E535" s="1362">
        <f>D535*$E$5</f>
        <v>216.47215958369472</v>
      </c>
    </row>
    <row r="536" spans="1:5">
      <c r="A536" s="1326"/>
      <c r="B536" s="1326"/>
      <c r="C536" s="1342"/>
      <c r="D536" s="1336"/>
      <c r="E536" s="1336"/>
    </row>
    <row r="537" spans="1:5">
      <c r="A537" s="1326"/>
      <c r="B537" s="1326" t="s">
        <v>1438</v>
      </c>
      <c r="C537" s="1342" t="s">
        <v>217</v>
      </c>
      <c r="D537" s="1334">
        <v>203.64267129228102</v>
      </c>
      <c r="E537" s="1362">
        <f>D537*$E$5</f>
        <v>216.47215958369472</v>
      </c>
    </row>
    <row r="538" spans="1:5">
      <c r="A538" s="1326"/>
      <c r="B538" s="1323" t="s">
        <v>1439</v>
      </c>
      <c r="C538" s="1342"/>
      <c r="D538" s="1336"/>
      <c r="E538" s="1336"/>
    </row>
    <row r="539" spans="1:5">
      <c r="A539" s="1326"/>
      <c r="B539" s="1326"/>
      <c r="C539" s="1342"/>
      <c r="D539" s="1336"/>
      <c r="E539" s="1336"/>
    </row>
    <row r="540" spans="1:5">
      <c r="A540" s="1326"/>
      <c r="B540" s="1326" t="s">
        <v>1440</v>
      </c>
      <c r="C540" s="1342" t="s">
        <v>215</v>
      </c>
      <c r="D540" s="1334">
        <v>560.01734605377283</v>
      </c>
      <c r="E540" s="1362">
        <f>D540*$E$5</f>
        <v>595.2984388551605</v>
      </c>
    </row>
    <row r="541" spans="1:5">
      <c r="A541" s="1326"/>
      <c r="B541" s="1326"/>
      <c r="C541" s="1342"/>
      <c r="D541" s="1336"/>
      <c r="E541" s="1336"/>
    </row>
    <row r="542" spans="1:5">
      <c r="A542" s="1326"/>
      <c r="B542" s="1323" t="s">
        <v>1441</v>
      </c>
      <c r="C542" s="1342" t="s">
        <v>217</v>
      </c>
      <c r="D542" s="1334">
        <v>203.64267129228102</v>
      </c>
      <c r="E542" s="1362">
        <f>D542*$E$5</f>
        <v>216.47215958369472</v>
      </c>
    </row>
    <row r="543" spans="1:5">
      <c r="A543" s="1326"/>
      <c r="B543" s="1326"/>
      <c r="C543" s="1342"/>
      <c r="D543" s="1336"/>
      <c r="E543" s="1336"/>
    </row>
    <row r="544" spans="1:5">
      <c r="A544" s="1326"/>
      <c r="B544" s="1321" t="s">
        <v>1442</v>
      </c>
      <c r="C544" s="1342"/>
      <c r="D544" s="1336"/>
      <c r="E544" s="1336"/>
    </row>
    <row r="545" spans="1:5">
      <c r="A545" s="1326"/>
      <c r="B545" s="1321"/>
      <c r="C545" s="1342"/>
      <c r="D545" s="1336"/>
      <c r="E545" s="1336"/>
    </row>
    <row r="546" spans="1:5">
      <c r="A546" s="1326"/>
      <c r="B546" s="1321" t="s">
        <v>1443</v>
      </c>
      <c r="C546" s="1342"/>
      <c r="D546" s="1336"/>
      <c r="E546" s="1336"/>
    </row>
    <row r="547" spans="1:5">
      <c r="A547" s="1326"/>
      <c r="B547" s="1321"/>
      <c r="C547" s="1342"/>
      <c r="D547" s="1336"/>
      <c r="E547" s="1336"/>
    </row>
    <row r="548" spans="1:5">
      <c r="A548" s="1326"/>
      <c r="B548" s="1321" t="s">
        <v>1444</v>
      </c>
      <c r="C548" s="1342"/>
      <c r="D548" s="1336"/>
      <c r="E548" s="1336"/>
    </row>
    <row r="549" spans="1:5">
      <c r="A549" s="1326"/>
      <c r="B549" s="1326"/>
      <c r="C549" s="1342"/>
      <c r="D549" s="1336"/>
      <c r="E549" s="1336"/>
    </row>
    <row r="550" spans="1:5">
      <c r="A550" s="1326"/>
      <c r="B550" s="1321" t="s">
        <v>1445</v>
      </c>
      <c r="C550" s="1342"/>
      <c r="D550" s="1336"/>
      <c r="E550" s="1336"/>
    </row>
    <row r="551" spans="1:5">
      <c r="A551" s="1326"/>
      <c r="B551" s="1321" t="s">
        <v>1446</v>
      </c>
      <c r="C551" s="1342"/>
      <c r="D551" s="1336"/>
      <c r="E551" s="1336"/>
    </row>
    <row r="552" spans="1:5">
      <c r="A552" s="1326"/>
      <c r="B552" s="1326"/>
      <c r="C552" s="1342"/>
      <c r="D552" s="1336"/>
      <c r="E552" s="1336"/>
    </row>
    <row r="553" spans="1:5">
      <c r="A553" s="1326"/>
      <c r="B553" s="1323" t="s">
        <v>1447</v>
      </c>
      <c r="C553" s="1342" t="s">
        <v>206</v>
      </c>
      <c r="D553" s="1334">
        <v>61.092801387684304</v>
      </c>
      <c r="E553" s="1362">
        <f>D553*$E$5</f>
        <v>64.941647875108416</v>
      </c>
    </row>
    <row r="554" spans="1:5">
      <c r="A554" s="1326"/>
      <c r="B554" s="1326"/>
      <c r="C554" s="1342"/>
      <c r="D554" s="1336"/>
      <c r="E554" s="1336"/>
    </row>
    <row r="555" spans="1:5">
      <c r="A555" s="1326"/>
      <c r="B555" s="1321" t="s">
        <v>1448</v>
      </c>
      <c r="C555" s="1342"/>
      <c r="D555" s="1336"/>
      <c r="E555" s="1336"/>
    </row>
    <row r="556" spans="1:5">
      <c r="A556" s="1326"/>
      <c r="B556" s="1326"/>
      <c r="C556" s="1342"/>
      <c r="D556" s="1336"/>
      <c r="E556" s="1336"/>
    </row>
    <row r="557" spans="1:5">
      <c r="A557" s="1326"/>
      <c r="B557" s="1321" t="s">
        <v>1449</v>
      </c>
      <c r="C557" s="1342"/>
      <c r="D557" s="1336"/>
      <c r="E557" s="1336"/>
    </row>
    <row r="558" spans="1:5">
      <c r="A558" s="1326"/>
      <c r="B558" s="1326"/>
      <c r="C558" s="1342"/>
      <c r="D558" s="1336"/>
      <c r="E558" s="1336"/>
    </row>
    <row r="559" spans="1:5">
      <c r="A559" s="1326"/>
      <c r="B559" s="1326" t="s">
        <v>1450</v>
      </c>
      <c r="C559" s="1342" t="s">
        <v>206</v>
      </c>
      <c r="D559" s="1334">
        <v>61.092801387684304</v>
      </c>
      <c r="E559" s="1362">
        <f>D559*$E$5</f>
        <v>64.941647875108416</v>
      </c>
    </row>
    <row r="560" spans="1:5">
      <c r="A560" s="1326"/>
      <c r="B560" s="1326"/>
      <c r="C560" s="1342"/>
      <c r="D560" s="1336"/>
      <c r="E560" s="1336"/>
    </row>
    <row r="561" spans="1:5">
      <c r="A561" s="1326"/>
      <c r="B561" s="1321" t="s">
        <v>1451</v>
      </c>
      <c r="C561" s="1342"/>
      <c r="D561" s="1336"/>
      <c r="E561" s="1336"/>
    </row>
    <row r="562" spans="1:5">
      <c r="A562" s="1326"/>
      <c r="B562" s="1326"/>
      <c r="C562" s="1342"/>
      <c r="D562" s="1336"/>
      <c r="E562" s="1336"/>
    </row>
    <row r="563" spans="1:5">
      <c r="A563" s="1326"/>
      <c r="B563" s="1323" t="s">
        <v>1452</v>
      </c>
      <c r="C563" s="1320" t="s">
        <v>206</v>
      </c>
      <c r="D563" s="1334">
        <v>61.092801387684304</v>
      </c>
      <c r="E563" s="1362">
        <f>D563*$E$5</f>
        <v>64.941647875108416</v>
      </c>
    </row>
    <row r="564" spans="1:5">
      <c r="A564" s="1326"/>
      <c r="B564" s="1323"/>
      <c r="C564" s="1320"/>
      <c r="D564" s="1336"/>
      <c r="E564" s="1336"/>
    </row>
    <row r="565" spans="1:5">
      <c r="A565" s="1326"/>
      <c r="B565" s="1323" t="s">
        <v>1453</v>
      </c>
      <c r="C565" s="1320" t="s">
        <v>206</v>
      </c>
      <c r="D565" s="1334">
        <v>61.092801387684304</v>
      </c>
      <c r="E565" s="1362">
        <f>D565*$E$5</f>
        <v>64.941647875108416</v>
      </c>
    </row>
    <row r="566" spans="1:5">
      <c r="A566" s="1326"/>
      <c r="B566" s="1326"/>
      <c r="C566" s="1342"/>
      <c r="D566" s="1336"/>
      <c r="E566" s="1336"/>
    </row>
    <row r="567" spans="1:5">
      <c r="A567" s="1326"/>
      <c r="B567" s="1321" t="s">
        <v>1454</v>
      </c>
      <c r="C567" s="1342"/>
      <c r="D567" s="1336"/>
      <c r="E567" s="1336"/>
    </row>
    <row r="568" spans="1:5">
      <c r="A568" s="1326"/>
      <c r="B568" s="1321" t="s">
        <v>1455</v>
      </c>
      <c r="C568" s="1342"/>
      <c r="D568" s="1336"/>
      <c r="E568" s="1336"/>
    </row>
    <row r="569" spans="1:5">
      <c r="A569" s="1326"/>
      <c r="B569" s="1326"/>
      <c r="C569" s="1342"/>
      <c r="D569" s="1336"/>
      <c r="E569" s="1336"/>
    </row>
    <row r="570" spans="1:5">
      <c r="A570" s="1326"/>
      <c r="B570" s="1326" t="s">
        <v>1456</v>
      </c>
      <c r="C570" s="1342" t="s">
        <v>206</v>
      </c>
      <c r="D570" s="1334">
        <v>61.092801387684304</v>
      </c>
      <c r="E570" s="1362">
        <f>D570*$E$5</f>
        <v>64.941647875108416</v>
      </c>
    </row>
    <row r="571" spans="1:5">
      <c r="A571" s="1326"/>
      <c r="B571" s="1326"/>
      <c r="C571" s="1342"/>
      <c r="D571" s="1336"/>
      <c r="E571" s="1336"/>
    </row>
    <row r="572" spans="1:5">
      <c r="A572" s="1326"/>
      <c r="B572" s="1321" t="s">
        <v>1457</v>
      </c>
      <c r="C572" s="1342"/>
      <c r="D572" s="1336"/>
      <c r="E572" s="1336"/>
    </row>
    <row r="573" spans="1:5">
      <c r="A573" s="1326"/>
      <c r="B573" s="1321"/>
      <c r="C573" s="1342"/>
      <c r="D573" s="1336"/>
      <c r="E573" s="1336"/>
    </row>
    <row r="574" spans="1:5">
      <c r="A574" s="1326"/>
      <c r="B574" s="1321" t="s">
        <v>1458</v>
      </c>
      <c r="C574" s="1342"/>
      <c r="D574" s="1336"/>
      <c r="E574" s="1336"/>
    </row>
    <row r="575" spans="1:5">
      <c r="A575" s="1326"/>
      <c r="B575" s="1326"/>
      <c r="C575" s="1342"/>
      <c r="D575" s="1336"/>
      <c r="E575" s="1336"/>
    </row>
    <row r="576" spans="1:5">
      <c r="A576" s="1326"/>
      <c r="B576" s="1323" t="s">
        <v>1459</v>
      </c>
      <c r="C576" s="1342" t="s">
        <v>206</v>
      </c>
      <c r="D576" s="1334">
        <v>661.83868169991331</v>
      </c>
      <c r="E576" s="1362">
        <f>D576*$E$5</f>
        <v>703.53451864700776</v>
      </c>
    </row>
    <row r="577" spans="1:5">
      <c r="A577" s="1326"/>
      <c r="B577" s="1326" t="s">
        <v>1460</v>
      </c>
      <c r="C577" s="1342"/>
      <c r="D577" s="1336"/>
      <c r="E577" s="1336"/>
    </row>
    <row r="578" spans="1:5">
      <c r="A578" s="1326"/>
      <c r="B578" s="1326"/>
      <c r="C578" s="1342"/>
      <c r="D578" s="1336"/>
      <c r="E578" s="1336"/>
    </row>
    <row r="579" spans="1:5">
      <c r="A579" s="1326"/>
      <c r="B579" s="1321" t="s">
        <v>1461</v>
      </c>
      <c r="C579" s="1342"/>
      <c r="D579" s="1336"/>
      <c r="E579" s="1336"/>
    </row>
    <row r="580" spans="1:5">
      <c r="A580" s="1326"/>
      <c r="B580" s="1321"/>
      <c r="C580" s="1342"/>
      <c r="D580" s="1336"/>
      <c r="E580" s="1336"/>
    </row>
    <row r="581" spans="1:5">
      <c r="A581" s="1326"/>
      <c r="B581" s="1321" t="s">
        <v>1462</v>
      </c>
      <c r="C581" s="1320"/>
      <c r="D581" s="1336"/>
      <c r="E581" s="1336"/>
    </row>
    <row r="582" spans="1:5">
      <c r="A582" s="1326"/>
      <c r="B582" s="1323"/>
      <c r="C582" s="1320"/>
      <c r="D582" s="1336"/>
      <c r="E582" s="1336"/>
    </row>
    <row r="583" spans="1:5">
      <c r="A583" s="1326"/>
      <c r="B583" s="1321" t="s">
        <v>1463</v>
      </c>
      <c r="C583" s="1320"/>
      <c r="D583" s="1336"/>
      <c r="E583" s="1336"/>
    </row>
    <row r="584" spans="1:5">
      <c r="A584" s="1326"/>
      <c r="B584" s="1323"/>
      <c r="C584" s="1320"/>
      <c r="D584" s="1336"/>
      <c r="E584" s="1336"/>
    </row>
    <row r="585" spans="1:5">
      <c r="A585" s="1326"/>
      <c r="B585" s="1323" t="s">
        <v>1464</v>
      </c>
      <c r="C585" s="1320" t="s">
        <v>608</v>
      </c>
      <c r="D585" s="1334">
        <v>2545.5333911535126</v>
      </c>
      <c r="E585" s="1362">
        <f>D585*$E$5</f>
        <v>2705.9019947961838</v>
      </c>
    </row>
    <row r="586" spans="1:5">
      <c r="A586" s="1326"/>
      <c r="B586" s="1323" t="s">
        <v>1465</v>
      </c>
      <c r="C586" s="1320"/>
      <c r="D586" s="1336"/>
      <c r="E586" s="1336"/>
    </row>
    <row r="587" spans="1:5">
      <c r="A587" s="1326"/>
      <c r="B587" s="1323"/>
      <c r="C587" s="1320"/>
      <c r="D587" s="1336"/>
      <c r="E587" s="1336"/>
    </row>
    <row r="588" spans="1:5">
      <c r="A588" s="1326"/>
      <c r="B588" s="1321" t="s">
        <v>1466</v>
      </c>
      <c r="C588" s="1320"/>
      <c r="D588" s="1336"/>
      <c r="E588" s="1336"/>
    </row>
    <row r="589" spans="1:5">
      <c r="A589" s="1326"/>
      <c r="B589" s="1323"/>
      <c r="C589" s="1320"/>
      <c r="D589" s="1336"/>
      <c r="E589" s="1336"/>
    </row>
    <row r="590" spans="1:5">
      <c r="A590" s="1326"/>
      <c r="B590" s="1323" t="s">
        <v>1467</v>
      </c>
      <c r="C590" s="1320"/>
      <c r="D590" s="1336"/>
      <c r="E590" s="1336"/>
    </row>
    <row r="591" spans="1:5">
      <c r="A591" s="1326"/>
      <c r="B591" s="1323" t="s">
        <v>1468</v>
      </c>
      <c r="C591" s="1320"/>
      <c r="D591" s="1336"/>
      <c r="E591" s="1336"/>
    </row>
    <row r="592" spans="1:5">
      <c r="A592" s="1326"/>
      <c r="B592" s="1323" t="s">
        <v>1469</v>
      </c>
      <c r="C592" s="1320"/>
      <c r="D592" s="1336"/>
      <c r="E592" s="1336"/>
    </row>
    <row r="593" spans="1:5">
      <c r="A593" s="1326"/>
      <c r="B593" s="1323"/>
      <c r="C593" s="1320"/>
      <c r="D593" s="1336"/>
      <c r="E593" s="1336"/>
    </row>
    <row r="594" spans="1:5">
      <c r="A594" s="1326"/>
      <c r="B594" s="1323" t="s">
        <v>1470</v>
      </c>
      <c r="C594" s="1320" t="s">
        <v>1328</v>
      </c>
      <c r="D594" s="1334">
        <v>254.55333911535126</v>
      </c>
      <c r="E594" s="1362">
        <f>D594*$E$5</f>
        <v>270.59019947961838</v>
      </c>
    </row>
    <row r="595" spans="1:5">
      <c r="A595" s="1326"/>
      <c r="B595" s="1323"/>
      <c r="C595" s="1320"/>
      <c r="D595" s="1336"/>
      <c r="E595" s="1336"/>
    </row>
    <row r="596" spans="1:5">
      <c r="A596" s="1326"/>
      <c r="B596" s="1321" t="s">
        <v>1471</v>
      </c>
      <c r="C596" s="1320"/>
      <c r="D596" s="1336"/>
      <c r="E596" s="1336"/>
    </row>
    <row r="597" spans="1:5">
      <c r="A597" s="1326"/>
      <c r="B597" s="1323"/>
      <c r="C597" s="1320"/>
      <c r="D597" s="1336"/>
      <c r="E597" s="1336"/>
    </row>
    <row r="598" spans="1:5">
      <c r="A598" s="1326"/>
      <c r="B598" s="1323" t="s">
        <v>1472</v>
      </c>
      <c r="C598" s="1320" t="s">
        <v>206</v>
      </c>
      <c r="D598" s="1334">
        <v>15.273200346921076</v>
      </c>
      <c r="E598" s="1362">
        <f>D598*$E$5</f>
        <v>16.235411968777104</v>
      </c>
    </row>
    <row r="599" spans="1:5">
      <c r="A599" s="1326"/>
      <c r="B599" s="1323" t="s">
        <v>1473</v>
      </c>
      <c r="C599" s="1320"/>
      <c r="D599" s="1336"/>
      <c r="E599" s="1336"/>
    </row>
    <row r="600" spans="1:5">
      <c r="A600" s="1326"/>
      <c r="B600" s="1323" t="s">
        <v>1474</v>
      </c>
      <c r="C600" s="1320"/>
      <c r="D600" s="1336"/>
      <c r="E600" s="1336"/>
    </row>
    <row r="601" spans="1:5">
      <c r="A601" s="1326"/>
      <c r="B601" s="1323" t="s">
        <v>1475</v>
      </c>
      <c r="C601" s="1320"/>
      <c r="D601" s="1336"/>
      <c r="E601" s="1336"/>
    </row>
    <row r="602" spans="1:5">
      <c r="A602" s="1326"/>
      <c r="B602" s="1323" t="s">
        <v>1476</v>
      </c>
      <c r="C602" s="1320"/>
      <c r="D602" s="1336"/>
      <c r="E602" s="1336"/>
    </row>
    <row r="603" spans="1:5">
      <c r="A603" s="1326"/>
      <c r="B603" s="1323" t="s">
        <v>1477</v>
      </c>
      <c r="C603" s="1320"/>
      <c r="D603" s="1336"/>
      <c r="E603" s="1336"/>
    </row>
    <row r="604" spans="1:5">
      <c r="A604" s="1326"/>
      <c r="B604" s="1323"/>
      <c r="C604" s="1320"/>
      <c r="D604" s="1336"/>
      <c r="E604" s="1336"/>
    </row>
    <row r="605" spans="1:5">
      <c r="A605" s="1326"/>
      <c r="B605" s="1321" t="s">
        <v>1478</v>
      </c>
      <c r="C605" s="1342"/>
      <c r="D605" s="1336"/>
      <c r="E605" s="1336"/>
    </row>
    <row r="606" spans="1:5">
      <c r="A606" s="1326"/>
      <c r="B606" s="1321"/>
      <c r="C606" s="1342"/>
      <c r="D606" s="1336"/>
      <c r="E606" s="1336"/>
    </row>
    <row r="607" spans="1:5">
      <c r="A607" s="1326"/>
      <c r="B607" s="1323" t="s">
        <v>1479</v>
      </c>
      <c r="C607" s="1342" t="s">
        <v>1328</v>
      </c>
      <c r="D607" s="1334">
        <v>458.19601040763229</v>
      </c>
      <c r="E607" s="1362">
        <f>D607*$E$5</f>
        <v>487.06235906331307</v>
      </c>
    </row>
    <row r="608" spans="1:5">
      <c r="A608" s="1326"/>
      <c r="B608" s="1321"/>
      <c r="C608" s="1342"/>
      <c r="D608" s="1336"/>
      <c r="E608" s="1336"/>
    </row>
    <row r="609" spans="1:5">
      <c r="A609" s="1326"/>
      <c r="B609" s="1321" t="s">
        <v>1480</v>
      </c>
      <c r="C609" s="1342"/>
      <c r="D609" s="1336"/>
      <c r="E609" s="1336"/>
    </row>
    <row r="610" spans="1:5">
      <c r="A610" s="1326"/>
      <c r="B610" s="1326"/>
      <c r="C610" s="1342"/>
      <c r="D610" s="1336"/>
      <c r="E610" s="1336"/>
    </row>
    <row r="611" spans="1:5">
      <c r="A611" s="1326"/>
      <c r="B611" s="1326" t="s">
        <v>1481</v>
      </c>
      <c r="C611" s="1320" t="s">
        <v>206</v>
      </c>
      <c r="D611" s="1334">
        <v>386.92107545533395</v>
      </c>
      <c r="E611" s="1362">
        <f>D611*$E$5</f>
        <v>411.29710320901995</v>
      </c>
    </row>
    <row r="612" spans="1:5">
      <c r="A612" s="1326"/>
      <c r="B612" s="1326" t="s">
        <v>1482</v>
      </c>
      <c r="C612" s="1342"/>
      <c r="D612" s="1336"/>
      <c r="E612" s="1336"/>
    </row>
    <row r="613" spans="1:5">
      <c r="A613" s="1326"/>
      <c r="B613" s="1323"/>
      <c r="C613" s="1342"/>
      <c r="D613" s="1336"/>
      <c r="E613" s="1336"/>
    </row>
    <row r="614" spans="1:5">
      <c r="A614" s="1326"/>
      <c r="B614" s="1321" t="s">
        <v>1483</v>
      </c>
      <c r="C614" s="1320"/>
      <c r="D614" s="1324"/>
      <c r="E614" s="1324"/>
    </row>
    <row r="615" spans="1:5">
      <c r="A615" s="1326"/>
      <c r="B615" s="1321"/>
      <c r="C615" s="1320"/>
      <c r="D615" s="1324"/>
      <c r="E615" s="1324"/>
    </row>
    <row r="616" spans="1:5">
      <c r="A616" s="1326"/>
      <c r="B616" s="1326" t="s">
        <v>1484</v>
      </c>
      <c r="C616" s="1320"/>
      <c r="D616" s="1324"/>
      <c r="E616" s="1324"/>
    </row>
    <row r="617" spans="1:5">
      <c r="A617" s="1326"/>
      <c r="B617" s="1326"/>
      <c r="C617" s="1320"/>
      <c r="D617" s="1324"/>
      <c r="E617" s="1324"/>
    </row>
    <row r="618" spans="1:5">
      <c r="A618" s="1326"/>
      <c r="B618" s="1321" t="s">
        <v>1485</v>
      </c>
      <c r="C618" s="1320"/>
      <c r="D618" s="1324"/>
      <c r="E618" s="1324"/>
    </row>
    <row r="619" spans="1:5" ht="45">
      <c r="A619" s="1326"/>
      <c r="B619" s="1323" t="s">
        <v>1486</v>
      </c>
      <c r="C619" s="1320" t="s">
        <v>403</v>
      </c>
      <c r="D619" s="1334">
        <v>61092.801387684303</v>
      </c>
      <c r="E619" s="1362">
        <f>D619*$E$5</f>
        <v>64941.647875108414</v>
      </c>
    </row>
    <row r="620" spans="1:5">
      <c r="A620" s="1326"/>
      <c r="B620" s="1323"/>
      <c r="C620" s="1320"/>
      <c r="D620" s="1324"/>
      <c r="E620" s="1324"/>
    </row>
    <row r="621" spans="1:5">
      <c r="A621" s="1326"/>
      <c r="B621" s="1321" t="s">
        <v>1487</v>
      </c>
      <c r="C621" s="1320"/>
      <c r="D621" s="1324"/>
      <c r="E621" s="1324"/>
    </row>
    <row r="622" spans="1:5" ht="75">
      <c r="A622" s="1326"/>
      <c r="B622" s="1323" t="s">
        <v>1488</v>
      </c>
      <c r="C622" s="1320" t="s">
        <v>236</v>
      </c>
      <c r="D622" s="1334">
        <v>5600.1734605377278</v>
      </c>
      <c r="E622" s="1362">
        <f t="shared" ref="E622:E623" si="0">D622*$E$5</f>
        <v>5952.9843885516048</v>
      </c>
    </row>
    <row r="623" spans="1:5" ht="120">
      <c r="A623" s="1326"/>
      <c r="B623" s="1323" t="s">
        <v>1489</v>
      </c>
      <c r="C623" s="1320" t="s">
        <v>400</v>
      </c>
      <c r="D623" s="1334">
        <v>20364.267129228101</v>
      </c>
      <c r="E623" s="1362">
        <f t="shared" si="0"/>
        <v>21647.21595836947</v>
      </c>
    </row>
    <row r="624" spans="1:5">
      <c r="A624" s="1326"/>
      <c r="B624" s="1323"/>
      <c r="C624" s="1320"/>
      <c r="D624" s="1324"/>
      <c r="E624" s="1324"/>
    </row>
    <row r="625" spans="1:5">
      <c r="A625" s="1326"/>
      <c r="B625" s="1329" t="s">
        <v>1490</v>
      </c>
      <c r="C625" s="1320"/>
      <c r="D625" s="1324"/>
      <c r="E625" s="1324"/>
    </row>
    <row r="626" spans="1:5" ht="45">
      <c r="A626" s="1326"/>
      <c r="B626" s="1328" t="s">
        <v>1491</v>
      </c>
      <c r="C626" s="1320"/>
      <c r="D626" s="1324"/>
      <c r="E626" s="1324"/>
    </row>
    <row r="627" spans="1:5">
      <c r="A627" s="1326"/>
      <c r="B627" s="1323" t="s">
        <v>1492</v>
      </c>
      <c r="C627" s="1320" t="s">
        <v>236</v>
      </c>
      <c r="D627" s="1334">
        <v>2240.0693842150913</v>
      </c>
      <c r="E627" s="1362">
        <f t="shared" ref="E627:E629" si="1">D627*$E$5</f>
        <v>2381.193755420642</v>
      </c>
    </row>
    <row r="628" spans="1:5">
      <c r="A628" s="1326"/>
      <c r="B628" s="1323" t="s">
        <v>1493</v>
      </c>
      <c r="C628" s="1320" t="s">
        <v>236</v>
      </c>
      <c r="D628" s="1334">
        <v>916.39202081526457</v>
      </c>
      <c r="E628" s="1362">
        <f t="shared" si="1"/>
        <v>974.12471812662614</v>
      </c>
    </row>
    <row r="629" spans="1:5">
      <c r="A629" s="1326"/>
      <c r="B629" s="1326" t="s">
        <v>1494</v>
      </c>
      <c r="C629" s="1320" t="s">
        <v>236</v>
      </c>
      <c r="D629" s="1334">
        <v>1221.856027753686</v>
      </c>
      <c r="E629" s="1362">
        <f t="shared" si="1"/>
        <v>1298.8329575021683</v>
      </c>
    </row>
    <row r="630" spans="1:5">
      <c r="A630" s="1326"/>
      <c r="B630" s="1326"/>
      <c r="C630" s="1320"/>
      <c r="D630" s="1324"/>
      <c r="E630" s="1324"/>
    </row>
    <row r="631" spans="1:5">
      <c r="A631" s="1326"/>
      <c r="B631" s="1327" t="s">
        <v>1495</v>
      </c>
      <c r="C631" s="1320"/>
      <c r="D631" s="1324"/>
      <c r="E631" s="1324"/>
    </row>
    <row r="632" spans="1:5">
      <c r="A632" s="1326"/>
      <c r="B632" s="1326" t="s">
        <v>1496</v>
      </c>
      <c r="C632" s="1320" t="s">
        <v>236</v>
      </c>
      <c r="D632" s="1334">
        <v>1084.3972246313965</v>
      </c>
      <c r="E632" s="1362">
        <f t="shared" ref="E632:E639" si="2">D632*$E$5</f>
        <v>1152.7142497831744</v>
      </c>
    </row>
    <row r="633" spans="1:5">
      <c r="A633" s="1326"/>
      <c r="B633" s="1326" t="s">
        <v>1497</v>
      </c>
      <c r="C633" s="1320" t="s">
        <v>236</v>
      </c>
      <c r="D633" s="1334">
        <v>1084.3972246313965</v>
      </c>
      <c r="E633" s="1362">
        <f t="shared" si="2"/>
        <v>1152.7142497831744</v>
      </c>
    </row>
    <row r="634" spans="1:5">
      <c r="A634" s="1326"/>
      <c r="B634" s="1326" t="s">
        <v>1498</v>
      </c>
      <c r="C634" s="1320" t="s">
        <v>236</v>
      </c>
      <c r="D634" s="1334">
        <v>1781.8733738074588</v>
      </c>
      <c r="E634" s="1362">
        <f t="shared" si="2"/>
        <v>1894.1313963573286</v>
      </c>
    </row>
    <row r="635" spans="1:5">
      <c r="A635" s="1326"/>
      <c r="B635" s="1326" t="s">
        <v>1499</v>
      </c>
      <c r="C635" s="1320" t="s">
        <v>236</v>
      </c>
      <c r="D635" s="1334">
        <v>1781.8733738074588</v>
      </c>
      <c r="E635" s="1362">
        <f t="shared" si="2"/>
        <v>1894.1313963573286</v>
      </c>
    </row>
    <row r="636" spans="1:5">
      <c r="A636" s="1326"/>
      <c r="B636" s="1326" t="s">
        <v>1500</v>
      </c>
      <c r="C636" s="1320" t="s">
        <v>236</v>
      </c>
      <c r="D636" s="1334">
        <v>666.92974848222036</v>
      </c>
      <c r="E636" s="1362">
        <f t="shared" si="2"/>
        <v>708.94632263660026</v>
      </c>
    </row>
    <row r="637" spans="1:5">
      <c r="A637" s="1326"/>
      <c r="B637" s="1326" t="s">
        <v>1501</v>
      </c>
      <c r="C637" s="1320" t="s">
        <v>236</v>
      </c>
      <c r="D637" s="1334">
        <v>666.92974848222036</v>
      </c>
      <c r="E637" s="1362">
        <f t="shared" si="2"/>
        <v>708.94632263660026</v>
      </c>
    </row>
    <row r="638" spans="1:5">
      <c r="A638" s="1326"/>
      <c r="B638" s="1326" t="s">
        <v>1502</v>
      </c>
      <c r="C638" s="1320" t="s">
        <v>236</v>
      </c>
      <c r="D638" s="1334">
        <v>666.92974848222036</v>
      </c>
      <c r="E638" s="1362">
        <f t="shared" si="2"/>
        <v>708.94632263660026</v>
      </c>
    </row>
    <row r="639" spans="1:5" ht="75">
      <c r="A639" s="1326"/>
      <c r="B639" s="1326" t="s">
        <v>1503</v>
      </c>
      <c r="C639" s="1320" t="s">
        <v>403</v>
      </c>
      <c r="D639" s="1334">
        <v>10182.133564614051</v>
      </c>
      <c r="E639" s="1334">
        <f t="shared" si="2"/>
        <v>10823.607979184735</v>
      </c>
    </row>
    <row r="640" spans="1:5">
      <c r="A640" s="1326"/>
      <c r="B640" s="1326"/>
      <c r="C640" s="1320"/>
      <c r="D640" s="1324"/>
      <c r="E640" s="1324"/>
    </row>
    <row r="641" spans="1:5">
      <c r="A641" s="1326"/>
      <c r="B641" s="1327" t="s">
        <v>1504</v>
      </c>
      <c r="C641" s="1320"/>
      <c r="D641" s="1324"/>
      <c r="E641" s="1324"/>
    </row>
    <row r="642" spans="1:5">
      <c r="A642" s="1326"/>
      <c r="B642" s="1326" t="s">
        <v>1505</v>
      </c>
      <c r="C642" s="1320" t="s">
        <v>236</v>
      </c>
      <c r="D642" s="1334">
        <v>5091.0667823070253</v>
      </c>
      <c r="E642" s="1362">
        <f>D642*$E$5</f>
        <v>5411.8039895923675</v>
      </c>
    </row>
    <row r="643" spans="1:5">
      <c r="A643" s="1326"/>
      <c r="B643" s="1326"/>
      <c r="C643" s="1320"/>
      <c r="D643" s="1324"/>
      <c r="E643" s="1324"/>
    </row>
    <row r="644" spans="1:5">
      <c r="A644" s="1326"/>
      <c r="B644" s="1327" t="s">
        <v>1506</v>
      </c>
      <c r="C644" s="1320"/>
      <c r="D644" s="1324"/>
      <c r="E644" s="1324"/>
    </row>
    <row r="645" spans="1:5" ht="105">
      <c r="A645" s="1326"/>
      <c r="B645" s="1326" t="s">
        <v>1507</v>
      </c>
      <c r="C645" s="1320"/>
      <c r="D645" s="1324"/>
      <c r="E645" s="1324"/>
    </row>
    <row r="646" spans="1:5">
      <c r="A646" s="1326"/>
      <c r="B646" s="1323" t="s">
        <v>1508</v>
      </c>
      <c r="C646" s="1320" t="s">
        <v>206</v>
      </c>
      <c r="D646" s="1334">
        <v>407.28534258456204</v>
      </c>
      <c r="E646" s="1362">
        <f t="shared" ref="E646:E649" si="3">D646*$E$5</f>
        <v>432.94431916738944</v>
      </c>
    </row>
    <row r="647" spans="1:5">
      <c r="A647" s="1326"/>
      <c r="B647" s="1323" t="s">
        <v>1509</v>
      </c>
      <c r="C647" s="1320" t="s">
        <v>206</v>
      </c>
      <c r="D647" s="1334">
        <v>642.4926279271466</v>
      </c>
      <c r="E647" s="1362">
        <f t="shared" si="3"/>
        <v>682.96966348655678</v>
      </c>
    </row>
    <row r="648" spans="1:5">
      <c r="A648" s="1326"/>
      <c r="B648" s="1323" t="s">
        <v>1510</v>
      </c>
      <c r="C648" s="1320" t="s">
        <v>206</v>
      </c>
      <c r="D648" s="1334">
        <v>445.97745013009541</v>
      </c>
      <c r="E648" s="1362">
        <f t="shared" si="3"/>
        <v>474.07402948829139</v>
      </c>
    </row>
    <row r="649" spans="1:5">
      <c r="A649" s="1326"/>
      <c r="B649" s="1323" t="s">
        <v>1511</v>
      </c>
      <c r="C649" s="1320" t="s">
        <v>206</v>
      </c>
      <c r="D649" s="1334">
        <v>2138.2480485689507</v>
      </c>
      <c r="E649" s="1362">
        <f t="shared" si="3"/>
        <v>2272.9576756287943</v>
      </c>
    </row>
    <row r="650" spans="1:5">
      <c r="A650" s="1326"/>
      <c r="B650" s="1323"/>
      <c r="C650" s="1320"/>
      <c r="D650" s="1324"/>
      <c r="E650" s="1324"/>
    </row>
    <row r="651" spans="1:5">
      <c r="A651" s="1326"/>
      <c r="B651" s="1321" t="s">
        <v>1512</v>
      </c>
      <c r="C651" s="1320"/>
      <c r="D651" s="1324"/>
      <c r="E651" s="1324"/>
    </row>
    <row r="652" spans="1:5">
      <c r="A652" s="1326"/>
      <c r="B652" s="1323" t="s">
        <v>1513</v>
      </c>
      <c r="C652" s="1320" t="s">
        <v>400</v>
      </c>
      <c r="D652" s="1334">
        <v>42764.960971379012</v>
      </c>
      <c r="E652" s="1362">
        <f>D652*$E$5</f>
        <v>45459.153512575889</v>
      </c>
    </row>
    <row r="653" spans="1:5">
      <c r="A653" s="1326"/>
      <c r="B653" s="1323"/>
      <c r="C653" s="1320"/>
      <c r="D653" s="1324"/>
      <c r="E653" s="1324"/>
    </row>
    <row r="654" spans="1:5">
      <c r="A654" s="1326"/>
      <c r="B654" s="1321" t="s">
        <v>1514</v>
      </c>
      <c r="C654" s="1320"/>
      <c r="D654" s="1324"/>
      <c r="E654" s="1324"/>
    </row>
    <row r="655" spans="1:5">
      <c r="A655" s="1326"/>
      <c r="B655" s="1323" t="s">
        <v>1515</v>
      </c>
      <c r="C655" s="1320" t="s">
        <v>400</v>
      </c>
      <c r="D655" s="1334">
        <v>2545.5333911535126</v>
      </c>
      <c r="E655" s="1362">
        <f t="shared" ref="E655:E656" si="4">D655*$E$5</f>
        <v>2705.9019947961838</v>
      </c>
    </row>
    <row r="656" spans="1:5">
      <c r="A656" s="1326"/>
      <c r="B656" s="1323" t="s">
        <v>1516</v>
      </c>
      <c r="C656" s="1320" t="s">
        <v>400</v>
      </c>
      <c r="D656" s="1334">
        <v>12218.560277536861</v>
      </c>
      <c r="E656" s="1362">
        <f t="shared" si="4"/>
        <v>12988.329575021682</v>
      </c>
    </row>
    <row r="657" spans="1:5">
      <c r="A657" s="1326"/>
      <c r="B657" s="1323"/>
      <c r="C657" s="1320"/>
      <c r="D657" s="1324"/>
      <c r="E657" s="1324"/>
    </row>
    <row r="658" spans="1:5">
      <c r="A658" s="1326"/>
      <c r="B658" s="1321" t="s">
        <v>1517</v>
      </c>
      <c r="C658" s="1320"/>
      <c r="D658" s="1324"/>
      <c r="E658" s="1324"/>
    </row>
    <row r="659" spans="1:5">
      <c r="A659" s="1326"/>
      <c r="B659" s="1323"/>
      <c r="C659" s="1320"/>
      <c r="D659" s="1324"/>
      <c r="E659" s="1324"/>
    </row>
    <row r="660" spans="1:5">
      <c r="A660" s="1326"/>
      <c r="B660" s="1321" t="s">
        <v>1518</v>
      </c>
      <c r="C660" s="1320"/>
      <c r="D660" s="1330"/>
      <c r="E660" s="1330"/>
    </row>
    <row r="661" spans="1:5" ht="30">
      <c r="A661" s="1326"/>
      <c r="B661" s="1323" t="s">
        <v>1519</v>
      </c>
      <c r="C661" s="1320" t="s">
        <v>236</v>
      </c>
      <c r="D661" s="1334">
        <v>5091.0667823070253</v>
      </c>
      <c r="E661" s="1362">
        <f t="shared" ref="E661:E662" si="5">D661*$E$5</f>
        <v>5411.8039895923675</v>
      </c>
    </row>
    <row r="662" spans="1:5" ht="30">
      <c r="A662" s="1326"/>
      <c r="B662" s="1323" t="s">
        <v>1520</v>
      </c>
      <c r="C662" s="1320" t="s">
        <v>236</v>
      </c>
      <c r="D662" s="1334">
        <v>2036.4267129228101</v>
      </c>
      <c r="E662" s="1362">
        <f t="shared" si="5"/>
        <v>2164.721595836947</v>
      </c>
    </row>
    <row r="663" spans="1:5">
      <c r="A663" s="1326"/>
      <c r="B663" s="1323" t="s">
        <v>1521</v>
      </c>
      <c r="C663" s="1320"/>
      <c r="D663" s="1330"/>
      <c r="E663" s="1330"/>
    </row>
    <row r="664" spans="1:5">
      <c r="A664" s="1326"/>
      <c r="B664" s="1323"/>
      <c r="C664" s="1320"/>
      <c r="D664" s="1330"/>
      <c r="E664" s="1330"/>
    </row>
    <row r="665" spans="1:5" ht="30">
      <c r="A665" s="1326"/>
      <c r="B665" s="1321" t="s">
        <v>1522</v>
      </c>
      <c r="C665" s="1320"/>
      <c r="D665" s="1330"/>
      <c r="E665" s="1330"/>
    </row>
    <row r="666" spans="1:5" ht="30">
      <c r="A666" s="1326"/>
      <c r="B666" s="1323" t="s">
        <v>1523</v>
      </c>
      <c r="C666" s="1320"/>
      <c r="D666" s="1330"/>
      <c r="E666" s="1330"/>
    </row>
    <row r="667" spans="1:5" ht="30">
      <c r="A667" s="1326"/>
      <c r="B667" s="1323" t="s">
        <v>1524</v>
      </c>
      <c r="C667" s="1320" t="s">
        <v>236</v>
      </c>
      <c r="D667" s="1334">
        <v>25455.333911535126</v>
      </c>
      <c r="E667" s="1334">
        <f t="shared" ref="E667:E669" si="6">D667*$E$5</f>
        <v>27059.019947961839</v>
      </c>
    </row>
    <row r="668" spans="1:5" ht="30">
      <c r="A668" s="1326"/>
      <c r="B668" s="1323" t="s">
        <v>1525</v>
      </c>
      <c r="C668" s="1320" t="s">
        <v>236</v>
      </c>
      <c r="D668" s="1334">
        <v>20364.267129228101</v>
      </c>
      <c r="E668" s="1334">
        <f t="shared" si="6"/>
        <v>21647.21595836947</v>
      </c>
    </row>
    <row r="669" spans="1:5" ht="30">
      <c r="A669" s="1326"/>
      <c r="B669" s="1323" t="s">
        <v>1526</v>
      </c>
      <c r="C669" s="1320" t="s">
        <v>236</v>
      </c>
      <c r="D669" s="1334">
        <v>20364.267129228101</v>
      </c>
      <c r="E669" s="1334">
        <f t="shared" si="6"/>
        <v>21647.21595836947</v>
      </c>
    </row>
    <row r="670" spans="1:5" ht="45">
      <c r="A670" s="1326"/>
      <c r="B670" s="1323" t="s">
        <v>1527</v>
      </c>
      <c r="C670" s="1320"/>
      <c r="D670" s="1330"/>
      <c r="E670" s="1330"/>
    </row>
    <row r="671" spans="1:5">
      <c r="A671" s="1326"/>
      <c r="B671" s="1323"/>
      <c r="C671" s="1320"/>
      <c r="D671" s="1330"/>
      <c r="E671" s="1330"/>
    </row>
    <row r="672" spans="1:5" ht="45">
      <c r="A672" s="1326"/>
      <c r="B672" s="1321" t="s">
        <v>1528</v>
      </c>
      <c r="C672" s="1320"/>
      <c r="D672" s="1330"/>
      <c r="E672" s="1330"/>
    </row>
    <row r="673" spans="1:5" ht="30">
      <c r="A673" s="1326"/>
      <c r="B673" s="1323" t="s">
        <v>1529</v>
      </c>
      <c r="C673" s="1320"/>
      <c r="D673" s="1330"/>
      <c r="E673" s="1330"/>
    </row>
    <row r="674" spans="1:5" ht="45">
      <c r="A674" s="1326"/>
      <c r="B674" s="1323" t="s">
        <v>1530</v>
      </c>
      <c r="C674" s="1320" t="s">
        <v>236</v>
      </c>
      <c r="D674" s="1334">
        <v>50944.26886383348</v>
      </c>
      <c r="E674" s="1334">
        <f t="shared" ref="E674:E677" si="7">D674*$E$5</f>
        <v>54153.757802254986</v>
      </c>
    </row>
    <row r="675" spans="1:5" ht="45">
      <c r="A675" s="1326"/>
      <c r="B675" s="1323" t="s">
        <v>1531</v>
      </c>
      <c r="C675" s="1320" t="s">
        <v>236</v>
      </c>
      <c r="D675" s="1334">
        <v>49456.659150043371</v>
      </c>
      <c r="E675" s="1334">
        <f t="shared" si="7"/>
        <v>52572.4286764961</v>
      </c>
    </row>
    <row r="676" spans="1:5" ht="45">
      <c r="A676" s="1326"/>
      <c r="B676" s="1326" t="s">
        <v>1532</v>
      </c>
      <c r="C676" s="1320" t="s">
        <v>236</v>
      </c>
      <c r="D676" s="1334">
        <v>46710.537727666961</v>
      </c>
      <c r="E676" s="1334">
        <f t="shared" si="7"/>
        <v>49653.301604509979</v>
      </c>
    </row>
    <row r="677" spans="1:5" ht="45">
      <c r="A677" s="1326"/>
      <c r="B677" s="1326" t="s">
        <v>1533</v>
      </c>
      <c r="C677" s="1320" t="s">
        <v>236</v>
      </c>
      <c r="D677" s="1334">
        <v>46710.537727666961</v>
      </c>
      <c r="E677" s="1334">
        <f t="shared" si="7"/>
        <v>49653.301604509979</v>
      </c>
    </row>
    <row r="678" spans="1:5">
      <c r="A678" s="1326"/>
      <c r="B678" s="1326"/>
      <c r="C678" s="1320"/>
      <c r="D678" s="1330"/>
      <c r="E678" s="1330"/>
    </row>
    <row r="679" spans="1:5">
      <c r="A679" s="1326"/>
      <c r="B679" s="1327" t="s">
        <v>1534</v>
      </c>
      <c r="C679" s="1320"/>
      <c r="D679" s="1330"/>
      <c r="E679" s="1330"/>
    </row>
    <row r="680" spans="1:5" ht="60">
      <c r="A680" s="1326"/>
      <c r="B680" s="1326" t="s">
        <v>1535</v>
      </c>
      <c r="C680" s="1320"/>
      <c r="D680" s="1330"/>
      <c r="E680" s="1330"/>
    </row>
    <row r="681" spans="1:5">
      <c r="A681" s="1326"/>
      <c r="B681" s="1327"/>
      <c r="C681" s="1320"/>
      <c r="D681" s="1330"/>
      <c r="E681" s="1330"/>
    </row>
    <row r="682" spans="1:5">
      <c r="A682" s="1326"/>
      <c r="B682" s="1327" t="s">
        <v>1536</v>
      </c>
      <c r="C682" s="1320"/>
      <c r="D682" s="1330"/>
      <c r="E682" s="1330"/>
    </row>
    <row r="683" spans="1:5">
      <c r="A683" s="1326"/>
      <c r="B683" s="1326" t="s">
        <v>1537</v>
      </c>
      <c r="C683" s="1320" t="s">
        <v>215</v>
      </c>
      <c r="D683" s="1334">
        <v>1018.2133564614051</v>
      </c>
      <c r="E683" s="1362">
        <f t="shared" ref="E683:E690" si="8">D683*$E$5</f>
        <v>1082.3607979184735</v>
      </c>
    </row>
    <row r="684" spans="1:5">
      <c r="A684" s="1326"/>
      <c r="B684" s="1326" t="s">
        <v>1538</v>
      </c>
      <c r="C684" s="1320" t="s">
        <v>215</v>
      </c>
      <c r="D684" s="1334">
        <v>1018.2133564614051</v>
      </c>
      <c r="E684" s="1362">
        <f t="shared" si="8"/>
        <v>1082.3607979184735</v>
      </c>
    </row>
    <row r="685" spans="1:5">
      <c r="A685" s="1326"/>
      <c r="B685" s="1326" t="s">
        <v>1539</v>
      </c>
      <c r="C685" s="1320" t="s">
        <v>215</v>
      </c>
      <c r="D685" s="1334">
        <v>1018.2133564614051</v>
      </c>
      <c r="E685" s="1362">
        <f t="shared" si="8"/>
        <v>1082.3607979184735</v>
      </c>
    </row>
    <row r="686" spans="1:5">
      <c r="A686" s="1326"/>
      <c r="B686" s="1326" t="s">
        <v>1540</v>
      </c>
      <c r="C686" s="1320" t="s">
        <v>215</v>
      </c>
      <c r="D686" s="1334">
        <v>1221.856027753686</v>
      </c>
      <c r="E686" s="1362">
        <f t="shared" si="8"/>
        <v>1298.8329575021683</v>
      </c>
    </row>
    <row r="687" spans="1:5">
      <c r="A687" s="1326"/>
      <c r="B687" s="1323" t="s">
        <v>1541</v>
      </c>
      <c r="C687" s="1320" t="s">
        <v>215</v>
      </c>
      <c r="D687" s="1334">
        <v>1374.5880312228969</v>
      </c>
      <c r="E687" s="1362">
        <f t="shared" si="8"/>
        <v>1461.1870771899394</v>
      </c>
    </row>
    <row r="688" spans="1:5">
      <c r="A688" s="1326"/>
      <c r="B688" s="1326" t="s">
        <v>1542</v>
      </c>
      <c r="C688" s="1320" t="s">
        <v>215</v>
      </c>
      <c r="D688" s="1334">
        <v>1374.5880312228969</v>
      </c>
      <c r="E688" s="1362">
        <f t="shared" si="8"/>
        <v>1461.1870771899394</v>
      </c>
    </row>
    <row r="689" spans="1:5">
      <c r="A689" s="1326"/>
      <c r="B689" s="1323" t="s">
        <v>1543</v>
      </c>
      <c r="C689" s="1320" t="s">
        <v>215</v>
      </c>
      <c r="D689" s="1334">
        <v>1730.9627059843888</v>
      </c>
      <c r="E689" s="1362">
        <f t="shared" si="8"/>
        <v>1840.0133564614052</v>
      </c>
    </row>
    <row r="690" spans="1:5" ht="45">
      <c r="A690" s="1326"/>
      <c r="B690" s="1323" t="s">
        <v>1544</v>
      </c>
      <c r="C690" s="1320" t="s">
        <v>236</v>
      </c>
      <c r="D690" s="1334">
        <v>25455.333911535126</v>
      </c>
      <c r="E690" s="1334">
        <f t="shared" si="8"/>
        <v>27059.019947961839</v>
      </c>
    </row>
    <row r="691" spans="1:5">
      <c r="A691" s="1326"/>
      <c r="B691" s="1321"/>
      <c r="C691" s="1320"/>
      <c r="D691" s="1324"/>
      <c r="E691" s="1324"/>
    </row>
    <row r="692" spans="1:5">
      <c r="A692" s="1326"/>
      <c r="B692" s="1321" t="s">
        <v>1545</v>
      </c>
      <c r="C692" s="1320"/>
      <c r="D692" s="1324"/>
      <c r="E692" s="1324"/>
    </row>
    <row r="693" spans="1:5">
      <c r="A693" s="1326"/>
      <c r="B693" s="1323" t="s">
        <v>1546</v>
      </c>
      <c r="C693" s="1320" t="s">
        <v>236</v>
      </c>
      <c r="D693" s="1334">
        <v>992.75802254987002</v>
      </c>
      <c r="E693" s="1362">
        <f t="shared" ref="E693:E710" si="9">D693*$E$5</f>
        <v>1055.3017779705117</v>
      </c>
    </row>
    <row r="694" spans="1:5">
      <c r="A694" s="1326"/>
      <c r="B694" s="1323" t="s">
        <v>1547</v>
      </c>
      <c r="C694" s="1320" t="s">
        <v>236</v>
      </c>
      <c r="D694" s="1334">
        <v>992.75802254987002</v>
      </c>
      <c r="E694" s="1362">
        <f t="shared" si="9"/>
        <v>1055.3017779705117</v>
      </c>
    </row>
    <row r="695" spans="1:5">
      <c r="A695" s="1326"/>
      <c r="B695" s="1323" t="s">
        <v>1548</v>
      </c>
      <c r="C695" s="1320" t="s">
        <v>236</v>
      </c>
      <c r="D695" s="1334">
        <v>992.75802254987002</v>
      </c>
      <c r="E695" s="1362">
        <f t="shared" si="9"/>
        <v>1055.3017779705117</v>
      </c>
    </row>
    <row r="696" spans="1:5">
      <c r="A696" s="1326"/>
      <c r="B696" s="1323" t="s">
        <v>1549</v>
      </c>
      <c r="C696" s="1320" t="s">
        <v>236</v>
      </c>
      <c r="D696" s="1334">
        <v>992.75802254987002</v>
      </c>
      <c r="E696" s="1362">
        <f t="shared" si="9"/>
        <v>1055.3017779705117</v>
      </c>
    </row>
    <row r="697" spans="1:5">
      <c r="A697" s="1326"/>
      <c r="B697" s="1323" t="s">
        <v>1550</v>
      </c>
      <c r="C697" s="1320" t="s">
        <v>236</v>
      </c>
      <c r="D697" s="1334">
        <v>992.75802254987002</v>
      </c>
      <c r="E697" s="1362">
        <f t="shared" si="9"/>
        <v>1055.3017779705117</v>
      </c>
    </row>
    <row r="698" spans="1:5" ht="30">
      <c r="A698" s="1326"/>
      <c r="B698" s="1323" t="s">
        <v>1551</v>
      </c>
      <c r="C698" s="1320" t="s">
        <v>236</v>
      </c>
      <c r="D698" s="1334">
        <v>1120.0346921075457</v>
      </c>
      <c r="E698" s="1362">
        <f t="shared" si="9"/>
        <v>1190.596877710321</v>
      </c>
    </row>
    <row r="699" spans="1:5" ht="30">
      <c r="A699" s="1326"/>
      <c r="B699" s="1323" t="s">
        <v>1552</v>
      </c>
      <c r="C699" s="1320" t="s">
        <v>236</v>
      </c>
      <c r="D699" s="1334">
        <v>1120.0346921075457</v>
      </c>
      <c r="E699" s="1362">
        <f t="shared" si="9"/>
        <v>1190.596877710321</v>
      </c>
    </row>
    <row r="700" spans="1:5">
      <c r="A700" s="1326"/>
      <c r="B700" s="1323" t="s">
        <v>1553</v>
      </c>
      <c r="C700" s="1320" t="s">
        <v>236</v>
      </c>
      <c r="D700" s="1334">
        <v>1120.0346921075457</v>
      </c>
      <c r="E700" s="1362">
        <f t="shared" si="9"/>
        <v>1190.596877710321</v>
      </c>
    </row>
    <row r="701" spans="1:5">
      <c r="A701" s="1326"/>
      <c r="B701" s="1323" t="s">
        <v>1554</v>
      </c>
      <c r="C701" s="1320" t="s">
        <v>236</v>
      </c>
      <c r="D701" s="1334">
        <v>1120.0346921075457</v>
      </c>
      <c r="E701" s="1362">
        <f t="shared" si="9"/>
        <v>1190.596877710321</v>
      </c>
    </row>
    <row r="702" spans="1:5">
      <c r="A702" s="1326"/>
      <c r="B702" s="1323" t="s">
        <v>1555</v>
      </c>
      <c r="C702" s="1320" t="s">
        <v>236</v>
      </c>
      <c r="D702" s="1334">
        <v>1120.0346921075457</v>
      </c>
      <c r="E702" s="1362">
        <f t="shared" si="9"/>
        <v>1190.596877710321</v>
      </c>
    </row>
    <row r="703" spans="1:5">
      <c r="A703" s="1326"/>
      <c r="B703" s="1323" t="s">
        <v>1556</v>
      </c>
      <c r="C703" s="1320" t="s">
        <v>236</v>
      </c>
      <c r="D703" s="1334">
        <v>1221.856027753686</v>
      </c>
      <c r="E703" s="1362">
        <f t="shared" si="9"/>
        <v>1298.8329575021683</v>
      </c>
    </row>
    <row r="704" spans="1:5" ht="30">
      <c r="A704" s="1326"/>
      <c r="B704" s="1323" t="s">
        <v>1557</v>
      </c>
      <c r="C704" s="1320" t="s">
        <v>236</v>
      </c>
      <c r="D704" s="1334">
        <v>1221.856027753686</v>
      </c>
      <c r="E704" s="1362">
        <f t="shared" si="9"/>
        <v>1298.8329575021683</v>
      </c>
    </row>
    <row r="705" spans="1:5">
      <c r="A705" s="1326"/>
      <c r="B705" s="1323" t="s">
        <v>1558</v>
      </c>
      <c r="C705" s="1320" t="s">
        <v>236</v>
      </c>
      <c r="D705" s="1334">
        <v>1221.856027753686</v>
      </c>
      <c r="E705" s="1362">
        <f t="shared" si="9"/>
        <v>1298.8329575021683</v>
      </c>
    </row>
    <row r="706" spans="1:5">
      <c r="A706" s="1326"/>
      <c r="B706" s="1323" t="s">
        <v>1559</v>
      </c>
      <c r="C706" s="1320" t="s">
        <v>236</v>
      </c>
      <c r="D706" s="1334">
        <v>1476.4093668690373</v>
      </c>
      <c r="E706" s="1362">
        <f t="shared" si="9"/>
        <v>1569.4231569817866</v>
      </c>
    </row>
    <row r="707" spans="1:5">
      <c r="A707" s="1326"/>
      <c r="B707" s="1323" t="s">
        <v>1560</v>
      </c>
      <c r="C707" s="1320" t="s">
        <v>403</v>
      </c>
      <c r="D707" s="1334">
        <v>2036.4267129228101</v>
      </c>
      <c r="E707" s="1362">
        <f t="shared" si="9"/>
        <v>2164.721595836947</v>
      </c>
    </row>
    <row r="708" spans="1:5">
      <c r="A708" s="1326"/>
      <c r="B708" s="1323" t="s">
        <v>1561</v>
      </c>
      <c r="C708" s="1320" t="s">
        <v>403</v>
      </c>
      <c r="D708" s="1334">
        <v>4072.8534258456202</v>
      </c>
      <c r="E708" s="1362">
        <f t="shared" si="9"/>
        <v>4329.443191673894</v>
      </c>
    </row>
    <row r="709" spans="1:5">
      <c r="A709" s="1326"/>
      <c r="B709" s="1323" t="s">
        <v>1562</v>
      </c>
      <c r="C709" s="1320" t="s">
        <v>403</v>
      </c>
      <c r="D709" s="1334">
        <v>5091.0667823070253</v>
      </c>
      <c r="E709" s="1362">
        <f t="shared" si="9"/>
        <v>5411.8039895923675</v>
      </c>
    </row>
    <row r="710" spans="1:5">
      <c r="A710" s="1326"/>
      <c r="B710" s="1323" t="s">
        <v>1563</v>
      </c>
      <c r="C710" s="1320" t="s">
        <v>403</v>
      </c>
      <c r="D710" s="1334">
        <v>12218.560277536861</v>
      </c>
      <c r="E710" s="1362">
        <f t="shared" si="9"/>
        <v>12988.329575021682</v>
      </c>
    </row>
    <row r="711" spans="1:5">
      <c r="A711" s="1260"/>
      <c r="D711" s="1337"/>
      <c r="E711" s="1337"/>
    </row>
    <row r="712" spans="1:5" s="1266" customFormat="1">
      <c r="A712" s="1311"/>
      <c r="B712" s="1331" t="s">
        <v>1749</v>
      </c>
      <c r="C712" s="1343"/>
      <c r="D712" s="1338"/>
      <c r="E712" s="1338"/>
    </row>
    <row r="713" spans="1:5" s="1266" customFormat="1">
      <c r="A713" s="1311"/>
      <c r="B713" s="1332"/>
      <c r="C713" s="1343"/>
      <c r="D713" s="1338"/>
      <c r="E713" s="1338"/>
    </row>
    <row r="714" spans="1:5" s="1266" customFormat="1">
      <c r="A714" s="1311"/>
      <c r="B714" s="1332" t="s">
        <v>1750</v>
      </c>
      <c r="C714" s="1343" t="s">
        <v>1299</v>
      </c>
      <c r="D714" s="1338">
        <v>55</v>
      </c>
      <c r="E714" s="1363">
        <f>D714*$E$5</f>
        <v>58.464999999999996</v>
      </c>
    </row>
    <row r="715" spans="1:5" s="1266" customFormat="1">
      <c r="A715" s="1311"/>
      <c r="B715" s="1332"/>
      <c r="C715" s="1343"/>
      <c r="D715" s="1338"/>
      <c r="E715" s="1338"/>
    </row>
    <row r="716" spans="1:5" s="1266" customFormat="1">
      <c r="A716" s="1311"/>
      <c r="B716" s="1332" t="s">
        <v>1751</v>
      </c>
      <c r="C716" s="1343" t="s">
        <v>1299</v>
      </c>
      <c r="D716" s="1338">
        <v>55</v>
      </c>
      <c r="E716" s="1363">
        <f>D716*$E$5</f>
        <v>58.464999999999996</v>
      </c>
    </row>
    <row r="717" spans="1:5" s="1266" customFormat="1">
      <c r="A717" s="1311"/>
      <c r="B717" s="1332"/>
      <c r="C717" s="1343"/>
      <c r="D717" s="1338"/>
      <c r="E717" s="1338"/>
    </row>
    <row r="718" spans="1:5" s="1266" customFormat="1" ht="30">
      <c r="A718" s="1311"/>
      <c r="B718" s="1332" t="s">
        <v>1752</v>
      </c>
      <c r="C718" s="1343" t="s">
        <v>1299</v>
      </c>
      <c r="D718" s="1338">
        <v>55</v>
      </c>
      <c r="E718" s="1363">
        <f>D718*$E$5</f>
        <v>58.464999999999996</v>
      </c>
    </row>
    <row r="719" spans="1:5" s="1266" customFormat="1">
      <c r="A719" s="1311"/>
      <c r="B719" s="1332"/>
      <c r="C719" s="1343"/>
      <c r="D719" s="1338"/>
      <c r="E719" s="1338"/>
    </row>
    <row r="720" spans="1:5" s="1266" customFormat="1" ht="30">
      <c r="A720" s="1311"/>
      <c r="B720" s="1332" t="s">
        <v>1753</v>
      </c>
      <c r="C720" s="1343" t="s">
        <v>1299</v>
      </c>
      <c r="D720" s="1338">
        <v>55</v>
      </c>
      <c r="E720" s="1363">
        <f>D720*$E$5</f>
        <v>58.464999999999996</v>
      </c>
    </row>
    <row r="721" spans="1:5" s="1266" customFormat="1">
      <c r="A721" s="1311"/>
      <c r="B721" s="1332"/>
      <c r="C721" s="1343"/>
      <c r="D721" s="1338"/>
      <c r="E721" s="1338"/>
    </row>
    <row r="722" spans="1:5" s="1266" customFormat="1" ht="30">
      <c r="A722" s="1311"/>
      <c r="B722" s="1332" t="s">
        <v>1754</v>
      </c>
      <c r="C722" s="1343" t="s">
        <v>1299</v>
      </c>
      <c r="D722" s="1338">
        <v>55</v>
      </c>
      <c r="E722" s="1363">
        <f>D722*$E$5</f>
        <v>58.464999999999996</v>
      </c>
    </row>
    <row r="723" spans="1:5" s="1266" customFormat="1">
      <c r="A723" s="1311"/>
      <c r="B723" s="1332"/>
      <c r="C723" s="1343"/>
      <c r="D723" s="1338"/>
      <c r="E723" s="1338"/>
    </row>
    <row r="724" spans="1:5" s="1266" customFormat="1">
      <c r="A724" s="1311"/>
      <c r="B724" s="1331" t="s">
        <v>1755</v>
      </c>
      <c r="C724" s="1343"/>
      <c r="D724" s="1338"/>
      <c r="E724" s="1338"/>
    </row>
    <row r="725" spans="1:5" s="1266" customFormat="1">
      <c r="A725" s="1311"/>
      <c r="B725" s="1332"/>
      <c r="C725" s="1343"/>
      <c r="D725" s="1338"/>
      <c r="E725" s="1338"/>
    </row>
    <row r="726" spans="1:5" s="1266" customFormat="1">
      <c r="A726" s="1311"/>
      <c r="B726" s="1332" t="s">
        <v>1304</v>
      </c>
      <c r="C726" s="1343" t="s">
        <v>1299</v>
      </c>
      <c r="D726" s="1338">
        <v>750</v>
      </c>
      <c r="E726" s="1363">
        <f>D726*$E$5</f>
        <v>797.25</v>
      </c>
    </row>
    <row r="727" spans="1:5" s="1266" customFormat="1">
      <c r="A727" s="1311"/>
      <c r="B727" s="1332"/>
      <c r="C727" s="1343"/>
      <c r="D727" s="1338"/>
      <c r="E727" s="1338"/>
    </row>
    <row r="728" spans="1:5" s="1266" customFormat="1">
      <c r="A728" s="1311"/>
      <c r="B728" s="1332" t="s">
        <v>1305</v>
      </c>
      <c r="C728" s="1343" t="s">
        <v>1299</v>
      </c>
      <c r="D728" s="1338">
        <v>750</v>
      </c>
      <c r="E728" s="1363">
        <f>D728*$E$5</f>
        <v>797.25</v>
      </c>
    </row>
    <row r="729" spans="1:5" s="1266" customFormat="1">
      <c r="A729" s="1311"/>
      <c r="B729" s="1332"/>
      <c r="C729" s="1343"/>
      <c r="D729" s="1338"/>
      <c r="E729" s="1338"/>
    </row>
    <row r="730" spans="1:5" s="1266" customFormat="1">
      <c r="A730" s="1311"/>
      <c r="B730" s="1331" t="s">
        <v>1756</v>
      </c>
      <c r="C730" s="1343"/>
      <c r="D730" s="1338"/>
      <c r="E730" s="1338"/>
    </row>
    <row r="731" spans="1:5" s="1266" customFormat="1">
      <c r="A731" s="1311"/>
      <c r="B731" s="1332"/>
      <c r="C731" s="1343"/>
      <c r="D731" s="1338"/>
      <c r="E731" s="1338"/>
    </row>
    <row r="732" spans="1:5" s="1266" customFormat="1" ht="30">
      <c r="A732" s="1311"/>
      <c r="B732" s="1332" t="s">
        <v>1757</v>
      </c>
      <c r="C732" s="1343" t="s">
        <v>1299</v>
      </c>
      <c r="D732" s="1338">
        <v>150</v>
      </c>
      <c r="E732" s="1363">
        <f>D732*$E$5</f>
        <v>159.44999999999999</v>
      </c>
    </row>
    <row r="733" spans="1:5" s="1266" customFormat="1">
      <c r="A733" s="1311"/>
      <c r="B733" s="1332"/>
      <c r="C733" s="1343"/>
      <c r="D733" s="1338"/>
      <c r="E733" s="1338"/>
    </row>
    <row r="734" spans="1:5" s="1266" customFormat="1">
      <c r="A734" s="1311"/>
      <c r="B734" s="1312" t="s">
        <v>1758</v>
      </c>
      <c r="C734" s="1343"/>
      <c r="D734" s="1338"/>
      <c r="E734" s="1338"/>
    </row>
    <row r="735" spans="1:5" s="1266" customFormat="1">
      <c r="A735" s="1311"/>
      <c r="B735" s="1332"/>
      <c r="C735" s="1343"/>
      <c r="D735" s="1338"/>
      <c r="E735" s="1338"/>
    </row>
    <row r="736" spans="1:5" s="1266" customFormat="1" ht="26.25">
      <c r="A736" s="1311"/>
      <c r="B736" s="1331" t="s">
        <v>1759</v>
      </c>
      <c r="C736" s="1343"/>
      <c r="D736" s="1338"/>
      <c r="E736" s="1338"/>
    </row>
    <row r="737" spans="1:5" s="1266" customFormat="1">
      <c r="A737" s="1311"/>
      <c r="B737" s="1332"/>
      <c r="C737" s="1343"/>
      <c r="D737" s="1338"/>
      <c r="E737" s="1338"/>
    </row>
    <row r="738" spans="1:5" s="1266" customFormat="1" ht="30">
      <c r="A738" s="1311"/>
      <c r="B738" s="1332" t="s">
        <v>1760</v>
      </c>
      <c r="C738" s="1343" t="s">
        <v>1299</v>
      </c>
      <c r="D738" s="1338">
        <v>50</v>
      </c>
      <c r="E738" s="1363">
        <f>D738*$E$5</f>
        <v>53.15</v>
      </c>
    </row>
    <row r="739" spans="1:5" s="1266" customFormat="1">
      <c r="A739" s="1311"/>
      <c r="B739" s="1332"/>
      <c r="C739" s="1343"/>
      <c r="D739" s="1338"/>
      <c r="E739" s="1338"/>
    </row>
    <row r="740" spans="1:5" s="1266" customFormat="1">
      <c r="A740" s="1311"/>
      <c r="B740" s="1332" t="s">
        <v>1761</v>
      </c>
      <c r="C740" s="1343" t="s">
        <v>1299</v>
      </c>
      <c r="D740" s="1338">
        <v>150.80000000000001</v>
      </c>
      <c r="E740" s="1363">
        <f>D740*$E$5</f>
        <v>160.3004</v>
      </c>
    </row>
    <row r="741" spans="1:5" s="1266" customFormat="1">
      <c r="A741" s="1311"/>
      <c r="B741" s="1332"/>
      <c r="C741" s="1343"/>
      <c r="D741" s="1338"/>
      <c r="E741" s="1338"/>
    </row>
    <row r="742" spans="1:5" s="1266" customFormat="1">
      <c r="A742" s="1311"/>
      <c r="B742" s="1332" t="s">
        <v>1301</v>
      </c>
      <c r="C742" s="1343" t="s">
        <v>1299</v>
      </c>
      <c r="D742" s="1338">
        <v>150.80000000000001</v>
      </c>
      <c r="E742" s="1363">
        <f>D742*$E$5</f>
        <v>160.3004</v>
      </c>
    </row>
    <row r="743" spans="1:5" s="1266" customFormat="1">
      <c r="A743" s="1311"/>
      <c r="B743" s="1332"/>
      <c r="C743" s="1343"/>
      <c r="D743" s="1338"/>
      <c r="E743" s="1338"/>
    </row>
    <row r="744" spans="1:5" s="1266" customFormat="1">
      <c r="A744" s="1311"/>
      <c r="B744" s="1332" t="s">
        <v>1762</v>
      </c>
      <c r="C744" s="1343" t="s">
        <v>1299</v>
      </c>
      <c r="D744" s="1338">
        <v>50</v>
      </c>
      <c r="E744" s="1363">
        <f>D744*$E$5</f>
        <v>53.15</v>
      </c>
    </row>
    <row r="745" spans="1:5" s="1266" customFormat="1">
      <c r="A745" s="1311"/>
      <c r="B745" s="1332"/>
      <c r="C745" s="1343"/>
      <c r="D745" s="1338"/>
      <c r="E745" s="1338"/>
    </row>
    <row r="746" spans="1:5" s="1266" customFormat="1">
      <c r="A746" s="1311"/>
      <c r="B746" s="1331" t="s">
        <v>1300</v>
      </c>
      <c r="C746" s="1343"/>
      <c r="D746" s="1338"/>
      <c r="E746" s="1338"/>
    </row>
    <row r="747" spans="1:5" s="1266" customFormat="1">
      <c r="A747" s="1311"/>
      <c r="B747" s="1332"/>
      <c r="C747" s="1343"/>
      <c r="D747" s="1338"/>
      <c r="E747" s="1338"/>
    </row>
    <row r="748" spans="1:5" s="1266" customFormat="1">
      <c r="A748" s="1311"/>
      <c r="B748" s="1332" t="s">
        <v>1301</v>
      </c>
      <c r="C748" s="1343" t="s">
        <v>1299</v>
      </c>
      <c r="D748" s="1338">
        <v>160</v>
      </c>
      <c r="E748" s="1363">
        <f>D748*$E$5</f>
        <v>170.07999999999998</v>
      </c>
    </row>
    <row r="749" spans="1:5" s="1266" customFormat="1">
      <c r="A749" s="1311"/>
      <c r="B749" s="1332"/>
      <c r="C749" s="1343"/>
      <c r="D749" s="1338"/>
      <c r="E749" s="1338"/>
    </row>
    <row r="750" spans="1:5" s="1266" customFormat="1">
      <c r="A750" s="1311"/>
      <c r="B750" s="1332" t="s">
        <v>1763</v>
      </c>
      <c r="C750" s="1343" t="s">
        <v>1299</v>
      </c>
      <c r="D750" s="1338">
        <v>160</v>
      </c>
      <c r="E750" s="1363">
        <f>D750*$E$5</f>
        <v>170.07999999999998</v>
      </c>
    </row>
    <row r="751" spans="1:5" s="1266" customFormat="1">
      <c r="A751" s="1311"/>
      <c r="B751" s="1332"/>
      <c r="C751" s="1343"/>
      <c r="D751" s="1338"/>
      <c r="E751" s="1338"/>
    </row>
    <row r="752" spans="1:5" s="1266" customFormat="1">
      <c r="A752" s="1311"/>
      <c r="B752" s="1332" t="s">
        <v>1761</v>
      </c>
      <c r="C752" s="1343" t="s">
        <v>1299</v>
      </c>
      <c r="D752" s="1338">
        <v>160</v>
      </c>
      <c r="E752" s="1363">
        <f>D752*$E$5</f>
        <v>170.07999999999998</v>
      </c>
    </row>
    <row r="753" spans="1:5" s="1266" customFormat="1">
      <c r="A753" s="1311"/>
      <c r="B753" s="1332"/>
      <c r="C753" s="1343"/>
      <c r="D753" s="1338"/>
      <c r="E753" s="1338"/>
    </row>
    <row r="754" spans="1:5" s="1266" customFormat="1" ht="26.25">
      <c r="A754" s="1311"/>
      <c r="B754" s="1331" t="s">
        <v>1764</v>
      </c>
      <c r="C754" s="1343"/>
      <c r="D754" s="1338"/>
      <c r="E754" s="1338"/>
    </row>
    <row r="755" spans="1:5" s="1266" customFormat="1">
      <c r="A755" s="1311"/>
      <c r="B755" s="1332"/>
      <c r="C755" s="1343"/>
      <c r="D755" s="1338"/>
      <c r="E755" s="1338"/>
    </row>
    <row r="756" spans="1:5" s="1266" customFormat="1" ht="45">
      <c r="A756" s="1311"/>
      <c r="B756" s="1332" t="s">
        <v>1765</v>
      </c>
      <c r="C756" s="1343" t="s">
        <v>1293</v>
      </c>
      <c r="D756" s="1338">
        <v>45</v>
      </c>
      <c r="E756" s="1363">
        <f>D756*$E$5</f>
        <v>47.835000000000001</v>
      </c>
    </row>
    <row r="757" spans="1:5" s="1266" customFormat="1">
      <c r="A757" s="1311"/>
      <c r="B757" s="1332"/>
      <c r="C757" s="1343"/>
      <c r="D757" s="1338"/>
      <c r="E757" s="1338"/>
    </row>
    <row r="758" spans="1:5" s="1266" customFormat="1" ht="45">
      <c r="A758" s="1311"/>
      <c r="B758" s="1332" t="s">
        <v>1766</v>
      </c>
      <c r="C758" s="1343" t="s">
        <v>1293</v>
      </c>
      <c r="D758" s="1338">
        <v>45</v>
      </c>
      <c r="E758" s="1363">
        <f>D758*$E$5</f>
        <v>47.835000000000001</v>
      </c>
    </row>
    <row r="759" spans="1:5" s="1266" customFormat="1">
      <c r="A759" s="1311"/>
      <c r="B759" s="1332"/>
      <c r="C759" s="1343"/>
      <c r="D759" s="1338"/>
      <c r="E759" s="1338"/>
    </row>
    <row r="760" spans="1:5" s="1266" customFormat="1" ht="26.25">
      <c r="A760" s="1311"/>
      <c r="B760" s="1331" t="s">
        <v>1767</v>
      </c>
      <c r="C760" s="1343"/>
      <c r="D760" s="1338"/>
      <c r="E760" s="1338"/>
    </row>
    <row r="761" spans="1:5" s="1266" customFormat="1">
      <c r="A761" s="1311"/>
      <c r="B761" s="1332"/>
      <c r="C761" s="1343"/>
      <c r="D761" s="1338"/>
      <c r="E761" s="1338"/>
    </row>
    <row r="762" spans="1:5" s="1266" customFormat="1" ht="45">
      <c r="A762" s="1311"/>
      <c r="B762" s="1332" t="s">
        <v>1765</v>
      </c>
      <c r="C762" s="1343" t="s">
        <v>1293</v>
      </c>
      <c r="D762" s="1338">
        <v>85</v>
      </c>
      <c r="E762" s="1363">
        <f>D762*$E$5</f>
        <v>90.35499999999999</v>
      </c>
    </row>
    <row r="763" spans="1:5" s="1266" customFormat="1">
      <c r="A763" s="1311"/>
      <c r="B763" s="1332"/>
      <c r="C763" s="1343"/>
      <c r="D763" s="1338"/>
      <c r="E763" s="1338"/>
    </row>
    <row r="764" spans="1:5" s="1266" customFormat="1" ht="45">
      <c r="A764" s="1311"/>
      <c r="B764" s="1332" t="s">
        <v>1766</v>
      </c>
      <c r="C764" s="1343" t="s">
        <v>1293</v>
      </c>
      <c r="D764" s="1338">
        <v>85</v>
      </c>
      <c r="E764" s="1363">
        <f>D764*$E$5</f>
        <v>90.35499999999999</v>
      </c>
    </row>
    <row r="765" spans="1:5" s="1266" customFormat="1">
      <c r="A765" s="1311"/>
      <c r="B765" s="1332"/>
      <c r="C765" s="1343"/>
      <c r="D765" s="1338"/>
      <c r="E765" s="1338"/>
    </row>
    <row r="766" spans="1:5" s="1266" customFormat="1" ht="26.25">
      <c r="A766" s="1311"/>
      <c r="B766" s="1331" t="s">
        <v>1768</v>
      </c>
      <c r="C766" s="1343"/>
      <c r="D766" s="1338"/>
      <c r="E766" s="1338"/>
    </row>
    <row r="767" spans="1:5" s="1266" customFormat="1">
      <c r="A767" s="1311"/>
      <c r="B767" s="1332"/>
      <c r="C767" s="1343"/>
      <c r="D767" s="1338"/>
      <c r="E767" s="1338"/>
    </row>
    <row r="768" spans="1:5" s="1266" customFormat="1" ht="45">
      <c r="A768" s="1311"/>
      <c r="B768" s="1332" t="s">
        <v>1766</v>
      </c>
      <c r="C768" s="1343" t="s">
        <v>1293</v>
      </c>
      <c r="D768" s="1338">
        <v>150</v>
      </c>
      <c r="E768" s="1363">
        <f>D768*$E$5</f>
        <v>159.44999999999999</v>
      </c>
    </row>
    <row r="769" spans="1:5" s="1266" customFormat="1">
      <c r="A769" s="1311"/>
      <c r="B769" s="1332"/>
      <c r="C769" s="1343"/>
      <c r="D769" s="1338"/>
      <c r="E769" s="1338"/>
    </row>
    <row r="770" spans="1:5" s="1266" customFormat="1" ht="45">
      <c r="A770" s="1311"/>
      <c r="B770" s="1332" t="s">
        <v>1765</v>
      </c>
      <c r="C770" s="1343" t="s">
        <v>1293</v>
      </c>
      <c r="D770" s="1338">
        <v>150</v>
      </c>
      <c r="E770" s="1363">
        <f>D770*$E$5</f>
        <v>159.44999999999999</v>
      </c>
    </row>
    <row r="771" spans="1:5" s="1266" customFormat="1">
      <c r="A771" s="1311"/>
      <c r="B771" s="1332"/>
      <c r="C771" s="1343"/>
      <c r="D771" s="1338"/>
      <c r="E771" s="1338"/>
    </row>
    <row r="772" spans="1:5" s="1266" customFormat="1">
      <c r="A772" s="1311"/>
      <c r="B772" s="1331" t="s">
        <v>1769</v>
      </c>
      <c r="C772" s="1343"/>
      <c r="D772" s="1338"/>
      <c r="E772" s="1338"/>
    </row>
    <row r="773" spans="1:5" s="1266" customFormat="1">
      <c r="A773" s="1311"/>
      <c r="B773" s="1332"/>
      <c r="C773" s="1343"/>
      <c r="D773" s="1338"/>
      <c r="E773" s="1338"/>
    </row>
    <row r="774" spans="1:5" s="1266" customFormat="1">
      <c r="A774" s="1311"/>
      <c r="B774" s="1332" t="s">
        <v>1304</v>
      </c>
      <c r="C774" s="1343" t="s">
        <v>1299</v>
      </c>
      <c r="D774" s="1338">
        <v>35</v>
      </c>
      <c r="E774" s="1363">
        <f>D774*$E$5</f>
        <v>37.204999999999998</v>
      </c>
    </row>
    <row r="775" spans="1:5" s="1266" customFormat="1">
      <c r="A775" s="1311"/>
      <c r="B775" s="1332"/>
      <c r="C775" s="1343"/>
      <c r="D775" s="1338"/>
      <c r="E775" s="1338"/>
    </row>
    <row r="776" spans="1:5" s="1266" customFormat="1">
      <c r="A776" s="1311"/>
      <c r="B776" s="1332" t="s">
        <v>1305</v>
      </c>
      <c r="C776" s="1343" t="s">
        <v>1299</v>
      </c>
      <c r="D776" s="1338">
        <v>35</v>
      </c>
      <c r="E776" s="1363">
        <f>D776*$E$5</f>
        <v>37.204999999999998</v>
      </c>
    </row>
    <row r="777" spans="1:5" s="1266" customFormat="1">
      <c r="A777" s="1311"/>
      <c r="B777" s="1332"/>
      <c r="C777" s="1343"/>
      <c r="D777" s="1338"/>
      <c r="E777" s="1338"/>
    </row>
    <row r="778" spans="1:5" s="1266" customFormat="1">
      <c r="A778" s="1311"/>
      <c r="B778" s="1331" t="s">
        <v>1756</v>
      </c>
      <c r="C778" s="1343"/>
      <c r="D778" s="1338"/>
      <c r="E778" s="1338"/>
    </row>
    <row r="779" spans="1:5" s="1266" customFormat="1">
      <c r="A779" s="1311"/>
      <c r="B779" s="1332"/>
      <c r="C779" s="1343"/>
      <c r="D779" s="1338"/>
      <c r="E779" s="1338"/>
    </row>
    <row r="780" spans="1:5" s="1266" customFormat="1" ht="30">
      <c r="A780" s="1311"/>
      <c r="B780" s="1332" t="s">
        <v>1757</v>
      </c>
      <c r="C780" s="1343" t="s">
        <v>1299</v>
      </c>
      <c r="D780" s="1338">
        <v>150</v>
      </c>
      <c r="E780" s="1363">
        <f>D780*$E$5</f>
        <v>159.44999999999999</v>
      </c>
    </row>
    <row r="781" spans="1:5" s="1266" customFormat="1">
      <c r="A781" s="1311"/>
      <c r="B781" s="1332"/>
      <c r="C781" s="1343"/>
      <c r="D781" s="1338"/>
      <c r="E781" s="1338"/>
    </row>
    <row r="782" spans="1:5" s="1266" customFormat="1">
      <c r="A782" s="1311"/>
      <c r="B782" s="1331" t="s">
        <v>1306</v>
      </c>
      <c r="C782" s="1343"/>
      <c r="D782" s="1338"/>
      <c r="E782" s="1338"/>
    </row>
    <row r="783" spans="1:5" s="1266" customFormat="1">
      <c r="A783" s="1311"/>
      <c r="B783" s="1332"/>
      <c r="C783" s="1343"/>
      <c r="D783" s="1338"/>
      <c r="E783" s="1338"/>
    </row>
    <row r="784" spans="1:5" s="1266" customFormat="1" ht="30">
      <c r="A784" s="1311"/>
      <c r="B784" s="1332" t="s">
        <v>1770</v>
      </c>
      <c r="C784" s="1343" t="s">
        <v>1293</v>
      </c>
      <c r="D784" s="1338">
        <v>15</v>
      </c>
      <c r="E784" s="1363">
        <f>D784*$E$5</f>
        <v>15.944999999999999</v>
      </c>
    </row>
    <row r="785" spans="1:5" s="1266" customFormat="1">
      <c r="A785" s="1311"/>
      <c r="B785" s="1332"/>
      <c r="C785" s="1343"/>
      <c r="D785" s="1338"/>
      <c r="E785" s="1338"/>
    </row>
    <row r="786" spans="1:5" s="1266" customFormat="1">
      <c r="A786" s="1311"/>
      <c r="B786" s="1332" t="s">
        <v>1771</v>
      </c>
      <c r="C786" s="1343" t="s">
        <v>1293</v>
      </c>
      <c r="D786" s="1338">
        <v>25</v>
      </c>
      <c r="E786" s="1363">
        <f>D786*$E$5</f>
        <v>26.574999999999999</v>
      </c>
    </row>
    <row r="787" spans="1:5" s="1266" customFormat="1">
      <c r="A787" s="1311"/>
      <c r="B787" s="1332"/>
      <c r="C787" s="1343"/>
      <c r="D787" s="1338"/>
      <c r="E787" s="1338"/>
    </row>
    <row r="788" spans="1:5" s="1266" customFormat="1">
      <c r="A788" s="1311"/>
      <c r="B788" s="1331" t="s">
        <v>1772</v>
      </c>
      <c r="C788" s="1343"/>
      <c r="D788" s="1338"/>
      <c r="E788" s="1338"/>
    </row>
    <row r="789" spans="1:5" s="1266" customFormat="1">
      <c r="A789" s="1311"/>
      <c r="B789" s="1332"/>
      <c r="C789" s="1343"/>
      <c r="D789" s="1338"/>
      <c r="E789" s="1338"/>
    </row>
    <row r="790" spans="1:5" s="1266" customFormat="1">
      <c r="A790" s="1311"/>
      <c r="B790" s="1332" t="s">
        <v>1772</v>
      </c>
      <c r="C790" s="1343" t="s">
        <v>608</v>
      </c>
      <c r="D790" s="1338">
        <v>250000</v>
      </c>
      <c r="E790" s="1363">
        <f>D790*$E$5</f>
        <v>265750</v>
      </c>
    </row>
    <row r="791" spans="1:5" s="1266" customFormat="1">
      <c r="A791" s="1311"/>
      <c r="B791" s="1332"/>
      <c r="C791" s="1343"/>
      <c r="D791" s="1338"/>
      <c r="E791" s="1338"/>
    </row>
    <row r="792" spans="1:5" s="1266" customFormat="1">
      <c r="A792" s="1311"/>
      <c r="B792" s="1312" t="s">
        <v>1773</v>
      </c>
      <c r="C792" s="1343"/>
      <c r="D792" s="1338"/>
      <c r="E792" s="1338"/>
    </row>
    <row r="793" spans="1:5" s="1266" customFormat="1">
      <c r="A793" s="1311"/>
      <c r="B793" s="1332"/>
      <c r="C793" s="1343"/>
      <c r="D793" s="1338"/>
      <c r="E793" s="1338"/>
    </row>
    <row r="794" spans="1:5" s="1266" customFormat="1" ht="26.25">
      <c r="A794" s="1311"/>
      <c r="B794" s="1331" t="s">
        <v>1774</v>
      </c>
      <c r="C794" s="1343"/>
      <c r="D794" s="1338"/>
      <c r="E794" s="1338"/>
    </row>
    <row r="795" spans="1:5" s="1266" customFormat="1">
      <c r="A795" s="1311"/>
      <c r="B795" s="1332"/>
      <c r="C795" s="1343"/>
      <c r="D795" s="1338"/>
      <c r="E795" s="1338"/>
    </row>
    <row r="796" spans="1:5" s="1266" customFormat="1">
      <c r="A796" s="1311"/>
      <c r="B796" s="1332" t="s">
        <v>1775</v>
      </c>
      <c r="C796" s="1343" t="s">
        <v>1299</v>
      </c>
      <c r="D796" s="1338">
        <v>180</v>
      </c>
      <c r="E796" s="1363">
        <f>D796*$E$5</f>
        <v>191.34</v>
      </c>
    </row>
    <row r="797" spans="1:5" s="1266" customFormat="1">
      <c r="A797" s="1311"/>
      <c r="B797" s="1332"/>
      <c r="C797" s="1343"/>
      <c r="D797" s="1338"/>
      <c r="E797" s="1338"/>
    </row>
    <row r="798" spans="1:5" s="1266" customFormat="1">
      <c r="A798" s="1311"/>
      <c r="B798" s="1332" t="s">
        <v>1776</v>
      </c>
      <c r="C798" s="1343" t="s">
        <v>1299</v>
      </c>
      <c r="D798" s="1338">
        <v>180</v>
      </c>
      <c r="E798" s="1363">
        <f>D798*$E$5</f>
        <v>191.34</v>
      </c>
    </row>
    <row r="799" spans="1:5" s="1266" customFormat="1">
      <c r="A799" s="1311"/>
      <c r="B799" s="1332"/>
      <c r="C799" s="1343"/>
      <c r="D799" s="1338"/>
      <c r="E799" s="1338"/>
    </row>
    <row r="800" spans="1:5" s="1266" customFormat="1">
      <c r="A800" s="1311"/>
      <c r="B800" s="1331" t="s">
        <v>1777</v>
      </c>
      <c r="C800" s="1343"/>
      <c r="D800" s="1338"/>
      <c r="E800" s="1338"/>
    </row>
    <row r="801" spans="1:5" s="1266" customFormat="1">
      <c r="A801" s="1311"/>
      <c r="B801" s="1332"/>
      <c r="C801" s="1343"/>
      <c r="D801" s="1338"/>
      <c r="E801" s="1338"/>
    </row>
    <row r="802" spans="1:5" s="1266" customFormat="1" ht="30">
      <c r="A802" s="1311"/>
      <c r="B802" s="1332" t="s">
        <v>1778</v>
      </c>
      <c r="C802" s="1343" t="s">
        <v>1299</v>
      </c>
      <c r="D802" s="1338">
        <v>450</v>
      </c>
      <c r="E802" s="1363">
        <f>D802*$E$5</f>
        <v>478.34999999999997</v>
      </c>
    </row>
    <row r="803" spans="1:5" s="1266" customFormat="1">
      <c r="A803" s="1311"/>
      <c r="B803" s="1332"/>
      <c r="C803" s="1343"/>
      <c r="D803" s="1338"/>
      <c r="E803" s="1338"/>
    </row>
    <row r="804" spans="1:5" s="1266" customFormat="1" ht="30">
      <c r="A804" s="1311"/>
      <c r="B804" s="1332" t="s">
        <v>1779</v>
      </c>
      <c r="C804" s="1343" t="s">
        <v>1299</v>
      </c>
      <c r="D804" s="1338">
        <v>220</v>
      </c>
      <c r="E804" s="1363">
        <f>D804*$E$5</f>
        <v>233.85999999999999</v>
      </c>
    </row>
    <row r="805" spans="1:5" s="1266" customFormat="1">
      <c r="A805" s="1311"/>
      <c r="B805" s="1332"/>
      <c r="C805" s="1343"/>
      <c r="D805" s="1338"/>
      <c r="E805" s="1338"/>
    </row>
    <row r="806" spans="1:5" s="1266" customFormat="1">
      <c r="A806" s="1311"/>
      <c r="B806" s="1331" t="s">
        <v>1780</v>
      </c>
      <c r="C806" s="1343"/>
      <c r="D806" s="1338"/>
      <c r="E806" s="1338"/>
    </row>
    <row r="807" spans="1:5" s="1266" customFormat="1">
      <c r="A807" s="1311"/>
      <c r="B807" s="1332"/>
      <c r="C807" s="1343"/>
      <c r="D807" s="1338"/>
      <c r="E807" s="1338"/>
    </row>
    <row r="808" spans="1:5" s="1266" customFormat="1">
      <c r="A808" s="1311"/>
      <c r="B808" s="1332" t="s">
        <v>1781</v>
      </c>
      <c r="C808" s="1343" t="s">
        <v>1299</v>
      </c>
      <c r="D808" s="1338">
        <v>580</v>
      </c>
      <c r="E808" s="1363">
        <f>D808*$E$5</f>
        <v>616.54</v>
      </c>
    </row>
    <row r="809" spans="1:5" s="1266" customFormat="1">
      <c r="A809" s="1311"/>
      <c r="B809" s="1332"/>
      <c r="C809" s="1343"/>
      <c r="D809" s="1338"/>
      <c r="E809" s="1338"/>
    </row>
    <row r="810" spans="1:5" s="1266" customFormat="1">
      <c r="A810" s="1311"/>
      <c r="B810" s="1331" t="s">
        <v>1782</v>
      </c>
      <c r="C810" s="1343"/>
      <c r="D810" s="1338"/>
      <c r="E810" s="1338"/>
    </row>
    <row r="811" spans="1:5" s="1266" customFormat="1">
      <c r="A811" s="1311"/>
      <c r="B811" s="1332"/>
      <c r="C811" s="1343"/>
      <c r="D811" s="1338"/>
      <c r="E811" s="1338"/>
    </row>
    <row r="812" spans="1:5" s="1266" customFormat="1">
      <c r="A812" s="1311"/>
      <c r="B812" s="1332" t="s">
        <v>1783</v>
      </c>
      <c r="C812" s="1343" t="s">
        <v>1299</v>
      </c>
      <c r="D812" s="1338">
        <v>600</v>
      </c>
      <c r="E812" s="1363">
        <f>D812*$E$5</f>
        <v>637.79999999999995</v>
      </c>
    </row>
    <row r="813" spans="1:5" s="1266" customFormat="1">
      <c r="A813" s="1311"/>
      <c r="B813" s="1332"/>
      <c r="C813" s="1343"/>
      <c r="D813" s="1338"/>
      <c r="E813" s="1338"/>
    </row>
    <row r="814" spans="1:5" s="1266" customFormat="1">
      <c r="A814" s="1311"/>
      <c r="B814" s="1332" t="s">
        <v>1784</v>
      </c>
      <c r="C814" s="1343" t="s">
        <v>1299</v>
      </c>
      <c r="D814" s="1338">
        <v>600</v>
      </c>
      <c r="E814" s="1363">
        <f>D814*$E$5</f>
        <v>637.79999999999995</v>
      </c>
    </row>
    <row r="815" spans="1:5" s="1266" customFormat="1">
      <c r="A815" s="1311"/>
      <c r="B815" s="1332"/>
      <c r="C815" s="1343"/>
      <c r="D815" s="1338"/>
      <c r="E815" s="1338"/>
    </row>
    <row r="816" spans="1:5" s="1266" customFormat="1">
      <c r="A816" s="1311"/>
      <c r="B816" s="1331" t="s">
        <v>1785</v>
      </c>
      <c r="C816" s="1343"/>
      <c r="D816" s="1338"/>
      <c r="E816" s="1338"/>
    </row>
    <row r="817" spans="1:5" s="1266" customFormat="1">
      <c r="A817" s="1311"/>
      <c r="B817" s="1332"/>
      <c r="C817" s="1343"/>
      <c r="D817" s="1338"/>
      <c r="E817" s="1338"/>
    </row>
    <row r="818" spans="1:5" s="1266" customFormat="1">
      <c r="A818" s="1311"/>
      <c r="B818" s="1332" t="s">
        <v>1783</v>
      </c>
      <c r="C818" s="1343" t="s">
        <v>1299</v>
      </c>
      <c r="D818" s="1338">
        <v>700</v>
      </c>
      <c r="E818" s="1363">
        <f>D818*$E$5</f>
        <v>744.09999999999991</v>
      </c>
    </row>
    <row r="819" spans="1:5" s="1266" customFormat="1">
      <c r="A819" s="1311"/>
      <c r="B819" s="1332"/>
      <c r="C819" s="1343"/>
      <c r="D819" s="1338"/>
      <c r="E819" s="1338"/>
    </row>
    <row r="820" spans="1:5" s="1266" customFormat="1">
      <c r="A820" s="1311"/>
      <c r="B820" s="1331" t="s">
        <v>1786</v>
      </c>
      <c r="C820" s="1343"/>
      <c r="D820" s="1338"/>
      <c r="E820" s="1338"/>
    </row>
    <row r="821" spans="1:5" s="1266" customFormat="1">
      <c r="A821" s="1311"/>
      <c r="B821" s="1332"/>
      <c r="C821" s="1343"/>
      <c r="D821" s="1338"/>
      <c r="E821" s="1338"/>
    </row>
    <row r="822" spans="1:5" s="1266" customFormat="1" ht="60">
      <c r="A822" s="1311"/>
      <c r="B822" s="1332" t="s">
        <v>1787</v>
      </c>
      <c r="C822" s="1343" t="s">
        <v>1293</v>
      </c>
      <c r="D822" s="1338">
        <v>35</v>
      </c>
      <c r="E822" s="1363">
        <f>D822*$E$5</f>
        <v>37.204999999999998</v>
      </c>
    </row>
    <row r="823" spans="1:5" s="1266" customFormat="1">
      <c r="A823" s="1311"/>
      <c r="B823" s="1332"/>
      <c r="C823" s="1343"/>
      <c r="D823" s="1338"/>
      <c r="E823" s="1338"/>
    </row>
    <row r="824" spans="1:5" s="1266" customFormat="1" ht="30">
      <c r="A824" s="1311"/>
      <c r="B824" s="1332" t="s">
        <v>1788</v>
      </c>
      <c r="C824" s="1343" t="s">
        <v>1293</v>
      </c>
      <c r="D824" s="1338">
        <v>30</v>
      </c>
      <c r="E824" s="1363">
        <f>D824*$E$5</f>
        <v>31.889999999999997</v>
      </c>
    </row>
    <row r="825" spans="1:5" s="1266" customFormat="1">
      <c r="A825" s="1311"/>
      <c r="B825" s="1332"/>
      <c r="C825" s="1343"/>
      <c r="D825" s="1338"/>
      <c r="E825" s="1338"/>
    </row>
    <row r="826" spans="1:5" s="1266" customFormat="1">
      <c r="A826" s="1311"/>
      <c r="B826" s="1312" t="s">
        <v>1789</v>
      </c>
      <c r="C826" s="1343"/>
      <c r="D826" s="1338"/>
      <c r="E826" s="1338"/>
    </row>
    <row r="827" spans="1:5" s="1266" customFormat="1">
      <c r="A827" s="1311"/>
      <c r="B827" s="1332"/>
      <c r="C827" s="1343"/>
      <c r="D827" s="1338"/>
      <c r="E827" s="1338"/>
    </row>
    <row r="828" spans="1:5" s="1266" customFormat="1">
      <c r="A828" s="1311"/>
      <c r="B828" s="1331" t="s">
        <v>1790</v>
      </c>
      <c r="C828" s="1343"/>
      <c r="D828" s="1338"/>
      <c r="E828" s="1338"/>
    </row>
    <row r="829" spans="1:5" s="1266" customFormat="1">
      <c r="A829" s="1311"/>
      <c r="B829" s="1332"/>
      <c r="C829" s="1343"/>
      <c r="D829" s="1338"/>
      <c r="E829" s="1338"/>
    </row>
    <row r="830" spans="1:5" s="1266" customFormat="1" ht="45">
      <c r="A830" s="1311"/>
      <c r="B830" s="1332" t="s">
        <v>1791</v>
      </c>
      <c r="C830" s="1343" t="s">
        <v>1293</v>
      </c>
      <c r="D830" s="1338">
        <v>20</v>
      </c>
      <c r="E830" s="1363">
        <f>D830*$E$5</f>
        <v>21.259999999999998</v>
      </c>
    </row>
    <row r="831" spans="1:5" s="1266" customFormat="1">
      <c r="A831" s="1311"/>
      <c r="B831" s="1332"/>
      <c r="C831" s="1343"/>
      <c r="D831" s="1338"/>
      <c r="E831" s="1338"/>
    </row>
    <row r="832" spans="1:5" s="1266" customFormat="1">
      <c r="A832" s="1311"/>
      <c r="B832" s="1312" t="s">
        <v>1792</v>
      </c>
      <c r="C832" s="1343"/>
      <c r="D832" s="1338"/>
      <c r="E832" s="1338"/>
    </row>
    <row r="833" spans="1:5" s="1266" customFormat="1">
      <c r="A833" s="1311"/>
      <c r="B833" s="1332"/>
      <c r="C833" s="1343"/>
      <c r="D833" s="1338"/>
      <c r="E833" s="1338"/>
    </row>
    <row r="834" spans="1:5" s="1266" customFormat="1" ht="26.25">
      <c r="A834" s="1311"/>
      <c r="B834" s="1331" t="s">
        <v>1793</v>
      </c>
      <c r="C834" s="1343"/>
      <c r="D834" s="1338"/>
      <c r="E834" s="1338"/>
    </row>
    <row r="835" spans="1:5" s="1266" customFormat="1">
      <c r="A835" s="1311"/>
      <c r="B835" s="1332"/>
      <c r="C835" s="1343"/>
      <c r="D835" s="1338"/>
      <c r="E835" s="1338"/>
    </row>
    <row r="836" spans="1:5" s="1266" customFormat="1">
      <c r="A836" s="1311"/>
      <c r="B836" s="1332" t="s">
        <v>1794</v>
      </c>
      <c r="C836" s="1343" t="s">
        <v>217</v>
      </c>
      <c r="D836" s="1338">
        <v>600</v>
      </c>
      <c r="E836" s="1363">
        <f>D836*$E$5</f>
        <v>637.79999999999995</v>
      </c>
    </row>
    <row r="837" spans="1:5" s="1266" customFormat="1">
      <c r="A837" s="1311"/>
      <c r="B837" s="1332"/>
      <c r="C837" s="1343"/>
      <c r="D837" s="1338"/>
      <c r="E837" s="1338"/>
    </row>
    <row r="838" spans="1:5" s="1266" customFormat="1">
      <c r="A838" s="1311"/>
      <c r="B838" s="1332" t="s">
        <v>1795</v>
      </c>
      <c r="C838" s="1343" t="s">
        <v>217</v>
      </c>
      <c r="D838" s="1338">
        <v>600</v>
      </c>
      <c r="E838" s="1363">
        <f>D838*$E$5</f>
        <v>637.79999999999995</v>
      </c>
    </row>
    <row r="839" spans="1:5" s="1266" customFormat="1">
      <c r="A839" s="1311"/>
      <c r="B839" s="1332"/>
      <c r="C839" s="1343"/>
      <c r="D839" s="1338"/>
      <c r="E839" s="1338"/>
    </row>
    <row r="840" spans="1:5" s="1266" customFormat="1">
      <c r="A840" s="1311"/>
      <c r="B840" s="1312" t="s">
        <v>1796</v>
      </c>
      <c r="C840" s="1343"/>
      <c r="D840" s="1338"/>
      <c r="E840" s="1338"/>
    </row>
    <row r="841" spans="1:5" s="1266" customFormat="1">
      <c r="A841" s="1311"/>
      <c r="B841" s="1332"/>
      <c r="C841" s="1343"/>
      <c r="D841" s="1338"/>
      <c r="E841" s="1338"/>
    </row>
    <row r="842" spans="1:5" s="1266" customFormat="1">
      <c r="A842" s="1311"/>
      <c r="B842" s="1331" t="s">
        <v>1797</v>
      </c>
      <c r="C842" s="1343"/>
      <c r="D842" s="1338"/>
      <c r="E842" s="1338"/>
    </row>
    <row r="843" spans="1:5" s="1266" customFormat="1">
      <c r="A843" s="1311"/>
      <c r="B843" s="1332"/>
      <c r="C843" s="1343"/>
      <c r="D843" s="1338"/>
      <c r="E843" s="1338"/>
    </row>
    <row r="844" spans="1:5" s="1266" customFormat="1" ht="90">
      <c r="A844" s="1311"/>
      <c r="B844" s="1332" t="s">
        <v>1798</v>
      </c>
      <c r="C844" s="1343" t="s">
        <v>215</v>
      </c>
      <c r="D844" s="1338">
        <v>546</v>
      </c>
      <c r="E844" s="1363">
        <f>D844*$E$5</f>
        <v>580.39800000000002</v>
      </c>
    </row>
    <row r="845" spans="1:5" s="1266" customFormat="1">
      <c r="A845" s="1311"/>
      <c r="B845" s="1332"/>
      <c r="C845" s="1343"/>
      <c r="D845" s="1338"/>
      <c r="E845" s="1338"/>
    </row>
    <row r="846" spans="1:5" s="1266" customFormat="1" ht="90">
      <c r="A846" s="1311"/>
      <c r="B846" s="1332" t="s">
        <v>1799</v>
      </c>
      <c r="C846" s="1343" t="s">
        <v>215</v>
      </c>
      <c r="D846" s="1338">
        <v>488.25</v>
      </c>
      <c r="E846" s="1363">
        <f>D846*$E$5</f>
        <v>519.00974999999994</v>
      </c>
    </row>
    <row r="847" spans="1:5" s="1266" customFormat="1">
      <c r="A847" s="1311"/>
      <c r="B847" s="1332"/>
      <c r="C847" s="1343"/>
      <c r="D847" s="1338"/>
      <c r="E847" s="1338"/>
    </row>
    <row r="848" spans="1:5" s="1266" customFormat="1">
      <c r="A848" s="1311"/>
      <c r="B848" s="1332" t="s">
        <v>1800</v>
      </c>
      <c r="C848" s="1343" t="s">
        <v>217</v>
      </c>
      <c r="D848" s="1338">
        <v>183.75</v>
      </c>
      <c r="E848" s="1363">
        <f>D848*$E$5</f>
        <v>195.32624999999999</v>
      </c>
    </row>
    <row r="849" spans="1:5" s="1266" customFormat="1">
      <c r="A849" s="1311"/>
      <c r="B849" s="1332"/>
      <c r="C849" s="1343"/>
      <c r="D849" s="1338"/>
      <c r="E849" s="1338"/>
    </row>
    <row r="850" spans="1:5" s="1266" customFormat="1">
      <c r="A850" s="1311"/>
      <c r="B850" s="1332" t="s">
        <v>1801</v>
      </c>
      <c r="C850" s="1343" t="s">
        <v>217</v>
      </c>
      <c r="D850" s="1338">
        <v>204.75</v>
      </c>
      <c r="E850" s="1363">
        <f>D850*$E$5</f>
        <v>217.64924999999999</v>
      </c>
    </row>
    <row r="851" spans="1:5" s="1266" customFormat="1">
      <c r="A851" s="1311"/>
      <c r="B851" s="1332"/>
      <c r="C851" s="1343"/>
      <c r="D851" s="1338"/>
      <c r="E851" s="1338"/>
    </row>
    <row r="852" spans="1:5" s="1266" customFormat="1">
      <c r="A852" s="1311"/>
      <c r="B852" s="1332" t="s">
        <v>1802</v>
      </c>
      <c r="C852" s="1343" t="s">
        <v>217</v>
      </c>
      <c r="D852" s="1338">
        <v>252</v>
      </c>
      <c r="E852" s="1363">
        <f>D852*$E$5</f>
        <v>267.87599999999998</v>
      </c>
    </row>
    <row r="853" spans="1:5" s="1266" customFormat="1">
      <c r="A853" s="1311"/>
      <c r="B853" s="1332"/>
      <c r="C853" s="1343"/>
      <c r="D853" s="1338"/>
      <c r="E853" s="1338"/>
    </row>
    <row r="854" spans="1:5" s="1266" customFormat="1">
      <c r="A854" s="1311"/>
      <c r="B854" s="1332" t="s">
        <v>1803</v>
      </c>
      <c r="C854" s="1343" t="s">
        <v>217</v>
      </c>
      <c r="D854" s="1338">
        <v>162.75</v>
      </c>
      <c r="E854" s="1363">
        <f>D854*$E$5</f>
        <v>173.00324999999998</v>
      </c>
    </row>
    <row r="855" spans="1:5" s="1266" customFormat="1">
      <c r="A855" s="1311"/>
      <c r="B855" s="1332"/>
      <c r="C855" s="1343"/>
      <c r="D855" s="1338"/>
      <c r="E855" s="1338"/>
    </row>
    <row r="856" spans="1:5" s="1266" customFormat="1">
      <c r="A856" s="1311"/>
      <c r="B856" s="1332" t="s">
        <v>1804</v>
      </c>
      <c r="C856" s="1343" t="s">
        <v>217</v>
      </c>
      <c r="D856" s="1338">
        <v>189</v>
      </c>
      <c r="E856" s="1363">
        <f>D856*$E$5</f>
        <v>200.90699999999998</v>
      </c>
    </row>
    <row r="857" spans="1:5" s="1266" customFormat="1">
      <c r="A857" s="1311"/>
      <c r="B857" s="1332"/>
      <c r="C857" s="1343"/>
      <c r="D857" s="1338"/>
      <c r="E857" s="1338"/>
    </row>
    <row r="858" spans="1:5" s="1266" customFormat="1">
      <c r="A858" s="1311"/>
      <c r="B858" s="1332" t="s">
        <v>1805</v>
      </c>
      <c r="C858" s="1343" t="s">
        <v>217</v>
      </c>
      <c r="D858" s="1338">
        <v>231</v>
      </c>
      <c r="E858" s="1363">
        <f>D858*$E$5</f>
        <v>245.553</v>
      </c>
    </row>
    <row r="859" spans="1:5" s="1266" customFormat="1">
      <c r="A859" s="1311"/>
      <c r="B859" s="1332"/>
      <c r="C859" s="1343"/>
      <c r="D859" s="1338"/>
      <c r="E859" s="1338"/>
    </row>
    <row r="860" spans="1:5" s="1266" customFormat="1">
      <c r="A860" s="1311"/>
      <c r="B860" s="1332" t="s">
        <v>1806</v>
      </c>
      <c r="C860" s="1343" t="s">
        <v>217</v>
      </c>
      <c r="D860" s="1338">
        <v>189</v>
      </c>
      <c r="E860" s="1363">
        <f>D860*$E$5</f>
        <v>200.90699999999998</v>
      </c>
    </row>
    <row r="861" spans="1:5" s="1266" customFormat="1">
      <c r="A861" s="1311"/>
      <c r="B861" s="1332"/>
      <c r="C861" s="1343"/>
      <c r="D861" s="1338"/>
      <c r="E861" s="1338"/>
    </row>
    <row r="862" spans="1:5" s="1266" customFormat="1" ht="26.25">
      <c r="A862" s="1311"/>
      <c r="B862" s="1331" t="s">
        <v>1807</v>
      </c>
      <c r="C862" s="1343"/>
      <c r="D862" s="1338"/>
      <c r="E862" s="1338"/>
    </row>
    <row r="863" spans="1:5" s="1266" customFormat="1">
      <c r="A863" s="1311"/>
      <c r="B863" s="1332"/>
      <c r="C863" s="1343"/>
      <c r="D863" s="1338"/>
      <c r="E863" s="1338"/>
    </row>
    <row r="864" spans="1:5" s="1266" customFormat="1" ht="30">
      <c r="A864" s="1311"/>
      <c r="B864" s="1332" t="s">
        <v>1808</v>
      </c>
      <c r="C864" s="1343" t="s">
        <v>1293</v>
      </c>
      <c r="D864" s="1338">
        <v>26.25</v>
      </c>
      <c r="E864" s="1363">
        <f>D864*$E$5</f>
        <v>27.903749999999999</v>
      </c>
    </row>
    <row r="865" spans="1:5" s="1266" customFormat="1">
      <c r="A865" s="1311"/>
      <c r="B865" s="1332"/>
      <c r="C865" s="1343"/>
      <c r="D865" s="1338"/>
      <c r="E865" s="1338"/>
    </row>
    <row r="866" spans="1:5" s="1266" customFormat="1">
      <c r="A866" s="1311"/>
      <c r="B866" s="1312" t="s">
        <v>1662</v>
      </c>
      <c r="C866" s="1343"/>
      <c r="D866" s="1338"/>
      <c r="E866" s="1338"/>
    </row>
    <row r="867" spans="1:5" s="1266" customFormat="1">
      <c r="A867" s="1311"/>
      <c r="B867" s="1332"/>
      <c r="C867" s="1343"/>
      <c r="D867" s="1338"/>
      <c r="E867" s="1338"/>
    </row>
    <row r="868" spans="1:5" s="1266" customFormat="1">
      <c r="A868" s="1311"/>
      <c r="B868" s="1312" t="s">
        <v>1813</v>
      </c>
      <c r="C868" s="1343"/>
      <c r="D868" s="1338"/>
      <c r="E868" s="1338"/>
    </row>
    <row r="869" spans="1:5" s="1266" customFormat="1">
      <c r="A869" s="1311"/>
      <c r="B869" s="1332"/>
      <c r="C869" s="1343"/>
      <c r="D869" s="1338"/>
      <c r="E869" s="1338"/>
    </row>
    <row r="870" spans="1:5" s="1266" customFormat="1">
      <c r="A870" s="1311"/>
      <c r="B870" s="1312" t="s">
        <v>1814</v>
      </c>
      <c r="C870" s="1343"/>
      <c r="D870" s="1338"/>
      <c r="E870" s="1338"/>
    </row>
    <row r="871" spans="1:5" s="1266" customFormat="1">
      <c r="A871" s="1311"/>
      <c r="B871" s="1332"/>
      <c r="C871" s="1343"/>
      <c r="D871" s="1338"/>
      <c r="E871" s="1338"/>
    </row>
    <row r="872" spans="1:5" s="1266" customFormat="1">
      <c r="A872" s="1311"/>
      <c r="B872" s="1331" t="s">
        <v>1815</v>
      </c>
      <c r="C872" s="1343"/>
      <c r="D872" s="1338"/>
      <c r="E872" s="1338"/>
    </row>
    <row r="873" spans="1:5" s="1266" customFormat="1">
      <c r="A873" s="1311"/>
      <c r="B873" s="1332"/>
      <c r="C873" s="1343"/>
      <c r="D873" s="1338"/>
      <c r="E873" s="1338"/>
    </row>
    <row r="874" spans="1:5" s="1266" customFormat="1">
      <c r="A874" s="1311"/>
      <c r="B874" s="1332" t="s">
        <v>1816</v>
      </c>
      <c r="C874" s="1343" t="s">
        <v>1299</v>
      </c>
      <c r="D874" s="1338">
        <v>2500</v>
      </c>
      <c r="E874" s="1363">
        <f>D874*$E$5</f>
        <v>2657.5</v>
      </c>
    </row>
    <row r="875" spans="1:5" s="1266" customFormat="1">
      <c r="A875" s="1311"/>
      <c r="B875" s="1332"/>
      <c r="C875" s="1343"/>
      <c r="D875" s="1338"/>
      <c r="E875" s="1338"/>
    </row>
    <row r="876" spans="1:5" s="1266" customFormat="1">
      <c r="A876" s="1311"/>
      <c r="B876" s="1332" t="s">
        <v>1817</v>
      </c>
      <c r="C876" s="1343" t="s">
        <v>1299</v>
      </c>
      <c r="D876" s="1338">
        <v>2150</v>
      </c>
      <c r="E876" s="1363">
        <f>D876*$E$5</f>
        <v>2285.4499999999998</v>
      </c>
    </row>
    <row r="877" spans="1:5" s="1266" customFormat="1">
      <c r="A877" s="1311"/>
      <c r="B877" s="1332"/>
      <c r="C877" s="1343"/>
      <c r="D877" s="1338"/>
      <c r="E877" s="1338"/>
    </row>
    <row r="878" spans="1:5" s="1266" customFormat="1">
      <c r="A878" s="1311"/>
      <c r="B878" s="1332" t="s">
        <v>1818</v>
      </c>
      <c r="C878" s="1343" t="s">
        <v>1299</v>
      </c>
      <c r="D878" s="1338">
        <v>2150</v>
      </c>
      <c r="E878" s="1363">
        <f>D878*$E$5</f>
        <v>2285.4499999999998</v>
      </c>
    </row>
    <row r="879" spans="1:5" s="1266" customFormat="1">
      <c r="A879" s="1311"/>
      <c r="B879" s="1332"/>
      <c r="C879" s="1343"/>
      <c r="D879" s="1338"/>
      <c r="E879" s="1338"/>
    </row>
    <row r="880" spans="1:5" s="1266" customFormat="1">
      <c r="A880" s="1311"/>
      <c r="B880" s="1332" t="s">
        <v>1819</v>
      </c>
      <c r="C880" s="1343" t="s">
        <v>1299</v>
      </c>
      <c r="D880" s="1338">
        <v>2150</v>
      </c>
      <c r="E880" s="1363">
        <f>D880*$E$5</f>
        <v>2285.4499999999998</v>
      </c>
    </row>
    <row r="881" spans="1:5" s="1266" customFormat="1">
      <c r="A881" s="1311"/>
      <c r="B881" s="1332"/>
      <c r="C881" s="1343"/>
      <c r="D881" s="1338"/>
      <c r="E881" s="1338"/>
    </row>
    <row r="882" spans="1:5" s="1266" customFormat="1">
      <c r="A882" s="1311"/>
      <c r="B882" s="1312" t="s">
        <v>1820</v>
      </c>
      <c r="C882" s="1343"/>
      <c r="D882" s="1338"/>
      <c r="E882" s="1338"/>
    </row>
    <row r="883" spans="1:5" s="1266" customFormat="1">
      <c r="A883" s="1311"/>
      <c r="B883" s="1332"/>
      <c r="C883" s="1343"/>
      <c r="D883" s="1338"/>
      <c r="E883" s="1338"/>
    </row>
    <row r="884" spans="1:5" s="1266" customFormat="1">
      <c r="A884" s="1311"/>
      <c r="B884" s="1331" t="s">
        <v>1821</v>
      </c>
      <c r="C884" s="1343"/>
      <c r="D884" s="1338"/>
      <c r="E884" s="1338"/>
    </row>
    <row r="885" spans="1:5" s="1266" customFormat="1">
      <c r="A885" s="1311"/>
      <c r="B885" s="1332"/>
      <c r="C885" s="1343"/>
      <c r="D885" s="1338"/>
      <c r="E885" s="1338"/>
    </row>
    <row r="886" spans="1:5" s="1266" customFormat="1">
      <c r="A886" s="1311"/>
      <c r="B886" s="1332" t="s">
        <v>1822</v>
      </c>
      <c r="C886" s="1343" t="s">
        <v>1299</v>
      </c>
      <c r="D886" s="1338">
        <v>2150</v>
      </c>
      <c r="E886" s="1363">
        <f>D886*$E$5</f>
        <v>2285.4499999999998</v>
      </c>
    </row>
    <row r="887" spans="1:5" s="1266" customFormat="1">
      <c r="A887" s="1311"/>
      <c r="B887" s="1332"/>
      <c r="C887" s="1343"/>
      <c r="D887" s="1338"/>
      <c r="E887" s="1338"/>
    </row>
    <row r="888" spans="1:5" s="1266" customFormat="1">
      <c r="A888" s="1311"/>
      <c r="B888" s="1332" t="s">
        <v>1823</v>
      </c>
      <c r="C888" s="1343" t="s">
        <v>1299</v>
      </c>
      <c r="D888" s="1338">
        <v>2150</v>
      </c>
      <c r="E888" s="1363">
        <f>D888*$E$5</f>
        <v>2285.4499999999998</v>
      </c>
    </row>
    <row r="889" spans="1:5" s="1266" customFormat="1">
      <c r="A889" s="1311"/>
      <c r="B889" s="1332"/>
      <c r="C889" s="1343"/>
      <c r="D889" s="1338"/>
      <c r="E889" s="1338"/>
    </row>
    <row r="890" spans="1:5" s="1266" customFormat="1">
      <c r="A890" s="1311"/>
      <c r="B890" s="1312" t="s">
        <v>1824</v>
      </c>
      <c r="C890" s="1343"/>
      <c r="D890" s="1338"/>
      <c r="E890" s="1338"/>
    </row>
    <row r="891" spans="1:5" s="1266" customFormat="1">
      <c r="A891" s="1311"/>
      <c r="B891" s="1332"/>
      <c r="C891" s="1343"/>
      <c r="D891" s="1338"/>
      <c r="E891" s="1338"/>
    </row>
    <row r="892" spans="1:5" s="1266" customFormat="1">
      <c r="A892" s="1311"/>
      <c r="B892" s="1331" t="s">
        <v>1825</v>
      </c>
      <c r="C892" s="1343"/>
      <c r="D892" s="1338"/>
      <c r="E892" s="1338"/>
    </row>
    <row r="893" spans="1:5" s="1266" customFormat="1">
      <c r="A893" s="1311"/>
      <c r="B893" s="1332"/>
      <c r="C893" s="1343"/>
      <c r="D893" s="1338"/>
      <c r="E893" s="1338"/>
    </row>
    <row r="894" spans="1:5" s="1266" customFormat="1">
      <c r="A894" s="1311"/>
      <c r="B894" s="1332" t="s">
        <v>1826</v>
      </c>
      <c r="C894" s="1343" t="s">
        <v>1299</v>
      </c>
      <c r="D894" s="1338">
        <v>2150</v>
      </c>
      <c r="E894" s="1363">
        <f>D894*$E$5</f>
        <v>2285.4499999999998</v>
      </c>
    </row>
    <row r="895" spans="1:5" s="1266" customFormat="1">
      <c r="A895" s="1311"/>
      <c r="B895" s="1332"/>
      <c r="C895" s="1343"/>
      <c r="D895" s="1338"/>
      <c r="E895" s="1338"/>
    </row>
    <row r="896" spans="1:5" s="1266" customFormat="1">
      <c r="A896" s="1311"/>
      <c r="B896" s="1332" t="s">
        <v>1827</v>
      </c>
      <c r="C896" s="1343" t="s">
        <v>1299</v>
      </c>
      <c r="D896" s="1338">
        <v>2150</v>
      </c>
      <c r="E896" s="1363">
        <f>D896*$E$5</f>
        <v>2285.4499999999998</v>
      </c>
    </row>
    <row r="897" spans="1:5" s="1266" customFormat="1">
      <c r="A897" s="1311"/>
      <c r="B897" s="1332"/>
      <c r="C897" s="1343"/>
      <c r="D897" s="1338"/>
      <c r="E897" s="1338"/>
    </row>
    <row r="898" spans="1:5" s="1266" customFormat="1">
      <c r="A898" s="1311"/>
      <c r="B898" s="1332" t="s">
        <v>1828</v>
      </c>
      <c r="C898" s="1343" t="s">
        <v>1299</v>
      </c>
      <c r="D898" s="1338">
        <v>2150</v>
      </c>
      <c r="E898" s="1363">
        <f>D898*$E$5</f>
        <v>2285.4499999999998</v>
      </c>
    </row>
    <row r="899" spans="1:5" s="1266" customFormat="1">
      <c r="A899" s="1311"/>
      <c r="B899" s="1332"/>
      <c r="C899" s="1343"/>
      <c r="D899" s="1338"/>
      <c r="E899" s="1338"/>
    </row>
    <row r="900" spans="1:5" s="1266" customFormat="1">
      <c r="A900" s="1311"/>
      <c r="B900" s="1332" t="s">
        <v>1829</v>
      </c>
      <c r="C900" s="1343" t="s">
        <v>1299</v>
      </c>
      <c r="D900" s="1338">
        <v>2150</v>
      </c>
      <c r="E900" s="1363">
        <f>D900*$E$5</f>
        <v>2285.4499999999998</v>
      </c>
    </row>
    <row r="901" spans="1:5" s="1266" customFormat="1">
      <c r="A901" s="1311"/>
      <c r="B901" s="1332"/>
      <c r="C901" s="1343"/>
      <c r="D901" s="1338"/>
      <c r="E901" s="1338"/>
    </row>
    <row r="902" spans="1:5" s="1266" customFormat="1">
      <c r="A902" s="1311"/>
      <c r="B902" s="1332" t="s">
        <v>1830</v>
      </c>
      <c r="C902" s="1343" t="s">
        <v>1299</v>
      </c>
      <c r="D902" s="1338">
        <v>2150</v>
      </c>
      <c r="E902" s="1363">
        <f>D902*$E$5</f>
        <v>2285.4499999999998</v>
      </c>
    </row>
    <row r="903" spans="1:5" s="1266" customFormat="1">
      <c r="A903" s="1311"/>
      <c r="B903" s="1332"/>
      <c r="C903" s="1343"/>
      <c r="D903" s="1338"/>
      <c r="E903" s="1338"/>
    </row>
    <row r="904" spans="1:5" s="1266" customFormat="1">
      <c r="A904" s="1311"/>
      <c r="B904" s="1312" t="s">
        <v>1831</v>
      </c>
      <c r="C904" s="1343"/>
      <c r="D904" s="1338"/>
      <c r="E904" s="1338"/>
    </row>
    <row r="905" spans="1:5" s="1266" customFormat="1">
      <c r="A905" s="1311"/>
      <c r="B905" s="1332"/>
      <c r="C905" s="1343"/>
      <c r="D905" s="1338"/>
      <c r="E905" s="1338"/>
    </row>
    <row r="906" spans="1:5" s="1266" customFormat="1">
      <c r="A906" s="1311"/>
      <c r="B906" s="1331" t="s">
        <v>1825</v>
      </c>
      <c r="C906" s="1343"/>
      <c r="D906" s="1338"/>
      <c r="E906" s="1338"/>
    </row>
    <row r="907" spans="1:5" s="1266" customFormat="1">
      <c r="A907" s="1311"/>
      <c r="B907" s="1332"/>
      <c r="C907" s="1343"/>
      <c r="D907" s="1338"/>
      <c r="E907" s="1338"/>
    </row>
    <row r="908" spans="1:5" s="1266" customFormat="1">
      <c r="A908" s="1311"/>
      <c r="B908" s="1332" t="s">
        <v>1832</v>
      </c>
      <c r="C908" s="1343" t="s">
        <v>1299</v>
      </c>
      <c r="D908" s="1338">
        <v>2150</v>
      </c>
      <c r="E908" s="1363">
        <f>D908*$E$5</f>
        <v>2285.4499999999998</v>
      </c>
    </row>
    <row r="909" spans="1:5" s="1266" customFormat="1">
      <c r="A909" s="1311"/>
      <c r="B909" s="1332"/>
      <c r="C909" s="1343"/>
      <c r="D909" s="1338"/>
      <c r="E909" s="1338"/>
    </row>
    <row r="910" spans="1:5" s="1266" customFormat="1">
      <c r="A910" s="1311"/>
      <c r="B910" s="1332" t="s">
        <v>1833</v>
      </c>
      <c r="C910" s="1343" t="s">
        <v>1299</v>
      </c>
      <c r="D910" s="1338">
        <v>2150</v>
      </c>
      <c r="E910" s="1363">
        <f>D910*$E$5</f>
        <v>2285.4499999999998</v>
      </c>
    </row>
    <row r="911" spans="1:5" s="1266" customFormat="1">
      <c r="A911" s="1311"/>
      <c r="B911" s="1332"/>
      <c r="C911" s="1343"/>
      <c r="D911" s="1338"/>
      <c r="E911" s="1338"/>
    </row>
    <row r="912" spans="1:5" s="1266" customFormat="1" ht="30">
      <c r="A912" s="1311"/>
      <c r="B912" s="1332" t="s">
        <v>1835</v>
      </c>
      <c r="C912" s="1343" t="s">
        <v>1299</v>
      </c>
      <c r="D912" s="1338">
        <v>2150</v>
      </c>
      <c r="E912" s="1363">
        <f>D912*$E$5</f>
        <v>2285.4499999999998</v>
      </c>
    </row>
    <row r="913" spans="1:5" s="1266" customFormat="1">
      <c r="A913" s="1311"/>
      <c r="B913" s="1332"/>
      <c r="C913" s="1343"/>
      <c r="D913" s="1338"/>
      <c r="E913" s="1338"/>
    </row>
    <row r="914" spans="1:5" s="1266" customFormat="1" ht="30">
      <c r="A914" s="1311"/>
      <c r="B914" s="1332" t="s">
        <v>1837</v>
      </c>
      <c r="C914" s="1343" t="s">
        <v>1299</v>
      </c>
      <c r="D914" s="1338">
        <v>2150</v>
      </c>
      <c r="E914" s="1363">
        <f>D914*$E$5</f>
        <v>2285.4499999999998</v>
      </c>
    </row>
    <row r="915" spans="1:5" s="1266" customFormat="1">
      <c r="A915" s="1311"/>
      <c r="B915" s="1332"/>
      <c r="C915" s="1343"/>
      <c r="D915" s="1338"/>
      <c r="E915" s="1338"/>
    </row>
    <row r="916" spans="1:5" s="1266" customFormat="1">
      <c r="A916" s="1311"/>
      <c r="B916" s="1332" t="s">
        <v>1839</v>
      </c>
      <c r="C916" s="1343" t="s">
        <v>1299</v>
      </c>
      <c r="D916" s="1338">
        <v>2150</v>
      </c>
      <c r="E916" s="1363">
        <f>D916*$E$5</f>
        <v>2285.4499999999998</v>
      </c>
    </row>
    <row r="917" spans="1:5" s="1266" customFormat="1">
      <c r="A917" s="1311"/>
      <c r="B917" s="1332"/>
      <c r="C917" s="1343"/>
      <c r="D917" s="1338"/>
      <c r="E917" s="1338"/>
    </row>
    <row r="918" spans="1:5" s="1266" customFormat="1" ht="30">
      <c r="A918" s="1311"/>
      <c r="B918" s="1332" t="s">
        <v>1840</v>
      </c>
      <c r="C918" s="1343" t="s">
        <v>1299</v>
      </c>
      <c r="D918" s="1338">
        <v>2150</v>
      </c>
      <c r="E918" s="1363">
        <f>D918*$E$5</f>
        <v>2285.4499999999998</v>
      </c>
    </row>
    <row r="919" spans="1:5" s="1266" customFormat="1">
      <c r="A919" s="1311"/>
      <c r="B919" s="1332"/>
      <c r="C919" s="1343"/>
      <c r="D919" s="1338"/>
      <c r="E919" s="1338"/>
    </row>
    <row r="920" spans="1:5" s="1266" customFormat="1">
      <c r="A920" s="1311"/>
      <c r="B920" s="1332" t="s">
        <v>1841</v>
      </c>
      <c r="C920" s="1343" t="s">
        <v>1299</v>
      </c>
      <c r="D920" s="1338">
        <v>2150</v>
      </c>
      <c r="E920" s="1363">
        <f>D920*$E$5</f>
        <v>2285.4499999999998</v>
      </c>
    </row>
    <row r="921" spans="1:5" s="1266" customFormat="1">
      <c r="A921" s="1311"/>
      <c r="B921" s="1332"/>
      <c r="C921" s="1343"/>
      <c r="D921" s="1338"/>
      <c r="E921" s="1338"/>
    </row>
    <row r="922" spans="1:5" s="1266" customFormat="1">
      <c r="A922" s="1311"/>
      <c r="B922" s="1332" t="s">
        <v>1842</v>
      </c>
      <c r="C922" s="1343" t="s">
        <v>1299</v>
      </c>
      <c r="D922" s="1338">
        <v>2150</v>
      </c>
      <c r="E922" s="1363">
        <f>D922*$E$5</f>
        <v>2285.4499999999998</v>
      </c>
    </row>
    <row r="923" spans="1:5" s="1266" customFormat="1">
      <c r="A923" s="1311"/>
      <c r="B923" s="1332"/>
      <c r="C923" s="1343"/>
      <c r="D923" s="1338"/>
      <c r="E923" s="1338"/>
    </row>
    <row r="924" spans="1:5" s="1266" customFormat="1">
      <c r="A924" s="1311"/>
      <c r="B924" s="1332" t="s">
        <v>1843</v>
      </c>
      <c r="C924" s="1343" t="s">
        <v>1299</v>
      </c>
      <c r="D924" s="1338">
        <v>2150</v>
      </c>
      <c r="E924" s="1363">
        <f>D924*$E$5</f>
        <v>2285.4499999999998</v>
      </c>
    </row>
    <row r="925" spans="1:5" s="1266" customFormat="1">
      <c r="A925" s="1311"/>
      <c r="B925" s="1332"/>
      <c r="C925" s="1343"/>
      <c r="D925" s="1338"/>
      <c r="E925" s="1338"/>
    </row>
    <row r="926" spans="1:5" s="1266" customFormat="1">
      <c r="A926" s="1311"/>
      <c r="B926" s="1331" t="s">
        <v>1844</v>
      </c>
      <c r="C926" s="1343"/>
      <c r="D926" s="1338"/>
      <c r="E926" s="1338"/>
    </row>
    <row r="927" spans="1:5" s="1266" customFormat="1">
      <c r="A927" s="1311"/>
      <c r="B927" s="1332"/>
      <c r="C927" s="1343"/>
      <c r="D927" s="1338"/>
      <c r="E927" s="1338"/>
    </row>
    <row r="928" spans="1:5" s="1266" customFormat="1">
      <c r="A928" s="1311"/>
      <c r="B928" s="1332" t="s">
        <v>1845</v>
      </c>
      <c r="C928" s="1343" t="s">
        <v>1299</v>
      </c>
      <c r="D928" s="1338">
        <v>2250</v>
      </c>
      <c r="E928" s="1363">
        <f>D928*$E$5</f>
        <v>2391.75</v>
      </c>
    </row>
    <row r="929" spans="1:5" s="1266" customFormat="1">
      <c r="A929" s="1311"/>
      <c r="B929" s="1332"/>
      <c r="C929" s="1343"/>
      <c r="D929" s="1338"/>
      <c r="E929" s="1338"/>
    </row>
    <row r="930" spans="1:5" s="1266" customFormat="1">
      <c r="A930" s="1311"/>
      <c r="B930" s="1331" t="s">
        <v>1846</v>
      </c>
      <c r="C930" s="1343"/>
      <c r="D930" s="1338"/>
      <c r="E930" s="1338"/>
    </row>
    <row r="931" spans="1:5" s="1266" customFormat="1">
      <c r="A931" s="1311"/>
      <c r="B931" s="1332"/>
      <c r="C931" s="1343"/>
      <c r="D931" s="1338"/>
      <c r="E931" s="1338"/>
    </row>
    <row r="932" spans="1:5" s="1266" customFormat="1">
      <c r="A932" s="1311"/>
      <c r="B932" s="1332" t="s">
        <v>1847</v>
      </c>
      <c r="C932" s="1343" t="s">
        <v>1299</v>
      </c>
      <c r="D932" s="1338">
        <v>2300</v>
      </c>
      <c r="E932" s="1363">
        <f>D932*$E$5</f>
        <v>2444.9</v>
      </c>
    </row>
    <row r="933" spans="1:5" s="1266" customFormat="1">
      <c r="A933" s="1311"/>
      <c r="B933" s="1332"/>
      <c r="C933" s="1343"/>
      <c r="D933" s="1338"/>
      <c r="E933" s="1338"/>
    </row>
    <row r="934" spans="1:5" s="1266" customFormat="1">
      <c r="A934" s="1311"/>
      <c r="B934" s="1332" t="s">
        <v>1848</v>
      </c>
      <c r="C934" s="1343" t="s">
        <v>1299</v>
      </c>
      <c r="D934" s="1338">
        <v>2300</v>
      </c>
      <c r="E934" s="1363">
        <f>D934*$E$5</f>
        <v>2444.9</v>
      </c>
    </row>
    <row r="935" spans="1:5" s="1266" customFormat="1">
      <c r="A935" s="1311"/>
      <c r="B935" s="1332"/>
      <c r="C935" s="1343"/>
      <c r="D935" s="1338"/>
      <c r="E935" s="1338"/>
    </row>
    <row r="936" spans="1:5" s="1266" customFormat="1">
      <c r="A936" s="1311"/>
      <c r="B936" s="1312" t="s">
        <v>1849</v>
      </c>
      <c r="C936" s="1343"/>
      <c r="D936" s="1338"/>
      <c r="E936" s="1338"/>
    </row>
    <row r="937" spans="1:5" s="1266" customFormat="1">
      <c r="A937" s="1311"/>
      <c r="B937" s="1332"/>
      <c r="C937" s="1343"/>
      <c r="D937" s="1338"/>
      <c r="E937" s="1338"/>
    </row>
    <row r="938" spans="1:5" s="1266" customFormat="1">
      <c r="A938" s="1311"/>
      <c r="B938" s="1331" t="s">
        <v>1850</v>
      </c>
      <c r="C938" s="1343"/>
      <c r="D938" s="1338"/>
      <c r="E938" s="1338"/>
    </row>
    <row r="939" spans="1:5" s="1266" customFormat="1">
      <c r="A939" s="1311"/>
      <c r="B939" s="1332"/>
      <c r="C939" s="1343"/>
      <c r="D939" s="1338"/>
      <c r="E939" s="1338"/>
    </row>
    <row r="940" spans="1:5" s="1266" customFormat="1" ht="30">
      <c r="A940" s="1311"/>
      <c r="B940" s="1332" t="s">
        <v>1851</v>
      </c>
      <c r="C940" s="1343" t="s">
        <v>217</v>
      </c>
      <c r="D940" s="1338">
        <v>200</v>
      </c>
      <c r="E940" s="1363">
        <f>D940*$E$5</f>
        <v>212.6</v>
      </c>
    </row>
    <row r="941" spans="1:5" s="1266" customFormat="1">
      <c r="A941" s="1311"/>
      <c r="B941" s="1332"/>
      <c r="C941" s="1343"/>
      <c r="D941" s="1338"/>
      <c r="E941" s="1338"/>
    </row>
    <row r="942" spans="1:5" s="1266" customFormat="1">
      <c r="A942" s="1311"/>
      <c r="B942" s="1312" t="s">
        <v>1852</v>
      </c>
      <c r="C942" s="1343"/>
      <c r="D942" s="1338"/>
      <c r="E942" s="1338"/>
    </row>
    <row r="943" spans="1:5" s="1266" customFormat="1">
      <c r="A943" s="1311"/>
      <c r="B943" s="1332"/>
      <c r="C943" s="1343"/>
      <c r="D943" s="1338"/>
      <c r="E943" s="1338"/>
    </row>
    <row r="944" spans="1:5" s="1266" customFormat="1" ht="51.75">
      <c r="A944" s="1311"/>
      <c r="B944" s="1331" t="s">
        <v>1853</v>
      </c>
      <c r="C944" s="1343"/>
      <c r="D944" s="1338"/>
      <c r="E944" s="1338"/>
    </row>
    <row r="945" spans="1:5" s="1266" customFormat="1">
      <c r="A945" s="1311"/>
      <c r="B945" s="1332"/>
      <c r="C945" s="1343"/>
      <c r="D945" s="1338"/>
      <c r="E945" s="1338"/>
    </row>
    <row r="946" spans="1:5" s="1266" customFormat="1">
      <c r="A946" s="1311"/>
      <c r="B946" s="1332" t="s">
        <v>1854</v>
      </c>
      <c r="C946" s="1343" t="s">
        <v>217</v>
      </c>
      <c r="D946" s="1338">
        <v>1200</v>
      </c>
      <c r="E946" s="1363">
        <f>D946*$E$5</f>
        <v>1275.5999999999999</v>
      </c>
    </row>
    <row r="947" spans="1:5" s="1266" customFormat="1">
      <c r="A947" s="1311"/>
      <c r="B947" s="1332"/>
      <c r="C947" s="1343"/>
      <c r="D947" s="1338"/>
      <c r="E947" s="1338"/>
    </row>
    <row r="948" spans="1:5" s="1266" customFormat="1" ht="64.5">
      <c r="A948" s="1311"/>
      <c r="B948" s="1331" t="s">
        <v>1855</v>
      </c>
      <c r="C948" s="1343"/>
      <c r="D948" s="1338"/>
      <c r="E948" s="1338"/>
    </row>
    <row r="949" spans="1:5" s="1266" customFormat="1">
      <c r="A949" s="1311"/>
      <c r="B949" s="1332"/>
      <c r="C949" s="1343"/>
      <c r="D949" s="1338"/>
      <c r="E949" s="1338"/>
    </row>
    <row r="950" spans="1:5" s="1266" customFormat="1">
      <c r="A950" s="1311"/>
      <c r="B950" s="1332" t="s">
        <v>1854</v>
      </c>
      <c r="C950" s="1343" t="s">
        <v>217</v>
      </c>
      <c r="D950" s="1338">
        <v>5500</v>
      </c>
      <c r="E950" s="1363">
        <f>D950*$E$5</f>
        <v>5846.5</v>
      </c>
    </row>
    <row r="951" spans="1:5" s="1266" customFormat="1">
      <c r="A951" s="1311"/>
      <c r="B951" s="1332"/>
      <c r="C951" s="1343"/>
      <c r="D951" s="1338"/>
      <c r="E951" s="1338"/>
    </row>
    <row r="952" spans="1:5" s="1266" customFormat="1" ht="64.5">
      <c r="A952" s="1311"/>
      <c r="B952" s="1331" t="s">
        <v>1856</v>
      </c>
      <c r="C952" s="1343"/>
      <c r="D952" s="1338"/>
      <c r="E952" s="1338"/>
    </row>
    <row r="953" spans="1:5" s="1266" customFormat="1">
      <c r="A953" s="1311"/>
      <c r="B953" s="1332"/>
      <c r="C953" s="1343"/>
      <c r="D953" s="1338"/>
      <c r="E953" s="1338"/>
    </row>
    <row r="954" spans="1:5" s="1266" customFormat="1">
      <c r="A954" s="1311"/>
      <c r="B954" s="1332" t="s">
        <v>1854</v>
      </c>
      <c r="C954" s="1343" t="s">
        <v>217</v>
      </c>
      <c r="D954" s="1338">
        <v>6000</v>
      </c>
      <c r="E954" s="1363">
        <f>D954*$E$5</f>
        <v>6378</v>
      </c>
    </row>
    <row r="955" spans="1:5" s="1266" customFormat="1">
      <c r="A955" s="1311"/>
      <c r="B955" s="1332"/>
      <c r="C955" s="1343"/>
      <c r="D955" s="1338"/>
      <c r="E955" s="1338"/>
    </row>
    <row r="956" spans="1:5" s="1266" customFormat="1" ht="64.5">
      <c r="A956" s="1311"/>
      <c r="B956" s="1331" t="s">
        <v>1857</v>
      </c>
      <c r="C956" s="1343"/>
      <c r="D956" s="1338"/>
      <c r="E956" s="1338"/>
    </row>
    <row r="957" spans="1:5" s="1266" customFormat="1">
      <c r="A957" s="1311"/>
      <c r="B957" s="1332"/>
      <c r="C957" s="1343"/>
      <c r="D957" s="1338"/>
      <c r="E957" s="1338"/>
    </row>
    <row r="958" spans="1:5" s="1266" customFormat="1">
      <c r="A958" s="1311"/>
      <c r="B958" s="1332" t="s">
        <v>1854</v>
      </c>
      <c r="C958" s="1343" t="s">
        <v>217</v>
      </c>
      <c r="D958" s="1338">
        <v>7000</v>
      </c>
      <c r="E958" s="1363">
        <f>D958*$E$5</f>
        <v>7441</v>
      </c>
    </row>
    <row r="959" spans="1:5" s="1266" customFormat="1">
      <c r="A959" s="1311"/>
      <c r="B959" s="1332"/>
      <c r="C959" s="1343"/>
      <c r="D959" s="1338"/>
      <c r="E959" s="1338"/>
    </row>
    <row r="960" spans="1:5" s="1266" customFormat="1" ht="51.75">
      <c r="A960" s="1311"/>
      <c r="B960" s="1331" t="s">
        <v>1858</v>
      </c>
      <c r="C960" s="1343"/>
      <c r="D960" s="1338"/>
      <c r="E960" s="1338"/>
    </row>
    <row r="961" spans="1:5" s="1266" customFormat="1">
      <c r="A961" s="1311"/>
      <c r="B961" s="1332"/>
      <c r="C961" s="1343"/>
      <c r="D961" s="1338"/>
      <c r="E961" s="1338"/>
    </row>
    <row r="962" spans="1:5" s="1266" customFormat="1">
      <c r="A962" s="1311"/>
      <c r="B962" s="1332" t="s">
        <v>1859</v>
      </c>
      <c r="C962" s="1343" t="s">
        <v>217</v>
      </c>
      <c r="D962" s="1338">
        <v>972</v>
      </c>
      <c r="E962" s="1363">
        <f>D962*$E$5</f>
        <v>1033.2359999999999</v>
      </c>
    </row>
    <row r="963" spans="1:5" s="1266" customFormat="1">
      <c r="A963" s="1311"/>
      <c r="B963" s="1332"/>
      <c r="C963" s="1343"/>
      <c r="D963" s="1338"/>
      <c r="E963" s="1338"/>
    </row>
    <row r="964" spans="1:5" s="1266" customFormat="1" ht="51.75">
      <c r="A964" s="1311"/>
      <c r="B964" s="1331" t="s">
        <v>1860</v>
      </c>
      <c r="C964" s="1343"/>
      <c r="D964" s="1338"/>
      <c r="E964" s="1338"/>
    </row>
    <row r="965" spans="1:5" s="1266" customFormat="1">
      <c r="A965" s="1311"/>
      <c r="B965" s="1332"/>
      <c r="C965" s="1343"/>
      <c r="D965" s="1338"/>
      <c r="E965" s="1338"/>
    </row>
    <row r="966" spans="1:5" s="1266" customFormat="1">
      <c r="A966" s="1311"/>
      <c r="B966" s="1332" t="s">
        <v>1861</v>
      </c>
      <c r="C966" s="1343" t="s">
        <v>217</v>
      </c>
      <c r="D966" s="1338">
        <v>972</v>
      </c>
      <c r="E966" s="1363">
        <f>D966*$E$5</f>
        <v>1033.2359999999999</v>
      </c>
    </row>
    <row r="967" spans="1:5" s="1266" customFormat="1">
      <c r="A967" s="1311"/>
      <c r="B967" s="1332"/>
      <c r="C967" s="1343"/>
      <c r="D967" s="1338"/>
      <c r="E967" s="1338"/>
    </row>
    <row r="968" spans="1:5" s="1266" customFormat="1">
      <c r="A968" s="1311"/>
      <c r="B968" s="1331" t="s">
        <v>1862</v>
      </c>
      <c r="C968" s="1343"/>
      <c r="D968" s="1338"/>
      <c r="E968" s="1338"/>
    </row>
    <row r="969" spans="1:5" s="1266" customFormat="1">
      <c r="A969" s="1311"/>
      <c r="B969" s="1332"/>
      <c r="C969" s="1343"/>
      <c r="D969" s="1338"/>
      <c r="E969" s="1338"/>
    </row>
    <row r="970" spans="1:5" s="1266" customFormat="1">
      <c r="A970" s="1311"/>
      <c r="B970" s="1332" t="s">
        <v>1863</v>
      </c>
      <c r="C970" s="1343" t="s">
        <v>1293</v>
      </c>
      <c r="D970" s="1338">
        <v>23.5</v>
      </c>
      <c r="E970" s="1363">
        <f>D970*$E$5</f>
        <v>24.980499999999999</v>
      </c>
    </row>
    <row r="971" spans="1:5" s="1266" customFormat="1">
      <c r="A971" s="1311"/>
      <c r="B971" s="1332"/>
      <c r="C971" s="1343"/>
      <c r="D971" s="1338"/>
      <c r="E971" s="1338"/>
    </row>
    <row r="972" spans="1:5" s="1266" customFormat="1">
      <c r="A972" s="1311"/>
      <c r="B972" s="1331" t="s">
        <v>1864</v>
      </c>
      <c r="C972" s="1343"/>
      <c r="D972" s="1338"/>
      <c r="E972" s="1338"/>
    </row>
    <row r="973" spans="1:5" s="1266" customFormat="1">
      <c r="A973" s="1311"/>
      <c r="B973" s="1332"/>
      <c r="C973" s="1343"/>
      <c r="D973" s="1338"/>
      <c r="E973" s="1338"/>
    </row>
    <row r="974" spans="1:5" s="1266" customFormat="1">
      <c r="A974" s="1311"/>
      <c r="B974" s="1332" t="s">
        <v>1865</v>
      </c>
      <c r="C974" s="1343" t="s">
        <v>1293</v>
      </c>
      <c r="D974" s="1338">
        <v>30</v>
      </c>
      <c r="E974" s="1363">
        <f>D974*$E$5</f>
        <v>31.889999999999997</v>
      </c>
    </row>
    <row r="975" spans="1:5" s="1266" customFormat="1">
      <c r="A975" s="1311"/>
      <c r="B975" s="1332"/>
      <c r="C975" s="1343"/>
      <c r="D975" s="1338"/>
      <c r="E975" s="1338"/>
    </row>
    <row r="976" spans="1:5" s="1266" customFormat="1">
      <c r="A976" s="1311"/>
      <c r="B976" s="1331" t="s">
        <v>1866</v>
      </c>
      <c r="C976" s="1343"/>
      <c r="D976" s="1338"/>
      <c r="E976" s="1338"/>
    </row>
    <row r="977" spans="1:5" s="1266" customFormat="1">
      <c r="A977" s="1311"/>
      <c r="B977" s="1332"/>
      <c r="C977" s="1343"/>
      <c r="D977" s="1338"/>
      <c r="E977" s="1338"/>
    </row>
    <row r="978" spans="1:5" s="1266" customFormat="1" ht="30">
      <c r="A978" s="1311"/>
      <c r="B978" s="1332" t="s">
        <v>1867</v>
      </c>
      <c r="C978" s="1343" t="s">
        <v>217</v>
      </c>
      <c r="D978" s="1338">
        <v>419.33</v>
      </c>
      <c r="E978" s="1363">
        <f>D978*$E$5</f>
        <v>445.74778999999995</v>
      </c>
    </row>
    <row r="979" spans="1:5" s="1266" customFormat="1">
      <c r="A979" s="1311"/>
      <c r="B979" s="1332"/>
      <c r="C979" s="1343"/>
      <c r="D979" s="1338"/>
      <c r="E979" s="1338"/>
    </row>
    <row r="980" spans="1:5" s="1266" customFormat="1">
      <c r="A980" s="1311"/>
      <c r="B980" s="1331" t="s">
        <v>1868</v>
      </c>
      <c r="C980" s="1343"/>
      <c r="D980" s="1338"/>
      <c r="E980" s="1338"/>
    </row>
    <row r="981" spans="1:5" s="1266" customFormat="1">
      <c r="A981" s="1311"/>
      <c r="B981" s="1332"/>
      <c r="C981" s="1343"/>
      <c r="D981" s="1338"/>
      <c r="E981" s="1338"/>
    </row>
    <row r="982" spans="1:5" s="1266" customFormat="1" ht="30">
      <c r="A982" s="1311"/>
      <c r="B982" s="1332" t="s">
        <v>1869</v>
      </c>
      <c r="C982" s="1343" t="s">
        <v>217</v>
      </c>
      <c r="D982" s="1338">
        <v>61.38</v>
      </c>
      <c r="E982" s="1363">
        <f>D982*$E$5</f>
        <v>65.246939999999995</v>
      </c>
    </row>
    <row r="983" spans="1:5" s="1266" customFormat="1">
      <c r="A983" s="1311"/>
      <c r="B983" s="1332"/>
      <c r="C983" s="1343"/>
      <c r="D983" s="1338"/>
      <c r="E983" s="1338"/>
    </row>
    <row r="984" spans="1:5" s="1266" customFormat="1">
      <c r="A984" s="1311"/>
      <c r="B984" s="1331" t="s">
        <v>1870</v>
      </c>
      <c r="C984" s="1343"/>
      <c r="D984" s="1338"/>
      <c r="E984" s="1338"/>
    </row>
    <row r="985" spans="1:5" s="1266" customFormat="1">
      <c r="A985" s="1311"/>
      <c r="B985" s="1332"/>
      <c r="C985" s="1343"/>
      <c r="D985" s="1338"/>
      <c r="E985" s="1338"/>
    </row>
    <row r="986" spans="1:5" s="1266" customFormat="1" ht="30">
      <c r="A986" s="1311"/>
      <c r="B986" s="1332" t="s">
        <v>1871</v>
      </c>
      <c r="C986" s="1343" t="s">
        <v>217</v>
      </c>
      <c r="D986" s="1338">
        <v>220</v>
      </c>
      <c r="E986" s="1363">
        <f>D986*$E$5</f>
        <v>233.85999999999999</v>
      </c>
    </row>
    <row r="987" spans="1:5" s="1266" customFormat="1">
      <c r="A987" s="1311"/>
      <c r="B987" s="1332"/>
      <c r="C987" s="1343"/>
      <c r="D987" s="1338"/>
      <c r="E987" s="1338"/>
    </row>
    <row r="988" spans="1:5" s="1266" customFormat="1" ht="30">
      <c r="A988" s="1311"/>
      <c r="B988" s="1332" t="s">
        <v>1872</v>
      </c>
      <c r="C988" s="1343" t="s">
        <v>217</v>
      </c>
      <c r="D988" s="1338">
        <v>250</v>
      </c>
      <c r="E988" s="1363">
        <f>D988*$E$5</f>
        <v>265.75</v>
      </c>
    </row>
    <row r="989" spans="1:5" s="1266" customFormat="1">
      <c r="A989" s="1311"/>
      <c r="B989" s="1332"/>
      <c r="C989" s="1343"/>
      <c r="D989" s="1338"/>
      <c r="E989" s="1338"/>
    </row>
    <row r="990" spans="1:5" s="1266" customFormat="1" ht="30">
      <c r="A990" s="1311"/>
      <c r="B990" s="1332" t="s">
        <v>1873</v>
      </c>
      <c r="C990" s="1343" t="s">
        <v>217</v>
      </c>
      <c r="D990" s="1338">
        <v>655</v>
      </c>
      <c r="E990" s="1363">
        <f>D990*$E$5</f>
        <v>696.26499999999999</v>
      </c>
    </row>
    <row r="991" spans="1:5" s="1266" customFormat="1">
      <c r="A991" s="1311"/>
      <c r="B991" s="1332"/>
      <c r="C991" s="1343"/>
      <c r="D991" s="1338"/>
      <c r="E991" s="1338"/>
    </row>
    <row r="992" spans="1:5" s="1266" customFormat="1" ht="30">
      <c r="A992" s="1311"/>
      <c r="B992" s="1332" t="s">
        <v>1874</v>
      </c>
      <c r="C992" s="1343" t="s">
        <v>217</v>
      </c>
      <c r="D992" s="1338">
        <v>400</v>
      </c>
      <c r="E992" s="1363">
        <f>D992*$E$5</f>
        <v>425.2</v>
      </c>
    </row>
    <row r="993" spans="1:5" s="1266" customFormat="1">
      <c r="A993" s="1311"/>
      <c r="B993" s="1332"/>
      <c r="C993" s="1343"/>
      <c r="D993" s="1338"/>
      <c r="E993" s="1338"/>
    </row>
    <row r="994" spans="1:5" s="1266" customFormat="1" ht="39">
      <c r="A994" s="1311"/>
      <c r="B994" s="1331" t="s">
        <v>1875</v>
      </c>
      <c r="C994" s="1343"/>
      <c r="D994" s="1338"/>
      <c r="E994" s="1338"/>
    </row>
    <row r="995" spans="1:5" s="1266" customFormat="1">
      <c r="A995" s="1311"/>
      <c r="B995" s="1332"/>
      <c r="C995" s="1343"/>
      <c r="D995" s="1338"/>
      <c r="E995" s="1338"/>
    </row>
    <row r="996" spans="1:5" s="1266" customFormat="1" ht="30">
      <c r="A996" s="1311"/>
      <c r="B996" s="1332" t="s">
        <v>1876</v>
      </c>
      <c r="C996" s="1343" t="s">
        <v>1299</v>
      </c>
      <c r="D996" s="1338">
        <v>750</v>
      </c>
      <c r="E996" s="1363">
        <f>D996*$E$5</f>
        <v>797.25</v>
      </c>
    </row>
    <row r="997" spans="1:5" s="1266" customFormat="1">
      <c r="A997" s="1311"/>
      <c r="B997" s="1332"/>
      <c r="C997" s="1343"/>
      <c r="D997" s="1338"/>
      <c r="E997" s="1338"/>
    </row>
    <row r="998" spans="1:5" s="1266" customFormat="1" ht="30">
      <c r="A998" s="1311"/>
      <c r="B998" s="1332" t="s">
        <v>1877</v>
      </c>
      <c r="C998" s="1343" t="s">
        <v>1299</v>
      </c>
      <c r="D998" s="1338">
        <v>750</v>
      </c>
      <c r="E998" s="1363">
        <f>D998*$E$5</f>
        <v>797.25</v>
      </c>
    </row>
    <row r="999" spans="1:5" s="1266" customFormat="1">
      <c r="A999" s="1311"/>
      <c r="B999" s="1332"/>
      <c r="C999" s="1343"/>
      <c r="D999" s="1338"/>
      <c r="E999" s="1338"/>
    </row>
    <row r="1000" spans="1:5" s="1266" customFormat="1" ht="75">
      <c r="A1000" s="1311"/>
      <c r="B1000" s="1332" t="s">
        <v>1878</v>
      </c>
      <c r="C1000" s="1343" t="s">
        <v>608</v>
      </c>
      <c r="D1000" s="1338">
        <v>350000</v>
      </c>
      <c r="E1000" s="1363">
        <f>D1000*$E$5</f>
        <v>372050</v>
      </c>
    </row>
    <row r="1001" spans="1:5" s="1266" customFormat="1">
      <c r="A1001" s="1311"/>
      <c r="B1001" s="1332"/>
      <c r="C1001" s="1343"/>
      <c r="D1001" s="1338"/>
      <c r="E1001" s="1338"/>
    </row>
    <row r="1002" spans="1:5" s="1266" customFormat="1">
      <c r="A1002" s="1311"/>
      <c r="B1002" s="1312" t="s">
        <v>1879</v>
      </c>
      <c r="C1002" s="1343"/>
      <c r="D1002" s="1338"/>
      <c r="E1002" s="1338"/>
    </row>
    <row r="1003" spans="1:5" s="1266" customFormat="1">
      <c r="A1003" s="1311"/>
      <c r="B1003" s="1332"/>
      <c r="C1003" s="1343"/>
      <c r="D1003" s="1338"/>
      <c r="E1003" s="1338"/>
    </row>
    <row r="1004" spans="1:5" s="1266" customFormat="1">
      <c r="A1004" s="1311"/>
      <c r="B1004" s="1312" t="s">
        <v>1880</v>
      </c>
      <c r="C1004" s="1343"/>
      <c r="D1004" s="1338"/>
      <c r="E1004" s="1338"/>
    </row>
    <row r="1005" spans="1:5" s="1266" customFormat="1">
      <c r="A1005" s="1311"/>
      <c r="B1005" s="1332"/>
      <c r="C1005" s="1343"/>
      <c r="D1005" s="1338"/>
      <c r="E1005" s="1338"/>
    </row>
    <row r="1006" spans="1:5" s="1266" customFormat="1">
      <c r="A1006" s="1311"/>
      <c r="B1006" s="1331" t="s">
        <v>1881</v>
      </c>
      <c r="C1006" s="1343"/>
      <c r="D1006" s="1338"/>
      <c r="E1006" s="1338"/>
    </row>
    <row r="1007" spans="1:5" s="1266" customFormat="1">
      <c r="A1007" s="1311"/>
      <c r="B1007" s="1332"/>
      <c r="C1007" s="1343"/>
      <c r="D1007" s="1338"/>
      <c r="E1007" s="1338"/>
    </row>
    <row r="1008" spans="1:5" s="1266" customFormat="1">
      <c r="A1008" s="1311"/>
      <c r="B1008" s="1332" t="s">
        <v>1882</v>
      </c>
      <c r="C1008" s="1343" t="s">
        <v>1293</v>
      </c>
      <c r="D1008" s="1338">
        <v>131</v>
      </c>
      <c r="E1008" s="1363">
        <f>D1008*$E$5</f>
        <v>139.25299999999999</v>
      </c>
    </row>
    <row r="1009" spans="1:5" s="1266" customFormat="1">
      <c r="A1009" s="1311"/>
      <c r="B1009" s="1332"/>
      <c r="C1009" s="1343"/>
      <c r="D1009" s="1338"/>
      <c r="E1009" s="1338"/>
    </row>
    <row r="1010" spans="1:5" s="1266" customFormat="1">
      <c r="A1010" s="1311"/>
      <c r="B1010" s="1332" t="s">
        <v>1883</v>
      </c>
      <c r="C1010" s="1343" t="s">
        <v>1293</v>
      </c>
      <c r="D1010" s="1338">
        <v>131</v>
      </c>
      <c r="E1010" s="1363">
        <f>D1010*$E$5</f>
        <v>139.25299999999999</v>
      </c>
    </row>
    <row r="1011" spans="1:5" s="1266" customFormat="1">
      <c r="A1011" s="1311"/>
      <c r="B1011" s="1332"/>
      <c r="C1011" s="1343"/>
      <c r="D1011" s="1338"/>
      <c r="E1011" s="1338"/>
    </row>
    <row r="1012" spans="1:5" s="1266" customFormat="1">
      <c r="A1012" s="1311"/>
      <c r="B1012" s="1332" t="s">
        <v>1829</v>
      </c>
      <c r="C1012" s="1343" t="s">
        <v>1293</v>
      </c>
      <c r="D1012" s="1338">
        <v>150</v>
      </c>
      <c r="E1012" s="1363">
        <f>D1012*$E$5</f>
        <v>159.44999999999999</v>
      </c>
    </row>
    <row r="1013" spans="1:5" s="1266" customFormat="1">
      <c r="A1013" s="1311"/>
      <c r="B1013" s="1332"/>
      <c r="C1013" s="1343"/>
      <c r="D1013" s="1338"/>
      <c r="E1013" s="1338"/>
    </row>
    <row r="1014" spans="1:5" s="1266" customFormat="1">
      <c r="A1014" s="1311"/>
      <c r="B1014" s="1332" t="s">
        <v>1884</v>
      </c>
      <c r="C1014" s="1343" t="s">
        <v>1293</v>
      </c>
      <c r="D1014" s="1338">
        <v>204.35</v>
      </c>
      <c r="E1014" s="1363">
        <f>D1014*$E$5</f>
        <v>217.22404999999998</v>
      </c>
    </row>
    <row r="1015" spans="1:5" s="1266" customFormat="1">
      <c r="A1015" s="1311"/>
      <c r="B1015" s="1332"/>
      <c r="C1015" s="1343"/>
      <c r="D1015" s="1338"/>
      <c r="E1015" s="1338"/>
    </row>
    <row r="1016" spans="1:5" s="1266" customFormat="1" ht="30">
      <c r="A1016" s="1311"/>
      <c r="B1016" s="1332" t="s">
        <v>1885</v>
      </c>
      <c r="C1016" s="1343" t="s">
        <v>1293</v>
      </c>
      <c r="D1016" s="1338">
        <v>204.5</v>
      </c>
      <c r="E1016" s="1363">
        <f>D1016*$E$5</f>
        <v>217.3835</v>
      </c>
    </row>
    <row r="1017" spans="1:5" s="1266" customFormat="1">
      <c r="A1017" s="1311"/>
      <c r="B1017" s="1332"/>
      <c r="C1017" s="1343"/>
      <c r="D1017" s="1338"/>
      <c r="E1017" s="1338"/>
    </row>
    <row r="1018" spans="1:5" s="1266" customFormat="1">
      <c r="A1018" s="1311"/>
      <c r="B1018" s="1332" t="s">
        <v>1886</v>
      </c>
      <c r="C1018" s="1343" t="s">
        <v>217</v>
      </c>
      <c r="D1018" s="1338">
        <v>375</v>
      </c>
      <c r="E1018" s="1363">
        <f>D1018*$E$5</f>
        <v>398.625</v>
      </c>
    </row>
    <row r="1019" spans="1:5" s="1266" customFormat="1">
      <c r="A1019" s="1311"/>
      <c r="B1019" s="1332"/>
      <c r="C1019" s="1343"/>
      <c r="D1019" s="1338"/>
      <c r="E1019" s="1338"/>
    </row>
    <row r="1020" spans="1:5" s="1266" customFormat="1">
      <c r="A1020" s="1311"/>
      <c r="B1020" s="1332" t="s">
        <v>1887</v>
      </c>
      <c r="C1020" s="1343" t="s">
        <v>217</v>
      </c>
      <c r="D1020" s="1338">
        <v>375</v>
      </c>
      <c r="E1020" s="1363">
        <f>D1020*$E$5</f>
        <v>398.625</v>
      </c>
    </row>
    <row r="1021" spans="1:5" s="1266" customFormat="1">
      <c r="A1021" s="1311"/>
      <c r="B1021" s="1332"/>
      <c r="C1021" s="1343"/>
      <c r="D1021" s="1338"/>
      <c r="E1021" s="1338"/>
    </row>
    <row r="1022" spans="1:5" s="1266" customFormat="1">
      <c r="A1022" s="1311"/>
      <c r="B1022" s="1331" t="s">
        <v>1888</v>
      </c>
      <c r="C1022" s="1343"/>
      <c r="D1022" s="1338"/>
      <c r="E1022" s="1338"/>
    </row>
    <row r="1023" spans="1:5" s="1266" customFormat="1">
      <c r="A1023" s="1311"/>
      <c r="B1023" s="1332"/>
      <c r="C1023" s="1343"/>
      <c r="D1023" s="1338"/>
      <c r="E1023" s="1338"/>
    </row>
    <row r="1024" spans="1:5" s="1266" customFormat="1">
      <c r="A1024" s="1311"/>
      <c r="B1024" s="1332" t="s">
        <v>1829</v>
      </c>
      <c r="C1024" s="1343" t="s">
        <v>1293</v>
      </c>
      <c r="D1024" s="1338">
        <v>210</v>
      </c>
      <c r="E1024" s="1363">
        <f>D1024*$E$5</f>
        <v>223.23</v>
      </c>
    </row>
    <row r="1025" spans="1:5" s="1266" customFormat="1">
      <c r="A1025" s="1311"/>
      <c r="B1025" s="1332"/>
      <c r="C1025" s="1343"/>
      <c r="D1025" s="1338"/>
      <c r="E1025" s="1338"/>
    </row>
    <row r="1026" spans="1:5" s="1266" customFormat="1">
      <c r="A1026" s="1311"/>
      <c r="B1026" s="1312" t="s">
        <v>1889</v>
      </c>
      <c r="C1026" s="1343"/>
      <c r="D1026" s="1338"/>
      <c r="E1026" s="1338"/>
    </row>
    <row r="1027" spans="1:5" s="1266" customFormat="1">
      <c r="A1027" s="1311"/>
      <c r="B1027" s="1332"/>
      <c r="C1027" s="1343"/>
      <c r="D1027" s="1338"/>
      <c r="E1027" s="1338"/>
    </row>
    <row r="1028" spans="1:5" s="1266" customFormat="1">
      <c r="A1028" s="1311"/>
      <c r="B1028" s="1331" t="s">
        <v>1890</v>
      </c>
      <c r="C1028" s="1343"/>
      <c r="D1028" s="1338"/>
      <c r="E1028" s="1338"/>
    </row>
    <row r="1029" spans="1:5" s="1266" customFormat="1">
      <c r="A1029" s="1311"/>
      <c r="B1029" s="1332"/>
      <c r="C1029" s="1343"/>
      <c r="D1029" s="1338"/>
      <c r="E1029" s="1338"/>
    </row>
    <row r="1030" spans="1:5" s="1266" customFormat="1">
      <c r="A1030" s="1311"/>
      <c r="B1030" s="1332" t="s">
        <v>1845</v>
      </c>
      <c r="C1030" s="1343" t="s">
        <v>1293</v>
      </c>
      <c r="D1030" s="1338">
        <v>330</v>
      </c>
      <c r="E1030" s="1363">
        <f>D1030*$E$5</f>
        <v>350.78999999999996</v>
      </c>
    </row>
    <row r="1031" spans="1:5" s="1266" customFormat="1">
      <c r="A1031" s="1311"/>
      <c r="B1031" s="1332"/>
      <c r="C1031" s="1343"/>
      <c r="D1031" s="1338"/>
      <c r="E1031" s="1338"/>
    </row>
    <row r="1032" spans="1:5" s="1266" customFormat="1" ht="30">
      <c r="A1032" s="1311"/>
      <c r="B1032" s="1332" t="s">
        <v>1891</v>
      </c>
      <c r="C1032" s="1343" t="s">
        <v>1293</v>
      </c>
      <c r="D1032" s="1338">
        <v>330</v>
      </c>
      <c r="E1032" s="1363">
        <f>D1032*$E$5</f>
        <v>350.78999999999996</v>
      </c>
    </row>
    <row r="1033" spans="1:5" s="1266" customFormat="1">
      <c r="A1033" s="1311"/>
      <c r="B1033" s="1332"/>
      <c r="C1033" s="1343"/>
      <c r="D1033" s="1338"/>
      <c r="E1033" s="1338"/>
    </row>
    <row r="1034" spans="1:5" s="1266" customFormat="1" ht="30">
      <c r="A1034" s="1311"/>
      <c r="B1034" s="1332" t="s">
        <v>1892</v>
      </c>
      <c r="C1034" s="1343" t="s">
        <v>1293</v>
      </c>
      <c r="D1034" s="1338">
        <v>330</v>
      </c>
      <c r="E1034" s="1363">
        <f>D1034*$E$5</f>
        <v>350.78999999999996</v>
      </c>
    </row>
    <row r="1035" spans="1:5" s="1266" customFormat="1">
      <c r="A1035" s="1311"/>
      <c r="B1035" s="1332"/>
      <c r="C1035" s="1343"/>
      <c r="D1035" s="1338"/>
      <c r="E1035" s="1338"/>
    </row>
    <row r="1036" spans="1:5" s="1266" customFormat="1">
      <c r="A1036" s="1311"/>
      <c r="B1036" s="1332" t="s">
        <v>1893</v>
      </c>
      <c r="C1036" s="1343" t="s">
        <v>1293</v>
      </c>
      <c r="D1036" s="1338">
        <v>330</v>
      </c>
      <c r="E1036" s="1363">
        <f>D1036*$E$5</f>
        <v>350.78999999999996</v>
      </c>
    </row>
    <row r="1037" spans="1:5" s="1266" customFormat="1">
      <c r="A1037" s="1311"/>
      <c r="B1037" s="1332"/>
      <c r="C1037" s="1343"/>
      <c r="D1037" s="1338"/>
      <c r="E1037" s="1338"/>
    </row>
    <row r="1038" spans="1:5" s="1266" customFormat="1">
      <c r="A1038" s="1311"/>
      <c r="B1038" s="1332" t="s">
        <v>1894</v>
      </c>
      <c r="C1038" s="1343" t="s">
        <v>1293</v>
      </c>
      <c r="D1038" s="1338">
        <v>660</v>
      </c>
      <c r="E1038" s="1363">
        <f>D1038*$E$5</f>
        <v>701.57999999999993</v>
      </c>
    </row>
    <row r="1039" spans="1:5" s="1266" customFormat="1">
      <c r="A1039" s="1311"/>
      <c r="B1039" s="1332"/>
      <c r="C1039" s="1343"/>
      <c r="D1039" s="1338"/>
      <c r="E1039" s="1338"/>
    </row>
    <row r="1040" spans="1:5" s="1266" customFormat="1" ht="30">
      <c r="A1040" s="1311"/>
      <c r="B1040" s="1332" t="s">
        <v>1895</v>
      </c>
      <c r="C1040" s="1343" t="s">
        <v>1293</v>
      </c>
      <c r="D1040" s="1338">
        <v>330</v>
      </c>
      <c r="E1040" s="1363">
        <f>D1040*$E$5</f>
        <v>350.78999999999996</v>
      </c>
    </row>
    <row r="1041" spans="1:5" s="1266" customFormat="1">
      <c r="A1041" s="1311"/>
      <c r="B1041" s="1332"/>
      <c r="C1041" s="1343"/>
      <c r="D1041" s="1338"/>
      <c r="E1041" s="1338"/>
    </row>
    <row r="1042" spans="1:5" s="1266" customFormat="1">
      <c r="A1042" s="1311"/>
      <c r="B1042" s="1332" t="s">
        <v>1896</v>
      </c>
      <c r="C1042" s="1343" t="s">
        <v>1293</v>
      </c>
      <c r="D1042" s="1338">
        <v>330</v>
      </c>
      <c r="E1042" s="1363">
        <f>D1042*$E$5</f>
        <v>350.78999999999996</v>
      </c>
    </row>
    <row r="1043" spans="1:5" s="1266" customFormat="1">
      <c r="A1043" s="1311"/>
      <c r="B1043" s="1332"/>
      <c r="C1043" s="1343"/>
      <c r="D1043" s="1338"/>
      <c r="E1043" s="1338"/>
    </row>
    <row r="1044" spans="1:5" s="1266" customFormat="1" ht="30">
      <c r="A1044" s="1311"/>
      <c r="B1044" s="1332" t="s">
        <v>1897</v>
      </c>
      <c r="C1044" s="1343" t="s">
        <v>1293</v>
      </c>
      <c r="D1044" s="1338">
        <v>330</v>
      </c>
      <c r="E1044" s="1363">
        <f>D1044*$E$5</f>
        <v>350.78999999999996</v>
      </c>
    </row>
    <row r="1045" spans="1:5" s="1266" customFormat="1">
      <c r="A1045" s="1311"/>
      <c r="B1045" s="1332"/>
      <c r="C1045" s="1343"/>
      <c r="D1045" s="1338"/>
      <c r="E1045" s="1338"/>
    </row>
    <row r="1046" spans="1:5" s="1266" customFormat="1" ht="30">
      <c r="A1046" s="1311"/>
      <c r="B1046" s="1332" t="s">
        <v>1898</v>
      </c>
      <c r="C1046" s="1343" t="s">
        <v>1293</v>
      </c>
      <c r="D1046" s="1338">
        <v>330</v>
      </c>
      <c r="E1046" s="1363">
        <f>D1046*$E$5</f>
        <v>350.78999999999996</v>
      </c>
    </row>
    <row r="1047" spans="1:5" s="1266" customFormat="1">
      <c r="A1047" s="1311"/>
      <c r="B1047" s="1332"/>
      <c r="C1047" s="1343"/>
      <c r="D1047" s="1338"/>
      <c r="E1047" s="1338"/>
    </row>
    <row r="1048" spans="1:5" s="1266" customFormat="1" ht="30">
      <c r="A1048" s="1311"/>
      <c r="B1048" s="1332" t="s">
        <v>1899</v>
      </c>
      <c r="C1048" s="1343" t="s">
        <v>1293</v>
      </c>
      <c r="D1048" s="1338">
        <v>360</v>
      </c>
      <c r="E1048" s="1363">
        <f>D1048*$E$5</f>
        <v>382.68</v>
      </c>
    </row>
    <row r="1049" spans="1:5" s="1266" customFormat="1">
      <c r="A1049" s="1311"/>
      <c r="B1049" s="1332"/>
      <c r="C1049" s="1343"/>
      <c r="D1049" s="1338"/>
      <c r="E1049" s="1338"/>
    </row>
    <row r="1050" spans="1:5" s="1266" customFormat="1" ht="30">
      <c r="A1050" s="1311"/>
      <c r="B1050" s="1332" t="s">
        <v>1900</v>
      </c>
      <c r="C1050" s="1343" t="s">
        <v>1293</v>
      </c>
      <c r="D1050" s="1338">
        <v>360</v>
      </c>
      <c r="E1050" s="1363">
        <f>D1050*$E$5</f>
        <v>382.68</v>
      </c>
    </row>
    <row r="1051" spans="1:5" s="1266" customFormat="1">
      <c r="A1051" s="1311"/>
      <c r="B1051" s="1332"/>
      <c r="C1051" s="1343"/>
      <c r="D1051" s="1338"/>
      <c r="E1051" s="1338"/>
    </row>
    <row r="1052" spans="1:5" s="1266" customFormat="1" ht="45">
      <c r="A1052" s="1311"/>
      <c r="B1052" s="1332" t="s">
        <v>1901</v>
      </c>
      <c r="C1052" s="1343" t="s">
        <v>1293</v>
      </c>
      <c r="D1052" s="1338">
        <v>360</v>
      </c>
      <c r="E1052" s="1363">
        <f>D1052*$E$5</f>
        <v>382.68</v>
      </c>
    </row>
    <row r="1053" spans="1:5" s="1266" customFormat="1">
      <c r="A1053" s="1311"/>
      <c r="B1053" s="1332"/>
      <c r="C1053" s="1343"/>
      <c r="D1053" s="1338"/>
      <c r="E1053" s="1338"/>
    </row>
    <row r="1054" spans="1:5" s="1266" customFormat="1" ht="45">
      <c r="A1054" s="1311"/>
      <c r="B1054" s="1332" t="s">
        <v>1902</v>
      </c>
      <c r="C1054" s="1343" t="s">
        <v>1293</v>
      </c>
      <c r="D1054" s="1338">
        <v>360</v>
      </c>
      <c r="E1054" s="1363">
        <f>D1054*$E$5</f>
        <v>382.68</v>
      </c>
    </row>
    <row r="1055" spans="1:5" s="1266" customFormat="1">
      <c r="A1055" s="1311"/>
      <c r="B1055" s="1332"/>
      <c r="C1055" s="1343"/>
      <c r="D1055" s="1338"/>
      <c r="E1055" s="1338"/>
    </row>
    <row r="1056" spans="1:5" s="1266" customFormat="1" ht="30">
      <c r="A1056" s="1311"/>
      <c r="B1056" s="1332" t="s">
        <v>1903</v>
      </c>
      <c r="C1056" s="1343" t="s">
        <v>1293</v>
      </c>
      <c r="D1056" s="1338">
        <v>480</v>
      </c>
      <c r="E1056" s="1363">
        <f>D1056*$E$5</f>
        <v>510.23999999999995</v>
      </c>
    </row>
    <row r="1057" spans="1:5" s="1266" customFormat="1">
      <c r="A1057" s="1311"/>
      <c r="B1057" s="1332"/>
      <c r="C1057" s="1343"/>
      <c r="D1057" s="1338"/>
      <c r="E1057" s="1338"/>
    </row>
    <row r="1058" spans="1:5" s="1266" customFormat="1" ht="30">
      <c r="A1058" s="1311"/>
      <c r="B1058" s="1332" t="s">
        <v>1904</v>
      </c>
      <c r="C1058" s="1343" t="s">
        <v>1293</v>
      </c>
      <c r="D1058" s="1338">
        <v>500</v>
      </c>
      <c r="E1058" s="1363">
        <f>D1058*$E$5</f>
        <v>531.5</v>
      </c>
    </row>
    <row r="1059" spans="1:5" s="1266" customFormat="1">
      <c r="A1059" s="1311"/>
      <c r="B1059" s="1332"/>
      <c r="C1059" s="1343"/>
      <c r="D1059" s="1338"/>
      <c r="E1059" s="1338"/>
    </row>
    <row r="1060" spans="1:5" s="1266" customFormat="1" ht="30">
      <c r="A1060" s="1311"/>
      <c r="B1060" s="1332" t="s">
        <v>1905</v>
      </c>
      <c r="C1060" s="1343" t="s">
        <v>1293</v>
      </c>
      <c r="D1060" s="1338">
        <v>525</v>
      </c>
      <c r="E1060" s="1363">
        <f>D1060*$E$5</f>
        <v>558.07499999999993</v>
      </c>
    </row>
    <row r="1061" spans="1:5" s="1266" customFormat="1">
      <c r="A1061" s="1311"/>
      <c r="B1061" s="1332"/>
      <c r="C1061" s="1343"/>
      <c r="D1061" s="1338"/>
      <c r="E1061" s="1338"/>
    </row>
    <row r="1062" spans="1:5" s="1266" customFormat="1" ht="30">
      <c r="A1062" s="1311"/>
      <c r="B1062" s="1332" t="s">
        <v>1906</v>
      </c>
      <c r="C1062" s="1343" t="s">
        <v>1293</v>
      </c>
      <c r="D1062" s="1338">
        <v>560</v>
      </c>
      <c r="E1062" s="1363">
        <f>D1062*$E$5</f>
        <v>595.28</v>
      </c>
    </row>
    <row r="1063" spans="1:5" s="1266" customFormat="1">
      <c r="A1063" s="1311"/>
      <c r="B1063" s="1332"/>
      <c r="C1063" s="1343"/>
      <c r="D1063" s="1338"/>
      <c r="E1063" s="1338"/>
    </row>
    <row r="1064" spans="1:5" s="1266" customFormat="1" ht="30">
      <c r="A1064" s="1311"/>
      <c r="B1064" s="1332" t="s">
        <v>1907</v>
      </c>
      <c r="C1064" s="1343" t="s">
        <v>1293</v>
      </c>
      <c r="D1064" s="1338">
        <v>500</v>
      </c>
      <c r="E1064" s="1363">
        <f>D1064*$E$5</f>
        <v>531.5</v>
      </c>
    </row>
    <row r="1065" spans="1:5" s="1266" customFormat="1">
      <c r="A1065" s="1311"/>
      <c r="B1065" s="1332"/>
      <c r="C1065" s="1343"/>
      <c r="D1065" s="1338"/>
      <c r="E1065" s="1338"/>
    </row>
    <row r="1066" spans="1:5" s="1266" customFormat="1" ht="30">
      <c r="A1066" s="1311"/>
      <c r="B1066" s="1332" t="s">
        <v>1908</v>
      </c>
      <c r="C1066" s="1343" t="s">
        <v>1293</v>
      </c>
      <c r="D1066" s="1338">
        <v>500</v>
      </c>
      <c r="E1066" s="1363">
        <f>D1066*$E$5</f>
        <v>531.5</v>
      </c>
    </row>
    <row r="1067" spans="1:5" s="1266" customFormat="1">
      <c r="A1067" s="1311"/>
      <c r="B1067" s="1332"/>
      <c r="C1067" s="1343"/>
      <c r="D1067" s="1338"/>
      <c r="E1067" s="1338"/>
    </row>
    <row r="1068" spans="1:5" s="1266" customFormat="1">
      <c r="A1068" s="1311"/>
      <c r="B1068" s="1332" t="s">
        <v>1909</v>
      </c>
      <c r="C1068" s="1343" t="s">
        <v>1293</v>
      </c>
      <c r="D1068" s="1338">
        <v>480</v>
      </c>
      <c r="E1068" s="1363">
        <f>D1068*$E$5</f>
        <v>510.23999999999995</v>
      </c>
    </row>
    <row r="1069" spans="1:5" s="1266" customFormat="1">
      <c r="A1069" s="1311"/>
      <c r="B1069" s="1332"/>
      <c r="C1069" s="1343"/>
      <c r="D1069" s="1338"/>
      <c r="E1069" s="1338"/>
    </row>
    <row r="1070" spans="1:5" s="1266" customFormat="1" ht="30">
      <c r="A1070" s="1311"/>
      <c r="B1070" s="1332" t="s">
        <v>1910</v>
      </c>
      <c r="C1070" s="1343" t="s">
        <v>1293</v>
      </c>
      <c r="D1070" s="1338">
        <v>520</v>
      </c>
      <c r="E1070" s="1363">
        <f>D1070*$E$5</f>
        <v>552.76</v>
      </c>
    </row>
    <row r="1071" spans="1:5" s="1266" customFormat="1">
      <c r="A1071" s="1311"/>
      <c r="B1071" s="1332"/>
      <c r="C1071" s="1343"/>
      <c r="D1071" s="1338"/>
      <c r="E1071" s="1338"/>
    </row>
    <row r="1072" spans="1:5" s="1266" customFormat="1" ht="30">
      <c r="A1072" s="1311"/>
      <c r="B1072" s="1332" t="s">
        <v>1911</v>
      </c>
      <c r="C1072" s="1343" t="s">
        <v>1293</v>
      </c>
      <c r="D1072" s="1338">
        <v>650</v>
      </c>
      <c r="E1072" s="1363">
        <f>D1072*$E$5</f>
        <v>690.94999999999993</v>
      </c>
    </row>
    <row r="1073" spans="1:5" s="1266" customFormat="1">
      <c r="A1073" s="1311"/>
      <c r="B1073" s="1332"/>
      <c r="C1073" s="1343"/>
      <c r="D1073" s="1338"/>
      <c r="E1073" s="1338"/>
    </row>
    <row r="1074" spans="1:5" s="1266" customFormat="1">
      <c r="A1074" s="1311"/>
      <c r="B1074" s="1332" t="s">
        <v>1913</v>
      </c>
      <c r="C1074" s="1343" t="s">
        <v>1293</v>
      </c>
      <c r="D1074" s="1338">
        <v>480</v>
      </c>
      <c r="E1074" s="1363">
        <f>D1074*$E$5</f>
        <v>510.23999999999995</v>
      </c>
    </row>
    <row r="1075" spans="1:5" s="1266" customFormat="1">
      <c r="A1075" s="1311"/>
      <c r="B1075" s="1332"/>
      <c r="C1075" s="1343"/>
      <c r="D1075" s="1338"/>
      <c r="E1075" s="1338"/>
    </row>
    <row r="1076" spans="1:5" s="1266" customFormat="1">
      <c r="A1076" s="1311"/>
      <c r="B1076" s="1332" t="s">
        <v>1915</v>
      </c>
      <c r="C1076" s="1343" t="s">
        <v>1293</v>
      </c>
      <c r="D1076" s="1338">
        <v>480</v>
      </c>
      <c r="E1076" s="1363">
        <f>D1076*$E$5</f>
        <v>510.23999999999995</v>
      </c>
    </row>
    <row r="1077" spans="1:5" s="1266" customFormat="1">
      <c r="A1077" s="1311"/>
      <c r="B1077" s="1332"/>
      <c r="C1077" s="1343"/>
      <c r="D1077" s="1338"/>
      <c r="E1077" s="1338"/>
    </row>
    <row r="1078" spans="1:5" s="1266" customFormat="1">
      <c r="A1078" s="1311"/>
      <c r="B1078" s="1332" t="s">
        <v>1842</v>
      </c>
      <c r="C1078" s="1343" t="s">
        <v>1293</v>
      </c>
      <c r="D1078" s="1338">
        <v>600</v>
      </c>
      <c r="E1078" s="1363">
        <f>D1078*$E$5</f>
        <v>637.79999999999995</v>
      </c>
    </row>
    <row r="1079" spans="1:5" s="1266" customFormat="1">
      <c r="A1079" s="1311"/>
      <c r="B1079" s="1332"/>
      <c r="C1079" s="1343"/>
      <c r="D1079" s="1338"/>
      <c r="E1079" s="1338"/>
    </row>
    <row r="1080" spans="1:5" s="1266" customFormat="1" ht="30">
      <c r="A1080" s="1311"/>
      <c r="B1080" s="1332" t="s">
        <v>1916</v>
      </c>
      <c r="C1080" s="1343" t="s">
        <v>1293</v>
      </c>
      <c r="D1080" s="1338">
        <v>750</v>
      </c>
      <c r="E1080" s="1363">
        <f>D1080*$E$5</f>
        <v>797.25</v>
      </c>
    </row>
    <row r="1081" spans="1:5" s="1266" customFormat="1">
      <c r="A1081" s="1311"/>
      <c r="B1081" s="1332"/>
      <c r="C1081" s="1343"/>
      <c r="D1081" s="1338"/>
      <c r="E1081" s="1338"/>
    </row>
    <row r="1082" spans="1:5" s="1266" customFormat="1" ht="30">
      <c r="A1082" s="1311"/>
      <c r="B1082" s="1332" t="s">
        <v>1917</v>
      </c>
      <c r="C1082" s="1343" t="s">
        <v>215</v>
      </c>
      <c r="D1082" s="1338">
        <v>280</v>
      </c>
      <c r="E1082" s="1363">
        <f>D1082*$E$5</f>
        <v>297.64</v>
      </c>
    </row>
    <row r="1083" spans="1:5" s="1266" customFormat="1">
      <c r="A1083" s="1311"/>
      <c r="B1083" s="1332"/>
      <c r="C1083" s="1343"/>
      <c r="D1083" s="1338"/>
      <c r="E1083" s="1338"/>
    </row>
    <row r="1084" spans="1:5" s="1266" customFormat="1">
      <c r="A1084" s="1311"/>
      <c r="B1084" s="1332" t="s">
        <v>1918</v>
      </c>
      <c r="C1084" s="1343" t="s">
        <v>1293</v>
      </c>
      <c r="D1084" s="1338">
        <v>250</v>
      </c>
      <c r="E1084" s="1363">
        <f>D1084*$E$5</f>
        <v>265.75</v>
      </c>
    </row>
    <row r="1085" spans="1:5" s="1266" customFormat="1">
      <c r="A1085" s="1311"/>
      <c r="B1085" s="1332"/>
      <c r="C1085" s="1343"/>
      <c r="D1085" s="1338"/>
      <c r="E1085" s="1338"/>
    </row>
    <row r="1086" spans="1:5" s="1266" customFormat="1" ht="30">
      <c r="A1086" s="1311"/>
      <c r="B1086" s="1332" t="s">
        <v>1347</v>
      </c>
      <c r="C1086" s="1343" t="s">
        <v>215</v>
      </c>
      <c r="D1086" s="1338">
        <v>125</v>
      </c>
      <c r="E1086" s="1363">
        <f>D1086*$E$5</f>
        <v>132.875</v>
      </c>
    </row>
    <row r="1087" spans="1:5" s="1266" customFormat="1">
      <c r="A1087" s="1311"/>
      <c r="B1087" s="1332"/>
      <c r="C1087" s="1343"/>
      <c r="D1087" s="1338"/>
      <c r="E1087" s="1338"/>
    </row>
    <row r="1088" spans="1:5" s="1266" customFormat="1">
      <c r="A1088" s="1311"/>
      <c r="B1088" s="1331" t="s">
        <v>1919</v>
      </c>
      <c r="C1088" s="1343"/>
      <c r="D1088" s="1338"/>
      <c r="E1088" s="1338"/>
    </row>
    <row r="1089" spans="1:5" s="1266" customFormat="1">
      <c r="A1089" s="1311"/>
      <c r="B1089" s="1332"/>
      <c r="C1089" s="1343"/>
      <c r="D1089" s="1338"/>
      <c r="E1089" s="1338"/>
    </row>
    <row r="1090" spans="1:5" s="1266" customFormat="1">
      <c r="A1090" s="1311"/>
      <c r="B1090" s="1332" t="s">
        <v>1920</v>
      </c>
      <c r="C1090" s="1343" t="s">
        <v>217</v>
      </c>
      <c r="D1090" s="1338">
        <v>5899.28</v>
      </c>
      <c r="E1090" s="1363">
        <f>D1090*$E$5</f>
        <v>6270.9346399999995</v>
      </c>
    </row>
    <row r="1091" spans="1:5" s="1266" customFormat="1">
      <c r="A1091" s="1311"/>
      <c r="B1091" s="1332"/>
      <c r="C1091" s="1343"/>
      <c r="D1091" s="1338"/>
      <c r="E1091" s="1338"/>
    </row>
    <row r="1092" spans="1:5" s="1266" customFormat="1">
      <c r="A1092" s="1311"/>
      <c r="B1092" s="1332" t="s">
        <v>1921</v>
      </c>
      <c r="C1092" s="1343" t="s">
        <v>217</v>
      </c>
      <c r="D1092" s="1338">
        <v>11161.12</v>
      </c>
      <c r="E1092" s="1363">
        <f>D1092*$E$5</f>
        <v>11864.270560000001</v>
      </c>
    </row>
    <row r="1093" spans="1:5" s="1266" customFormat="1">
      <c r="A1093" s="1311"/>
      <c r="B1093" s="1332"/>
      <c r="C1093" s="1343"/>
      <c r="D1093" s="1338"/>
      <c r="E1093" s="1338"/>
    </row>
    <row r="1094" spans="1:5" s="1266" customFormat="1">
      <c r="A1094" s="1311"/>
      <c r="B1094" s="1332" t="s">
        <v>1922</v>
      </c>
      <c r="C1094" s="1343" t="s">
        <v>217</v>
      </c>
      <c r="D1094" s="1338">
        <v>6731</v>
      </c>
      <c r="E1094" s="1363">
        <f>D1094*$E$5</f>
        <v>7155.0529999999999</v>
      </c>
    </row>
    <row r="1095" spans="1:5" s="1266" customFormat="1">
      <c r="A1095" s="1311"/>
      <c r="B1095" s="1332"/>
      <c r="C1095" s="1343"/>
      <c r="D1095" s="1338"/>
      <c r="E1095" s="1338"/>
    </row>
    <row r="1096" spans="1:5" s="1266" customFormat="1">
      <c r="A1096" s="1311"/>
      <c r="B1096" s="1332" t="s">
        <v>1923</v>
      </c>
      <c r="C1096" s="1343" t="s">
        <v>217</v>
      </c>
      <c r="D1096" s="1338">
        <v>8374</v>
      </c>
      <c r="E1096" s="1363">
        <f>D1096*$E$5</f>
        <v>8901.5619999999999</v>
      </c>
    </row>
    <row r="1097" spans="1:5" s="1266" customFormat="1">
      <c r="A1097" s="1311"/>
      <c r="B1097" s="1332"/>
      <c r="C1097" s="1343"/>
      <c r="D1097" s="1338"/>
      <c r="E1097" s="1338"/>
    </row>
    <row r="1098" spans="1:5" s="1266" customFormat="1">
      <c r="A1098" s="1311"/>
      <c r="B1098" s="1332" t="s">
        <v>1924</v>
      </c>
      <c r="C1098" s="1343" t="s">
        <v>217</v>
      </c>
      <c r="D1098" s="1338">
        <v>8851</v>
      </c>
      <c r="E1098" s="1363">
        <f>D1098*$E$5</f>
        <v>9408.6129999999994</v>
      </c>
    </row>
    <row r="1099" spans="1:5" s="1266" customFormat="1">
      <c r="A1099" s="1311"/>
      <c r="B1099" s="1332"/>
      <c r="C1099" s="1343"/>
      <c r="D1099" s="1338"/>
      <c r="E1099" s="1338"/>
    </row>
    <row r="1100" spans="1:5" s="1266" customFormat="1">
      <c r="A1100" s="1311"/>
      <c r="B1100" s="1332" t="s">
        <v>1925</v>
      </c>
      <c r="C1100" s="1343" t="s">
        <v>217</v>
      </c>
      <c r="D1100" s="1338">
        <v>10971</v>
      </c>
      <c r="E1100" s="1363">
        <f>D1100*$E$5</f>
        <v>11662.172999999999</v>
      </c>
    </row>
    <row r="1101" spans="1:5" s="1266" customFormat="1">
      <c r="A1101" s="1311"/>
      <c r="B1101" s="1332"/>
      <c r="C1101" s="1343"/>
      <c r="D1101" s="1338"/>
      <c r="E1101" s="1338"/>
    </row>
    <row r="1102" spans="1:5" s="1266" customFormat="1">
      <c r="A1102" s="1311"/>
      <c r="B1102" s="1332" t="s">
        <v>1926</v>
      </c>
      <c r="C1102" s="1343" t="s">
        <v>217</v>
      </c>
      <c r="D1102" s="1338">
        <v>13398.4</v>
      </c>
      <c r="E1102" s="1363">
        <f>D1102*$E$5</f>
        <v>14242.499199999998</v>
      </c>
    </row>
    <row r="1103" spans="1:5" s="1266" customFormat="1">
      <c r="A1103" s="1311"/>
      <c r="B1103" s="1332"/>
      <c r="C1103" s="1343"/>
      <c r="D1103" s="1338"/>
      <c r="E1103" s="1338"/>
    </row>
    <row r="1104" spans="1:5" s="1266" customFormat="1">
      <c r="A1104" s="1311"/>
      <c r="B1104" s="1332" t="s">
        <v>1927</v>
      </c>
      <c r="C1104" s="1343" t="s">
        <v>217</v>
      </c>
      <c r="D1104" s="1338">
        <v>18656</v>
      </c>
      <c r="E1104" s="1363">
        <f>D1104*$E$5</f>
        <v>19831.327999999998</v>
      </c>
    </row>
    <row r="1105" spans="1:5" s="1266" customFormat="1">
      <c r="A1105" s="1311"/>
      <c r="B1105" s="1332"/>
      <c r="C1105" s="1343"/>
      <c r="D1105" s="1338"/>
      <c r="E1105" s="1338"/>
    </row>
    <row r="1106" spans="1:5" s="1266" customFormat="1">
      <c r="A1106" s="1311"/>
      <c r="B1106" s="1332" t="s">
        <v>1928</v>
      </c>
      <c r="C1106" s="1343" t="s">
        <v>217</v>
      </c>
      <c r="D1106" s="1338">
        <v>19716</v>
      </c>
      <c r="E1106" s="1363">
        <f>D1106*$E$5</f>
        <v>20958.108</v>
      </c>
    </row>
    <row r="1107" spans="1:5" s="1266" customFormat="1">
      <c r="A1107" s="1311"/>
      <c r="B1107" s="1332"/>
      <c r="C1107" s="1343"/>
      <c r="D1107" s="1338"/>
      <c r="E1107" s="1338"/>
    </row>
    <row r="1108" spans="1:5" s="1266" customFormat="1">
      <c r="A1108" s="1311"/>
      <c r="B1108" s="1331" t="s">
        <v>1929</v>
      </c>
      <c r="C1108" s="1343"/>
      <c r="D1108" s="1338"/>
      <c r="E1108" s="1338"/>
    </row>
    <row r="1109" spans="1:5" s="1266" customFormat="1">
      <c r="A1109" s="1311"/>
      <c r="B1109" s="1332"/>
      <c r="C1109" s="1343"/>
      <c r="D1109" s="1338"/>
      <c r="E1109" s="1338"/>
    </row>
    <row r="1110" spans="1:5" s="1266" customFormat="1">
      <c r="A1110" s="1311"/>
      <c r="B1110" s="1332" t="s">
        <v>1930</v>
      </c>
      <c r="C1110" s="1343" t="s">
        <v>1293</v>
      </c>
      <c r="D1110" s="1338">
        <v>215</v>
      </c>
      <c r="E1110" s="1363">
        <f>D1110*$E$5</f>
        <v>228.54499999999999</v>
      </c>
    </row>
    <row r="1111" spans="1:5" s="1266" customFormat="1">
      <c r="A1111" s="1311"/>
      <c r="B1111" s="1332"/>
      <c r="C1111" s="1343"/>
      <c r="D1111" s="1338"/>
      <c r="E1111" s="1338"/>
    </row>
    <row r="1112" spans="1:5" s="1266" customFormat="1" ht="30">
      <c r="A1112" s="1311"/>
      <c r="B1112" s="1332" t="s">
        <v>1931</v>
      </c>
      <c r="C1112" s="1343" t="s">
        <v>1293</v>
      </c>
      <c r="D1112" s="1338">
        <v>215</v>
      </c>
      <c r="E1112" s="1363">
        <f>D1112*$E$5</f>
        <v>228.54499999999999</v>
      </c>
    </row>
    <row r="1113" spans="1:5" s="1266" customFormat="1">
      <c r="A1113" s="1311"/>
      <c r="B1113" s="1332"/>
      <c r="C1113" s="1343"/>
      <c r="D1113" s="1338"/>
      <c r="E1113" s="1338"/>
    </row>
    <row r="1114" spans="1:5" s="1266" customFormat="1" ht="30">
      <c r="A1114" s="1311"/>
      <c r="B1114" s="1332" t="s">
        <v>1932</v>
      </c>
      <c r="C1114" s="1343" t="s">
        <v>1293</v>
      </c>
      <c r="D1114" s="1338">
        <v>215</v>
      </c>
      <c r="E1114" s="1363">
        <f>D1114*$E$5</f>
        <v>228.54499999999999</v>
      </c>
    </row>
    <row r="1115" spans="1:5" s="1266" customFormat="1">
      <c r="A1115" s="1311"/>
      <c r="B1115" s="1332"/>
      <c r="C1115" s="1343"/>
      <c r="D1115" s="1338"/>
      <c r="E1115" s="1338"/>
    </row>
    <row r="1116" spans="1:5" s="1266" customFormat="1">
      <c r="A1116" s="1311"/>
      <c r="B1116" s="1332" t="s">
        <v>1933</v>
      </c>
      <c r="C1116" s="1343" t="s">
        <v>1293</v>
      </c>
      <c r="D1116" s="1338">
        <v>450</v>
      </c>
      <c r="E1116" s="1363">
        <f>D1116*$E$5</f>
        <v>478.34999999999997</v>
      </c>
    </row>
    <row r="1117" spans="1:5" s="1266" customFormat="1">
      <c r="A1117" s="1311"/>
      <c r="B1117" s="1332"/>
      <c r="C1117" s="1343"/>
      <c r="D1117" s="1338"/>
      <c r="E1117" s="1338"/>
    </row>
    <row r="1118" spans="1:5" s="1266" customFormat="1" ht="30">
      <c r="A1118" s="1311"/>
      <c r="B1118" s="1332" t="s">
        <v>1934</v>
      </c>
      <c r="C1118" s="1343" t="s">
        <v>1293</v>
      </c>
      <c r="D1118" s="1338">
        <v>450</v>
      </c>
      <c r="E1118" s="1363">
        <f>D1118*$E$5</f>
        <v>478.34999999999997</v>
      </c>
    </row>
    <row r="1119" spans="1:5" s="1266" customFormat="1">
      <c r="A1119" s="1311"/>
      <c r="B1119" s="1332"/>
      <c r="C1119" s="1343"/>
      <c r="D1119" s="1338"/>
      <c r="E1119" s="1338"/>
    </row>
    <row r="1120" spans="1:5" s="1266" customFormat="1" ht="30">
      <c r="A1120" s="1311"/>
      <c r="B1120" s="1332" t="s">
        <v>1935</v>
      </c>
      <c r="C1120" s="1343" t="s">
        <v>1293</v>
      </c>
      <c r="D1120" s="1338">
        <v>450</v>
      </c>
      <c r="E1120" s="1363">
        <f>D1120*$E$5</f>
        <v>478.34999999999997</v>
      </c>
    </row>
    <row r="1121" spans="1:5" s="1266" customFormat="1">
      <c r="A1121" s="1311"/>
      <c r="B1121" s="1332"/>
      <c r="C1121" s="1343"/>
      <c r="D1121" s="1338"/>
      <c r="E1121" s="1338"/>
    </row>
    <row r="1122" spans="1:5" s="1266" customFormat="1" ht="30">
      <c r="A1122" s="1311"/>
      <c r="B1122" s="1332" t="s">
        <v>1936</v>
      </c>
      <c r="C1122" s="1343" t="s">
        <v>1293</v>
      </c>
      <c r="D1122" s="1338">
        <v>480</v>
      </c>
      <c r="E1122" s="1363">
        <f>D1122*$E$5</f>
        <v>510.23999999999995</v>
      </c>
    </row>
    <row r="1123" spans="1:5" s="1266" customFormat="1">
      <c r="A1123" s="1311"/>
      <c r="B1123" s="1332"/>
      <c r="C1123" s="1343"/>
      <c r="D1123" s="1338"/>
      <c r="E1123" s="1338"/>
    </row>
    <row r="1124" spans="1:5" s="1266" customFormat="1" ht="30">
      <c r="A1124" s="1311"/>
      <c r="B1124" s="1332" t="s">
        <v>1937</v>
      </c>
      <c r="C1124" s="1343" t="s">
        <v>1293</v>
      </c>
      <c r="D1124" s="1338">
        <v>480</v>
      </c>
      <c r="E1124" s="1363">
        <f>D1124*$E$5</f>
        <v>510.23999999999995</v>
      </c>
    </row>
    <row r="1125" spans="1:5" s="1266" customFormat="1">
      <c r="A1125" s="1311"/>
      <c r="B1125" s="1332"/>
      <c r="C1125" s="1343"/>
      <c r="D1125" s="1338"/>
      <c r="E1125" s="1338"/>
    </row>
    <row r="1126" spans="1:5" s="1266" customFormat="1" ht="30">
      <c r="A1126" s="1311"/>
      <c r="B1126" s="1332" t="s">
        <v>1938</v>
      </c>
      <c r="C1126" s="1343" t="s">
        <v>1293</v>
      </c>
      <c r="D1126" s="1338">
        <v>260</v>
      </c>
      <c r="E1126" s="1363">
        <f>D1126*$E$5</f>
        <v>276.38</v>
      </c>
    </row>
    <row r="1127" spans="1:5" s="1266" customFormat="1">
      <c r="A1127" s="1311"/>
      <c r="B1127" s="1332"/>
      <c r="C1127" s="1343"/>
      <c r="D1127" s="1338"/>
      <c r="E1127" s="1338"/>
    </row>
    <row r="1128" spans="1:5" s="1266" customFormat="1" ht="45">
      <c r="A1128" s="1311"/>
      <c r="B1128" s="1332" t="s">
        <v>1939</v>
      </c>
      <c r="C1128" s="1343" t="s">
        <v>1293</v>
      </c>
      <c r="D1128" s="1338">
        <v>280</v>
      </c>
      <c r="E1128" s="1363">
        <f>D1128*$E$5</f>
        <v>297.64</v>
      </c>
    </row>
    <row r="1129" spans="1:5" s="1266" customFormat="1">
      <c r="A1129" s="1311"/>
      <c r="B1129" s="1332"/>
      <c r="C1129" s="1343"/>
      <c r="D1129" s="1338"/>
      <c r="E1129" s="1338"/>
    </row>
    <row r="1130" spans="1:5" s="1266" customFormat="1" ht="30">
      <c r="A1130" s="1311"/>
      <c r="B1130" s="1332" t="s">
        <v>1903</v>
      </c>
      <c r="C1130" s="1343" t="s">
        <v>1293</v>
      </c>
      <c r="D1130" s="1338">
        <v>427</v>
      </c>
      <c r="E1130" s="1363">
        <f>D1130*$E$5</f>
        <v>453.90099999999995</v>
      </c>
    </row>
    <row r="1131" spans="1:5" s="1266" customFormat="1">
      <c r="A1131" s="1311"/>
      <c r="B1131" s="1332"/>
      <c r="C1131" s="1343"/>
      <c r="D1131" s="1338"/>
      <c r="E1131" s="1338"/>
    </row>
    <row r="1132" spans="1:5" s="1266" customFormat="1" ht="30">
      <c r="A1132" s="1311"/>
      <c r="B1132" s="1332" t="s">
        <v>1904</v>
      </c>
      <c r="C1132" s="1343" t="s">
        <v>1293</v>
      </c>
      <c r="D1132" s="1338">
        <v>457</v>
      </c>
      <c r="E1132" s="1363">
        <f>D1132*$E$5</f>
        <v>485.791</v>
      </c>
    </row>
    <row r="1133" spans="1:5" s="1266" customFormat="1">
      <c r="A1133" s="1311"/>
      <c r="B1133" s="1332"/>
      <c r="C1133" s="1343"/>
      <c r="D1133" s="1338"/>
      <c r="E1133" s="1338"/>
    </row>
    <row r="1134" spans="1:5" s="1266" customFormat="1" ht="30">
      <c r="A1134" s="1311"/>
      <c r="B1134" s="1332" t="s">
        <v>1905</v>
      </c>
      <c r="C1134" s="1343" t="s">
        <v>1293</v>
      </c>
      <c r="D1134" s="1338">
        <v>487</v>
      </c>
      <c r="E1134" s="1363">
        <f>D1134*$E$5</f>
        <v>517.68099999999993</v>
      </c>
    </row>
    <row r="1135" spans="1:5" s="1266" customFormat="1">
      <c r="A1135" s="1311"/>
      <c r="B1135" s="1332"/>
      <c r="C1135" s="1343"/>
      <c r="D1135" s="1338"/>
      <c r="E1135" s="1338"/>
    </row>
    <row r="1136" spans="1:5" s="1266" customFormat="1" ht="30">
      <c r="A1136" s="1311"/>
      <c r="B1136" s="1332" t="s">
        <v>1906</v>
      </c>
      <c r="C1136" s="1343" t="s">
        <v>1293</v>
      </c>
      <c r="D1136" s="1338">
        <v>507</v>
      </c>
      <c r="E1136" s="1363">
        <f>D1136*$E$5</f>
        <v>538.94099999999992</v>
      </c>
    </row>
    <row r="1137" spans="1:5" s="1266" customFormat="1">
      <c r="A1137" s="1311"/>
      <c r="B1137" s="1332"/>
      <c r="C1137" s="1343"/>
      <c r="D1137" s="1338"/>
      <c r="E1137" s="1338"/>
    </row>
    <row r="1138" spans="1:5" s="1266" customFormat="1" ht="30">
      <c r="A1138" s="1311"/>
      <c r="B1138" s="1332" t="s">
        <v>1940</v>
      </c>
      <c r="C1138" s="1343" t="s">
        <v>1293</v>
      </c>
      <c r="D1138" s="1338">
        <v>550</v>
      </c>
      <c r="E1138" s="1363">
        <f>D1138*$E$5</f>
        <v>584.65</v>
      </c>
    </row>
    <row r="1139" spans="1:5" s="1266" customFormat="1">
      <c r="A1139" s="1311"/>
      <c r="B1139" s="1332"/>
      <c r="C1139" s="1343"/>
      <c r="D1139" s="1338"/>
      <c r="E1139" s="1338"/>
    </row>
    <row r="1140" spans="1:5" s="1266" customFormat="1" ht="30">
      <c r="A1140" s="1311"/>
      <c r="B1140" s="1332" t="s">
        <v>1916</v>
      </c>
      <c r="C1140" s="1343" t="s">
        <v>1293</v>
      </c>
      <c r="D1140" s="1338">
        <v>650</v>
      </c>
      <c r="E1140" s="1363">
        <f>D1140*$E$5</f>
        <v>690.94999999999993</v>
      </c>
    </row>
    <row r="1141" spans="1:5" s="1266" customFormat="1">
      <c r="A1141" s="1311"/>
      <c r="B1141" s="1332"/>
      <c r="C1141" s="1343"/>
      <c r="D1141" s="1338"/>
      <c r="E1141" s="1338"/>
    </row>
    <row r="1142" spans="1:5" s="1266" customFormat="1">
      <c r="A1142" s="1311"/>
      <c r="B1142" s="1332" t="s">
        <v>1941</v>
      </c>
      <c r="C1142" s="1343" t="s">
        <v>1293</v>
      </c>
      <c r="D1142" s="1338">
        <v>350</v>
      </c>
      <c r="E1142" s="1363">
        <f>D1142*$E$5</f>
        <v>372.04999999999995</v>
      </c>
    </row>
    <row r="1143" spans="1:5" s="1266" customFormat="1">
      <c r="A1143" s="1311"/>
      <c r="B1143" s="1332"/>
      <c r="C1143" s="1343"/>
      <c r="D1143" s="1338"/>
      <c r="E1143" s="1338"/>
    </row>
    <row r="1144" spans="1:5" s="1266" customFormat="1">
      <c r="A1144" s="1311"/>
      <c r="B1144" s="1332" t="s">
        <v>1942</v>
      </c>
      <c r="C1144" s="1343" t="s">
        <v>1293</v>
      </c>
      <c r="D1144" s="1338">
        <v>350</v>
      </c>
      <c r="E1144" s="1363">
        <f>D1144*$E$5</f>
        <v>372.04999999999995</v>
      </c>
    </row>
    <row r="1145" spans="1:5" s="1266" customFormat="1">
      <c r="A1145" s="1311"/>
      <c r="B1145" s="1332"/>
      <c r="C1145" s="1343"/>
      <c r="D1145" s="1338"/>
      <c r="E1145" s="1338"/>
    </row>
    <row r="1146" spans="1:5" s="1266" customFormat="1">
      <c r="A1146" s="1311"/>
      <c r="B1146" s="1331" t="s">
        <v>1943</v>
      </c>
      <c r="C1146" s="1343"/>
      <c r="D1146" s="1338"/>
      <c r="E1146" s="1338"/>
    </row>
    <row r="1147" spans="1:5" s="1266" customFormat="1">
      <c r="A1147" s="1311"/>
      <c r="B1147" s="1332"/>
      <c r="C1147" s="1343"/>
      <c r="D1147" s="1338"/>
      <c r="E1147" s="1338"/>
    </row>
    <row r="1148" spans="1:5" s="1266" customFormat="1" ht="45">
      <c r="A1148" s="1311"/>
      <c r="B1148" s="1332" t="s">
        <v>1944</v>
      </c>
      <c r="C1148" s="1343" t="s">
        <v>1293</v>
      </c>
      <c r="D1148" s="1338">
        <v>550</v>
      </c>
      <c r="E1148" s="1363">
        <f>D1148*$E$5</f>
        <v>584.65</v>
      </c>
    </row>
    <row r="1149" spans="1:5" s="1266" customFormat="1">
      <c r="A1149" s="1311"/>
      <c r="B1149" s="1332"/>
      <c r="C1149" s="1343"/>
      <c r="D1149" s="1338"/>
      <c r="E1149" s="1338"/>
    </row>
    <row r="1150" spans="1:5" s="1266" customFormat="1" ht="45">
      <c r="A1150" s="1311"/>
      <c r="B1150" s="1332" t="s">
        <v>1945</v>
      </c>
      <c r="C1150" s="1343" t="s">
        <v>1293</v>
      </c>
      <c r="D1150" s="1338">
        <v>580</v>
      </c>
      <c r="E1150" s="1363">
        <f>D1150*$E$5</f>
        <v>616.54</v>
      </c>
    </row>
    <row r="1151" spans="1:5" s="1266" customFormat="1">
      <c r="A1151" s="1311"/>
      <c r="B1151" s="1332"/>
      <c r="C1151" s="1343"/>
      <c r="D1151" s="1338"/>
      <c r="E1151" s="1338"/>
    </row>
    <row r="1152" spans="1:5" s="1266" customFormat="1" ht="45">
      <c r="A1152" s="1311"/>
      <c r="B1152" s="1332" t="s">
        <v>1946</v>
      </c>
      <c r="C1152" s="1343" t="s">
        <v>1293</v>
      </c>
      <c r="D1152" s="1338">
        <v>620</v>
      </c>
      <c r="E1152" s="1363">
        <f>D1152*$E$5</f>
        <v>659.06</v>
      </c>
    </row>
    <row r="1153" spans="1:5" s="1266" customFormat="1">
      <c r="A1153" s="1311"/>
      <c r="B1153" s="1332"/>
      <c r="C1153" s="1343"/>
      <c r="D1153" s="1338"/>
      <c r="E1153" s="1338"/>
    </row>
    <row r="1154" spans="1:5" s="1266" customFormat="1" ht="45">
      <c r="A1154" s="1311"/>
      <c r="B1154" s="1332" t="s">
        <v>1947</v>
      </c>
      <c r="C1154" s="1343" t="s">
        <v>1293</v>
      </c>
      <c r="D1154" s="1338">
        <v>550</v>
      </c>
      <c r="E1154" s="1363">
        <f>D1154*$E$5</f>
        <v>584.65</v>
      </c>
    </row>
    <row r="1155" spans="1:5" s="1266" customFormat="1">
      <c r="A1155" s="1311"/>
      <c r="B1155" s="1332"/>
      <c r="C1155" s="1343"/>
      <c r="D1155" s="1338"/>
      <c r="E1155" s="1338"/>
    </row>
    <row r="1156" spans="1:5" s="1266" customFormat="1" ht="45">
      <c r="A1156" s="1311"/>
      <c r="B1156" s="1332" t="s">
        <v>1948</v>
      </c>
      <c r="C1156" s="1343" t="s">
        <v>1293</v>
      </c>
      <c r="D1156" s="1338">
        <v>550</v>
      </c>
      <c r="E1156" s="1363">
        <f>D1156*$E$5</f>
        <v>584.65</v>
      </c>
    </row>
    <row r="1157" spans="1:5" s="1266" customFormat="1">
      <c r="A1157" s="1311"/>
      <c r="B1157" s="1332"/>
      <c r="C1157" s="1343"/>
      <c r="D1157" s="1338"/>
      <c r="E1157" s="1338"/>
    </row>
    <row r="1158" spans="1:5" s="1266" customFormat="1" ht="45">
      <c r="A1158" s="1311"/>
      <c r="B1158" s="1332" t="s">
        <v>1949</v>
      </c>
      <c r="C1158" s="1343" t="s">
        <v>1293</v>
      </c>
      <c r="D1158" s="1338">
        <v>550</v>
      </c>
      <c r="E1158" s="1363">
        <f>D1158*$E$5</f>
        <v>584.65</v>
      </c>
    </row>
    <row r="1159" spans="1:5" s="1266" customFormat="1">
      <c r="A1159" s="1311"/>
      <c r="B1159" s="1332"/>
      <c r="C1159" s="1343"/>
      <c r="D1159" s="1338"/>
      <c r="E1159" s="1338"/>
    </row>
    <row r="1160" spans="1:5" s="1266" customFormat="1" ht="45">
      <c r="A1160" s="1311"/>
      <c r="B1160" s="1332" t="s">
        <v>1950</v>
      </c>
      <c r="C1160" s="1343" t="s">
        <v>1293</v>
      </c>
      <c r="D1160" s="1338">
        <v>550</v>
      </c>
      <c r="E1160" s="1363">
        <f>D1160*$E$5</f>
        <v>584.65</v>
      </c>
    </row>
    <row r="1161" spans="1:5" s="1266" customFormat="1">
      <c r="A1161" s="1311"/>
      <c r="B1161" s="1332"/>
      <c r="C1161" s="1343"/>
      <c r="D1161" s="1338"/>
      <c r="E1161" s="1338"/>
    </row>
    <row r="1162" spans="1:5" s="1266" customFormat="1" ht="45">
      <c r="A1162" s="1311"/>
      <c r="B1162" s="1332" t="s">
        <v>1951</v>
      </c>
      <c r="C1162" s="1343" t="s">
        <v>1293</v>
      </c>
      <c r="D1162" s="1338">
        <v>550</v>
      </c>
      <c r="E1162" s="1363">
        <f>D1162*$E$5</f>
        <v>584.65</v>
      </c>
    </row>
    <row r="1163" spans="1:5" s="1266" customFormat="1">
      <c r="A1163" s="1311"/>
      <c r="B1163" s="1332"/>
      <c r="C1163" s="1343"/>
      <c r="D1163" s="1338"/>
      <c r="E1163" s="1338"/>
    </row>
    <row r="1164" spans="1:5" s="1266" customFormat="1" ht="30">
      <c r="A1164" s="1311"/>
      <c r="B1164" s="1332" t="s">
        <v>1952</v>
      </c>
      <c r="C1164" s="1343" t="s">
        <v>217</v>
      </c>
      <c r="D1164" s="1338">
        <v>320</v>
      </c>
      <c r="E1164" s="1363">
        <f>D1164*$E$5</f>
        <v>340.15999999999997</v>
      </c>
    </row>
    <row r="1165" spans="1:5" s="1266" customFormat="1">
      <c r="A1165" s="1311"/>
      <c r="B1165" s="1332"/>
      <c r="C1165" s="1343"/>
      <c r="D1165" s="1338"/>
      <c r="E1165" s="1338"/>
    </row>
    <row r="1166" spans="1:5" s="1266" customFormat="1" ht="30">
      <c r="A1166" s="1311"/>
      <c r="B1166" s="1332" t="s">
        <v>1953</v>
      </c>
      <c r="C1166" s="1343" t="s">
        <v>217</v>
      </c>
      <c r="D1166" s="1338">
        <v>50</v>
      </c>
      <c r="E1166" s="1363">
        <f>D1166*$E$5</f>
        <v>53.15</v>
      </c>
    </row>
    <row r="1167" spans="1:5" s="1266" customFormat="1">
      <c r="A1167" s="1311"/>
      <c r="B1167" s="1332"/>
      <c r="C1167" s="1343"/>
      <c r="D1167" s="1338"/>
      <c r="E1167" s="1338"/>
    </row>
    <row r="1168" spans="1:5" s="1266" customFormat="1">
      <c r="A1168" s="1311"/>
      <c r="B1168" s="1331" t="s">
        <v>1954</v>
      </c>
      <c r="C1168" s="1343"/>
      <c r="D1168" s="1338"/>
      <c r="E1168" s="1338"/>
    </row>
    <row r="1169" spans="1:5" s="1266" customFormat="1">
      <c r="A1169" s="1311"/>
      <c r="B1169" s="1332"/>
      <c r="C1169" s="1343"/>
      <c r="D1169" s="1338"/>
      <c r="E1169" s="1338"/>
    </row>
    <row r="1170" spans="1:5" s="1266" customFormat="1" ht="45">
      <c r="A1170" s="1311"/>
      <c r="B1170" s="1332" t="s">
        <v>1955</v>
      </c>
      <c r="C1170" s="1343" t="s">
        <v>1293</v>
      </c>
      <c r="D1170" s="1338">
        <v>550</v>
      </c>
      <c r="E1170" s="1363">
        <f>D1170*$E$5</f>
        <v>584.65</v>
      </c>
    </row>
    <row r="1171" spans="1:5" s="1266" customFormat="1">
      <c r="A1171" s="1311"/>
      <c r="B1171" s="1332"/>
      <c r="C1171" s="1343"/>
      <c r="D1171" s="1338"/>
      <c r="E1171" s="1338"/>
    </row>
    <row r="1172" spans="1:5" s="1266" customFormat="1" ht="45">
      <c r="A1172" s="1311"/>
      <c r="B1172" s="1332" t="s">
        <v>1956</v>
      </c>
      <c r="C1172" s="1343" t="s">
        <v>1293</v>
      </c>
      <c r="D1172" s="1338">
        <v>550</v>
      </c>
      <c r="E1172" s="1363">
        <f>D1172*$E$5</f>
        <v>584.65</v>
      </c>
    </row>
    <row r="1173" spans="1:5" s="1266" customFormat="1">
      <c r="A1173" s="1311"/>
      <c r="B1173" s="1332"/>
      <c r="C1173" s="1343"/>
      <c r="D1173" s="1338"/>
      <c r="E1173" s="1338"/>
    </row>
    <row r="1174" spans="1:5" s="1266" customFormat="1" ht="45">
      <c r="A1174" s="1311"/>
      <c r="B1174" s="1332" t="s">
        <v>1957</v>
      </c>
      <c r="C1174" s="1343" t="s">
        <v>1293</v>
      </c>
      <c r="D1174" s="1338">
        <v>550</v>
      </c>
      <c r="E1174" s="1363">
        <f>D1174*$E$5</f>
        <v>584.65</v>
      </c>
    </row>
    <row r="1175" spans="1:5" s="1266" customFormat="1">
      <c r="A1175" s="1311"/>
      <c r="B1175" s="1332"/>
      <c r="C1175" s="1343"/>
      <c r="D1175" s="1338"/>
      <c r="E1175" s="1338"/>
    </row>
    <row r="1176" spans="1:5" s="1266" customFormat="1" ht="45">
      <c r="A1176" s="1311"/>
      <c r="B1176" s="1332" t="s">
        <v>1958</v>
      </c>
      <c r="C1176" s="1343" t="s">
        <v>1293</v>
      </c>
      <c r="D1176" s="1338">
        <v>550</v>
      </c>
      <c r="E1176" s="1363">
        <f>D1176*$E$5</f>
        <v>584.65</v>
      </c>
    </row>
    <row r="1177" spans="1:5" s="1266" customFormat="1">
      <c r="A1177" s="1311"/>
      <c r="B1177" s="1332"/>
      <c r="C1177" s="1343"/>
      <c r="D1177" s="1338"/>
      <c r="E1177" s="1338"/>
    </row>
    <row r="1178" spans="1:5" s="1266" customFormat="1" ht="45">
      <c r="A1178" s="1311"/>
      <c r="B1178" s="1332" t="s">
        <v>1959</v>
      </c>
      <c r="C1178" s="1343" t="s">
        <v>1293</v>
      </c>
      <c r="D1178" s="1338">
        <v>550</v>
      </c>
      <c r="E1178" s="1363">
        <f>D1178*$E$5</f>
        <v>584.65</v>
      </c>
    </row>
    <row r="1179" spans="1:5" s="1266" customFormat="1">
      <c r="A1179" s="1311"/>
      <c r="B1179" s="1332"/>
      <c r="C1179" s="1343"/>
      <c r="D1179" s="1338"/>
      <c r="E1179" s="1338"/>
    </row>
    <row r="1180" spans="1:5" s="1266" customFormat="1" ht="45">
      <c r="A1180" s="1311"/>
      <c r="B1180" s="1332" t="s">
        <v>1960</v>
      </c>
      <c r="C1180" s="1343" t="s">
        <v>1293</v>
      </c>
      <c r="D1180" s="1338">
        <v>550</v>
      </c>
      <c r="E1180" s="1363">
        <f>D1180*$E$5</f>
        <v>584.65</v>
      </c>
    </row>
    <row r="1181" spans="1:5" s="1266" customFormat="1">
      <c r="A1181" s="1311"/>
      <c r="B1181" s="1332"/>
      <c r="C1181" s="1343"/>
      <c r="D1181" s="1338"/>
      <c r="E1181" s="1338"/>
    </row>
    <row r="1182" spans="1:5" s="1266" customFormat="1" ht="45">
      <c r="A1182" s="1311"/>
      <c r="B1182" s="1332" t="s">
        <v>1961</v>
      </c>
      <c r="C1182" s="1343" t="s">
        <v>1293</v>
      </c>
      <c r="D1182" s="1338">
        <v>550</v>
      </c>
      <c r="E1182" s="1363">
        <f>D1182*$E$5</f>
        <v>584.65</v>
      </c>
    </row>
    <row r="1183" spans="1:5" s="1266" customFormat="1">
      <c r="A1183" s="1311"/>
      <c r="B1183" s="1332"/>
      <c r="C1183" s="1343"/>
      <c r="D1183" s="1338"/>
      <c r="E1183" s="1338"/>
    </row>
    <row r="1184" spans="1:5" s="1266" customFormat="1" ht="45">
      <c r="A1184" s="1311"/>
      <c r="B1184" s="1332" t="s">
        <v>1962</v>
      </c>
      <c r="C1184" s="1343" t="s">
        <v>1293</v>
      </c>
      <c r="D1184" s="1338">
        <v>550</v>
      </c>
      <c r="E1184" s="1363">
        <f>D1184*$E$5</f>
        <v>584.65</v>
      </c>
    </row>
    <row r="1185" spans="1:5" s="1266" customFormat="1">
      <c r="A1185" s="1311"/>
      <c r="B1185" s="1332"/>
      <c r="C1185" s="1343"/>
      <c r="D1185" s="1338"/>
      <c r="E1185" s="1338"/>
    </row>
    <row r="1186" spans="1:5" s="1266" customFormat="1">
      <c r="A1186" s="1311"/>
      <c r="B1186" s="1331" t="s">
        <v>1963</v>
      </c>
      <c r="C1186" s="1343"/>
      <c r="D1186" s="1338"/>
      <c r="E1186" s="1338"/>
    </row>
    <row r="1187" spans="1:5" s="1266" customFormat="1">
      <c r="A1187" s="1311"/>
      <c r="B1187" s="1332"/>
      <c r="C1187" s="1343"/>
      <c r="D1187" s="1338"/>
      <c r="E1187" s="1338"/>
    </row>
    <row r="1188" spans="1:5" s="1266" customFormat="1">
      <c r="A1188" s="1311"/>
      <c r="B1188" s="1332" t="s">
        <v>1964</v>
      </c>
      <c r="C1188" s="1343" t="s">
        <v>215</v>
      </c>
      <c r="D1188" s="1338">
        <v>30</v>
      </c>
      <c r="E1188" s="1363">
        <f>D1188*$E$5</f>
        <v>31.889999999999997</v>
      </c>
    </row>
    <row r="1189" spans="1:5" s="1266" customFormat="1">
      <c r="A1189" s="1311"/>
      <c r="B1189" s="1332"/>
      <c r="C1189" s="1343"/>
      <c r="D1189" s="1338"/>
      <c r="E1189" s="1338"/>
    </row>
    <row r="1190" spans="1:5" s="1266" customFormat="1">
      <c r="A1190" s="1311"/>
      <c r="B1190" s="1332" t="s">
        <v>1965</v>
      </c>
      <c r="C1190" s="1343" t="s">
        <v>215</v>
      </c>
      <c r="D1190" s="1338">
        <v>30</v>
      </c>
      <c r="E1190" s="1363">
        <f>D1190*$E$5</f>
        <v>31.889999999999997</v>
      </c>
    </row>
    <row r="1191" spans="1:5" s="1266" customFormat="1">
      <c r="A1191" s="1311"/>
      <c r="B1191" s="1332"/>
      <c r="C1191" s="1343"/>
      <c r="D1191" s="1338"/>
      <c r="E1191" s="1338"/>
    </row>
    <row r="1192" spans="1:5" s="1266" customFormat="1">
      <c r="A1192" s="1311"/>
      <c r="B1192" s="1331" t="s">
        <v>1966</v>
      </c>
      <c r="C1192" s="1343"/>
      <c r="D1192" s="1338"/>
      <c r="E1192" s="1338"/>
    </row>
    <row r="1193" spans="1:5" s="1266" customFormat="1">
      <c r="A1193" s="1311"/>
      <c r="B1193" s="1332"/>
      <c r="C1193" s="1343"/>
      <c r="D1193" s="1338"/>
      <c r="E1193" s="1338"/>
    </row>
    <row r="1194" spans="1:5" s="1266" customFormat="1" ht="30">
      <c r="A1194" s="1311"/>
      <c r="B1194" s="1332" t="s">
        <v>1967</v>
      </c>
      <c r="C1194" s="1343" t="s">
        <v>217</v>
      </c>
      <c r="D1194" s="1338">
        <v>500</v>
      </c>
      <c r="E1194" s="1363">
        <f>D1194*$E$5</f>
        <v>531.5</v>
      </c>
    </row>
    <row r="1195" spans="1:5" s="1266" customFormat="1">
      <c r="A1195" s="1311"/>
      <c r="B1195" s="1332"/>
      <c r="C1195" s="1343"/>
      <c r="D1195" s="1338"/>
      <c r="E1195" s="1338"/>
    </row>
    <row r="1196" spans="1:5" s="1266" customFormat="1" ht="30">
      <c r="A1196" s="1311"/>
      <c r="B1196" s="1332" t="s">
        <v>1968</v>
      </c>
      <c r="C1196" s="1343" t="s">
        <v>217</v>
      </c>
      <c r="D1196" s="1338">
        <v>850</v>
      </c>
      <c r="E1196" s="1363">
        <f>D1196*$E$5</f>
        <v>903.55</v>
      </c>
    </row>
    <row r="1197" spans="1:5" s="1266" customFormat="1">
      <c r="A1197" s="1311"/>
      <c r="B1197" s="1332"/>
      <c r="C1197" s="1343"/>
      <c r="D1197" s="1338"/>
      <c r="E1197" s="1338"/>
    </row>
    <row r="1198" spans="1:5" s="1266" customFormat="1" ht="30">
      <c r="A1198" s="1311"/>
      <c r="B1198" s="1332" t="s">
        <v>1968</v>
      </c>
      <c r="C1198" s="1343" t="s">
        <v>217</v>
      </c>
      <c r="D1198" s="1338">
        <v>850</v>
      </c>
      <c r="E1198" s="1363">
        <f>D1198*$E$5</f>
        <v>903.55</v>
      </c>
    </row>
    <row r="1199" spans="1:5" s="1266" customFormat="1">
      <c r="A1199" s="1311"/>
      <c r="B1199" s="1332"/>
      <c r="C1199" s="1343"/>
      <c r="D1199" s="1338"/>
      <c r="E1199" s="1338"/>
    </row>
    <row r="1200" spans="1:5" s="1266" customFormat="1" ht="30">
      <c r="A1200" s="1311"/>
      <c r="B1200" s="1332" t="s">
        <v>1969</v>
      </c>
      <c r="C1200" s="1343" t="s">
        <v>217</v>
      </c>
      <c r="D1200" s="1338">
        <v>350</v>
      </c>
      <c r="E1200" s="1363">
        <f>D1200*$E$5</f>
        <v>372.04999999999995</v>
      </c>
    </row>
    <row r="1201" spans="1:5" s="1266" customFormat="1">
      <c r="A1201" s="1311"/>
      <c r="B1201" s="1332"/>
      <c r="C1201" s="1343"/>
      <c r="D1201" s="1338"/>
      <c r="E1201" s="1338"/>
    </row>
    <row r="1202" spans="1:5" s="1266" customFormat="1">
      <c r="A1202" s="1311"/>
      <c r="B1202" s="1312" t="s">
        <v>1970</v>
      </c>
      <c r="C1202" s="1343"/>
      <c r="D1202" s="1338"/>
      <c r="E1202" s="1338"/>
    </row>
    <row r="1203" spans="1:5" s="1266" customFormat="1">
      <c r="A1203" s="1311"/>
      <c r="B1203" s="1332"/>
      <c r="C1203" s="1343"/>
      <c r="D1203" s="1338"/>
      <c r="E1203" s="1338"/>
    </row>
    <row r="1204" spans="1:5" s="1266" customFormat="1" ht="51.75">
      <c r="A1204" s="1311"/>
      <c r="B1204" s="1331" t="s">
        <v>3406</v>
      </c>
      <c r="C1204" s="1343"/>
      <c r="D1204" s="1338"/>
      <c r="E1204" s="1338"/>
    </row>
    <row r="1205" spans="1:5" s="1266" customFormat="1">
      <c r="A1205" s="1311"/>
      <c r="B1205" s="1332"/>
      <c r="C1205" s="1343"/>
      <c r="D1205" s="1338"/>
      <c r="E1205" s="1338"/>
    </row>
    <row r="1206" spans="1:5" s="1266" customFormat="1" ht="60">
      <c r="A1206" s="1311"/>
      <c r="B1206" s="1332" t="s">
        <v>1971</v>
      </c>
      <c r="C1206" s="1343" t="s">
        <v>1293</v>
      </c>
      <c r="D1206" s="1338">
        <v>750</v>
      </c>
      <c r="E1206" s="1363">
        <f>D1206*$E$5</f>
        <v>797.25</v>
      </c>
    </row>
    <row r="1207" spans="1:5" s="1266" customFormat="1">
      <c r="A1207" s="1311"/>
      <c r="B1207" s="1332"/>
      <c r="C1207" s="1343"/>
      <c r="D1207" s="1338"/>
      <c r="E1207" s="1338"/>
    </row>
    <row r="1208" spans="1:5" s="1266" customFormat="1" ht="51.75">
      <c r="A1208" s="1311"/>
      <c r="B1208" s="1331" t="s">
        <v>3407</v>
      </c>
      <c r="C1208" s="1343"/>
      <c r="D1208" s="1338"/>
      <c r="E1208" s="1338"/>
    </row>
    <row r="1209" spans="1:5" s="1266" customFormat="1">
      <c r="A1209" s="1311"/>
      <c r="B1209" s="1332"/>
      <c r="C1209" s="1343"/>
      <c r="D1209" s="1338"/>
      <c r="E1209" s="1338"/>
    </row>
    <row r="1210" spans="1:5" s="1266" customFormat="1" ht="60">
      <c r="A1210" s="1311"/>
      <c r="B1210" s="1332" t="s">
        <v>1972</v>
      </c>
      <c r="C1210" s="1343" t="s">
        <v>1293</v>
      </c>
      <c r="D1210" s="1338">
        <v>750</v>
      </c>
      <c r="E1210" s="1363">
        <f>D1210*$E$5</f>
        <v>797.25</v>
      </c>
    </row>
    <row r="1211" spans="1:5" s="1266" customFormat="1">
      <c r="A1211" s="1311"/>
      <c r="B1211" s="1332"/>
      <c r="C1211" s="1343"/>
      <c r="D1211" s="1338"/>
      <c r="E1211" s="1338"/>
    </row>
    <row r="1212" spans="1:5" s="1266" customFormat="1">
      <c r="A1212" s="1311"/>
      <c r="B1212" s="1312" t="s">
        <v>1973</v>
      </c>
      <c r="C1212" s="1343"/>
      <c r="D1212" s="1338"/>
      <c r="E1212" s="1338"/>
    </row>
    <row r="1213" spans="1:5" s="1266" customFormat="1">
      <c r="A1213" s="1311"/>
      <c r="B1213" s="1332"/>
      <c r="C1213" s="1343"/>
      <c r="D1213" s="1338"/>
      <c r="E1213" s="1338"/>
    </row>
    <row r="1214" spans="1:5" s="1266" customFormat="1" ht="39">
      <c r="A1214" s="1311"/>
      <c r="B1214" s="1331" t="s">
        <v>1974</v>
      </c>
      <c r="C1214" s="1343"/>
      <c r="D1214" s="1338"/>
      <c r="E1214" s="1338"/>
    </row>
    <row r="1215" spans="1:5" s="1266" customFormat="1">
      <c r="A1215" s="1311"/>
      <c r="B1215" s="1332"/>
      <c r="C1215" s="1343"/>
      <c r="D1215" s="1338"/>
      <c r="E1215" s="1338"/>
    </row>
    <row r="1216" spans="1:5" s="1266" customFormat="1">
      <c r="A1216" s="1311"/>
      <c r="B1216" s="1332" t="s">
        <v>1975</v>
      </c>
      <c r="C1216" s="1343" t="s">
        <v>1293</v>
      </c>
      <c r="D1216" s="1338">
        <v>360</v>
      </c>
      <c r="E1216" s="1363">
        <f>D1216*$E$5</f>
        <v>382.68</v>
      </c>
    </row>
    <row r="1217" spans="1:5" s="1266" customFormat="1">
      <c r="A1217" s="1311"/>
      <c r="B1217" s="1332"/>
      <c r="C1217" s="1343"/>
      <c r="D1217" s="1338"/>
      <c r="E1217" s="1338"/>
    </row>
    <row r="1218" spans="1:5" s="1266" customFormat="1">
      <c r="A1218" s="1311"/>
      <c r="B1218" s="1312" t="s">
        <v>1976</v>
      </c>
      <c r="C1218" s="1343"/>
      <c r="D1218" s="1338"/>
      <c r="E1218" s="1338"/>
    </row>
    <row r="1219" spans="1:5" s="1266" customFormat="1">
      <c r="A1219" s="1311"/>
      <c r="B1219" s="1332"/>
      <c r="C1219" s="1343"/>
      <c r="D1219" s="1338"/>
      <c r="E1219" s="1338"/>
    </row>
    <row r="1220" spans="1:5" s="1266" customFormat="1" ht="26.25">
      <c r="A1220" s="1311"/>
      <c r="B1220" s="1331" t="s">
        <v>1977</v>
      </c>
      <c r="C1220" s="1343"/>
      <c r="D1220" s="1338"/>
      <c r="E1220" s="1338"/>
    </row>
    <row r="1221" spans="1:5" s="1266" customFormat="1">
      <c r="A1221" s="1311"/>
      <c r="B1221" s="1332"/>
      <c r="C1221" s="1343"/>
      <c r="D1221" s="1338"/>
      <c r="E1221" s="1338"/>
    </row>
    <row r="1222" spans="1:5" s="1266" customFormat="1">
      <c r="A1222" s="1311"/>
      <c r="B1222" s="1332" t="s">
        <v>1978</v>
      </c>
      <c r="C1222" s="1343" t="s">
        <v>215</v>
      </c>
      <c r="D1222" s="1338">
        <v>150</v>
      </c>
      <c r="E1222" s="1363">
        <f>D1222*$E$5</f>
        <v>159.44999999999999</v>
      </c>
    </row>
    <row r="1223" spans="1:5" s="1266" customFormat="1">
      <c r="A1223" s="1311"/>
      <c r="B1223" s="1332"/>
      <c r="C1223" s="1343"/>
      <c r="D1223" s="1338"/>
      <c r="E1223" s="1338"/>
    </row>
    <row r="1224" spans="1:5" s="1266" customFormat="1" ht="26.25">
      <c r="A1224" s="1311"/>
      <c r="B1224" s="1331" t="s">
        <v>1979</v>
      </c>
      <c r="C1224" s="1343"/>
      <c r="D1224" s="1338"/>
      <c r="E1224" s="1338"/>
    </row>
    <row r="1225" spans="1:5" s="1266" customFormat="1">
      <c r="A1225" s="1311"/>
      <c r="B1225" s="1332"/>
      <c r="C1225" s="1343"/>
      <c r="D1225" s="1338"/>
      <c r="E1225" s="1338"/>
    </row>
    <row r="1226" spans="1:5" s="1266" customFormat="1" ht="30">
      <c r="A1226" s="1311"/>
      <c r="B1226" s="1332" t="s">
        <v>1980</v>
      </c>
      <c r="C1226" s="1343" t="s">
        <v>215</v>
      </c>
      <c r="D1226" s="1338">
        <v>10</v>
      </c>
      <c r="E1226" s="1363">
        <f>D1226*$E$5</f>
        <v>10.629999999999999</v>
      </c>
    </row>
    <row r="1227" spans="1:5" s="1266" customFormat="1">
      <c r="A1227" s="1311"/>
      <c r="B1227" s="1332"/>
      <c r="C1227" s="1343"/>
      <c r="D1227" s="1338"/>
      <c r="E1227" s="1338"/>
    </row>
    <row r="1228" spans="1:5" s="1266" customFormat="1">
      <c r="A1228" s="1311"/>
      <c r="B1228" s="1332" t="s">
        <v>1981</v>
      </c>
      <c r="C1228" s="1343" t="s">
        <v>215</v>
      </c>
      <c r="D1228" s="1338">
        <v>15.01</v>
      </c>
      <c r="E1228" s="1363">
        <f>D1228*$E$5</f>
        <v>15.955629999999999</v>
      </c>
    </row>
    <row r="1229" spans="1:5" s="1266" customFormat="1">
      <c r="A1229" s="1311"/>
      <c r="B1229" s="1332"/>
      <c r="C1229" s="1343"/>
      <c r="D1229" s="1338"/>
      <c r="E1229" s="1338"/>
    </row>
    <row r="1230" spans="1:5" s="1266" customFormat="1">
      <c r="A1230" s="1311"/>
      <c r="B1230" s="1331" t="s">
        <v>1982</v>
      </c>
      <c r="C1230" s="1343"/>
      <c r="D1230" s="1338"/>
      <c r="E1230" s="1338"/>
    </row>
    <row r="1231" spans="1:5" s="1266" customFormat="1">
      <c r="A1231" s="1311"/>
      <c r="B1231" s="1332"/>
      <c r="C1231" s="1343"/>
      <c r="D1231" s="1338"/>
      <c r="E1231" s="1338"/>
    </row>
    <row r="1232" spans="1:5" s="1266" customFormat="1">
      <c r="A1232" s="1311"/>
      <c r="B1232" s="1332" t="s">
        <v>1983</v>
      </c>
      <c r="C1232" s="1343" t="s">
        <v>215</v>
      </c>
      <c r="D1232" s="1338">
        <v>25</v>
      </c>
      <c r="E1232" s="1363">
        <f>D1232*$E$5</f>
        <v>26.574999999999999</v>
      </c>
    </row>
    <row r="1233" spans="1:5" s="1266" customFormat="1">
      <c r="A1233" s="1311"/>
      <c r="B1233" s="1332"/>
      <c r="C1233" s="1343"/>
      <c r="D1233" s="1338"/>
      <c r="E1233" s="1338"/>
    </row>
    <row r="1234" spans="1:5" s="1266" customFormat="1">
      <c r="A1234" s="1311"/>
      <c r="B1234" s="1331" t="s">
        <v>1984</v>
      </c>
      <c r="C1234" s="1343"/>
      <c r="D1234" s="1338"/>
      <c r="E1234" s="1338"/>
    </row>
    <row r="1235" spans="1:5" s="1266" customFormat="1">
      <c r="A1235" s="1311"/>
      <c r="B1235" s="1332"/>
      <c r="C1235" s="1343"/>
      <c r="D1235" s="1338"/>
      <c r="E1235" s="1338"/>
    </row>
    <row r="1236" spans="1:5" s="1266" customFormat="1" ht="30">
      <c r="A1236" s="1311"/>
      <c r="B1236" s="1332" t="s">
        <v>1985</v>
      </c>
      <c r="C1236" s="1343" t="s">
        <v>215</v>
      </c>
      <c r="D1236" s="1338">
        <v>25</v>
      </c>
      <c r="E1236" s="1363">
        <f>D1236*$E$5</f>
        <v>26.574999999999999</v>
      </c>
    </row>
    <row r="1237" spans="1:5" s="1266" customFormat="1">
      <c r="A1237" s="1311"/>
      <c r="B1237" s="1332"/>
      <c r="C1237" s="1343"/>
      <c r="D1237" s="1338"/>
      <c r="E1237" s="1338"/>
    </row>
    <row r="1238" spans="1:5" s="1266" customFormat="1">
      <c r="A1238" s="1311"/>
      <c r="B1238" s="1332" t="s">
        <v>1986</v>
      </c>
      <c r="C1238" s="1343" t="s">
        <v>215</v>
      </c>
      <c r="D1238" s="1338">
        <v>45</v>
      </c>
      <c r="E1238" s="1363">
        <f>D1238*$E$5</f>
        <v>47.835000000000001</v>
      </c>
    </row>
    <row r="1239" spans="1:5" s="1266" customFormat="1">
      <c r="A1239" s="1311"/>
      <c r="B1239" s="1332"/>
      <c r="C1239" s="1343"/>
      <c r="D1239" s="1338"/>
      <c r="E1239" s="1338"/>
    </row>
    <row r="1240" spans="1:5" s="1266" customFormat="1">
      <c r="A1240" s="1311"/>
      <c r="B1240" s="1312" t="s">
        <v>1987</v>
      </c>
      <c r="C1240" s="1343"/>
      <c r="D1240" s="1338"/>
      <c r="E1240" s="1338"/>
    </row>
    <row r="1241" spans="1:5" s="1266" customFormat="1">
      <c r="A1241" s="1311"/>
      <c r="B1241" s="1332"/>
      <c r="C1241" s="1343"/>
      <c r="D1241" s="1338"/>
      <c r="E1241" s="1338"/>
    </row>
    <row r="1242" spans="1:5" s="1266" customFormat="1" ht="45">
      <c r="A1242" s="1311"/>
      <c r="B1242" s="1332" t="s">
        <v>1988</v>
      </c>
      <c r="C1242" s="1343"/>
      <c r="D1242" s="1338"/>
      <c r="E1242" s="1338"/>
    </row>
    <row r="1243" spans="1:5" s="1266" customFormat="1">
      <c r="A1243" s="1311"/>
      <c r="B1243" s="1332"/>
      <c r="C1243" s="1343"/>
      <c r="D1243" s="1338"/>
      <c r="E1243" s="1338"/>
    </row>
    <row r="1244" spans="1:5" s="1266" customFormat="1">
      <c r="A1244" s="1311"/>
      <c r="B1244" s="1331" t="s">
        <v>1989</v>
      </c>
      <c r="C1244" s="1343"/>
      <c r="D1244" s="1338"/>
      <c r="E1244" s="1338"/>
    </row>
    <row r="1245" spans="1:5" s="1266" customFormat="1">
      <c r="A1245" s="1311"/>
      <c r="B1245" s="1332"/>
      <c r="C1245" s="1343"/>
      <c r="D1245" s="1338"/>
      <c r="E1245" s="1338"/>
    </row>
    <row r="1246" spans="1:5" s="1266" customFormat="1">
      <c r="A1246" s="1311"/>
      <c r="B1246" s="1332" t="s">
        <v>1990</v>
      </c>
      <c r="C1246" s="1343" t="s">
        <v>1991</v>
      </c>
      <c r="D1246" s="1338">
        <v>13100</v>
      </c>
      <c r="E1246" s="1363">
        <f>D1246*$E$5</f>
        <v>13925.3</v>
      </c>
    </row>
    <row r="1247" spans="1:5" s="1266" customFormat="1">
      <c r="A1247" s="1311"/>
      <c r="B1247" s="1332"/>
      <c r="C1247" s="1343"/>
      <c r="D1247" s="1338"/>
      <c r="E1247" s="1338"/>
    </row>
    <row r="1248" spans="1:5" s="1266" customFormat="1">
      <c r="A1248" s="1311"/>
      <c r="B1248" s="1332" t="s">
        <v>1992</v>
      </c>
      <c r="C1248" s="1343" t="s">
        <v>1991</v>
      </c>
      <c r="D1248" s="1338">
        <v>13100</v>
      </c>
      <c r="E1248" s="1363">
        <f>D1248*$E$5</f>
        <v>13925.3</v>
      </c>
    </row>
    <row r="1249" spans="1:5" s="1266" customFormat="1">
      <c r="A1249" s="1311"/>
      <c r="B1249" s="1332"/>
      <c r="C1249" s="1343"/>
      <c r="D1249" s="1338"/>
      <c r="E1249" s="1338"/>
    </row>
    <row r="1250" spans="1:5" s="1266" customFormat="1">
      <c r="A1250" s="1311"/>
      <c r="B1250" s="1332" t="s">
        <v>1993</v>
      </c>
      <c r="C1250" s="1343" t="s">
        <v>1991</v>
      </c>
      <c r="D1250" s="1338">
        <v>13100</v>
      </c>
      <c r="E1250" s="1363">
        <f>D1250*$E$5</f>
        <v>13925.3</v>
      </c>
    </row>
    <row r="1251" spans="1:5" s="1266" customFormat="1">
      <c r="A1251" s="1311"/>
      <c r="B1251" s="1332"/>
      <c r="C1251" s="1343"/>
      <c r="D1251" s="1338"/>
      <c r="E1251" s="1338"/>
    </row>
    <row r="1252" spans="1:5" s="1266" customFormat="1">
      <c r="A1252" s="1311"/>
      <c r="B1252" s="1332" t="s">
        <v>1994</v>
      </c>
      <c r="C1252" s="1343" t="s">
        <v>1991</v>
      </c>
      <c r="D1252" s="1338">
        <v>13100</v>
      </c>
      <c r="E1252" s="1363">
        <f>D1252*$E$5</f>
        <v>13925.3</v>
      </c>
    </row>
    <row r="1253" spans="1:5" s="1266" customFormat="1">
      <c r="A1253" s="1311"/>
      <c r="B1253" s="1332"/>
      <c r="C1253" s="1343"/>
      <c r="D1253" s="1338"/>
      <c r="E1253" s="1338"/>
    </row>
    <row r="1254" spans="1:5" s="1266" customFormat="1">
      <c r="A1254" s="1311"/>
      <c r="B1254" s="1331" t="s">
        <v>1995</v>
      </c>
      <c r="C1254" s="1343"/>
      <c r="D1254" s="1338"/>
      <c r="E1254" s="1338"/>
    </row>
    <row r="1255" spans="1:5" s="1266" customFormat="1">
      <c r="A1255" s="1311"/>
      <c r="B1255" s="1332"/>
      <c r="C1255" s="1343"/>
      <c r="D1255" s="1338"/>
      <c r="E1255" s="1338"/>
    </row>
    <row r="1256" spans="1:5" s="1266" customFormat="1">
      <c r="A1256" s="1311"/>
      <c r="B1256" s="1332" t="s">
        <v>1996</v>
      </c>
      <c r="C1256" s="1343" t="s">
        <v>1991</v>
      </c>
      <c r="D1256" s="1338">
        <v>13100</v>
      </c>
      <c r="E1256" s="1363">
        <f>D1256*$E$5</f>
        <v>13925.3</v>
      </c>
    </row>
    <row r="1257" spans="1:5" s="1266" customFormat="1">
      <c r="A1257" s="1311"/>
      <c r="B1257" s="1332"/>
      <c r="C1257" s="1343"/>
      <c r="D1257" s="1338"/>
      <c r="E1257" s="1338"/>
    </row>
    <row r="1258" spans="1:5" s="1266" customFormat="1">
      <c r="A1258" s="1311"/>
      <c r="B1258" s="1332" t="s">
        <v>1997</v>
      </c>
      <c r="C1258" s="1343" t="s">
        <v>1991</v>
      </c>
      <c r="D1258" s="1338">
        <v>13100</v>
      </c>
      <c r="E1258" s="1363">
        <f>D1258*$E$5</f>
        <v>13925.3</v>
      </c>
    </row>
    <row r="1259" spans="1:5" s="1266" customFormat="1">
      <c r="A1259" s="1311"/>
      <c r="B1259" s="1332"/>
      <c r="C1259" s="1343"/>
      <c r="D1259" s="1338"/>
      <c r="E1259" s="1338"/>
    </row>
    <row r="1260" spans="1:5" s="1266" customFormat="1">
      <c r="A1260" s="1311"/>
      <c r="B1260" s="1332" t="s">
        <v>1998</v>
      </c>
      <c r="C1260" s="1343" t="s">
        <v>1991</v>
      </c>
      <c r="D1260" s="1338">
        <v>13100</v>
      </c>
      <c r="E1260" s="1363">
        <f>D1260*$E$5</f>
        <v>13925.3</v>
      </c>
    </row>
    <row r="1261" spans="1:5" s="1266" customFormat="1">
      <c r="A1261" s="1311"/>
      <c r="B1261" s="1332"/>
      <c r="C1261" s="1343"/>
      <c r="D1261" s="1338"/>
      <c r="E1261" s="1338"/>
    </row>
    <row r="1262" spans="1:5" s="1266" customFormat="1">
      <c r="A1262" s="1311"/>
      <c r="B1262" s="1332" t="s">
        <v>1990</v>
      </c>
      <c r="C1262" s="1343" t="s">
        <v>1991</v>
      </c>
      <c r="D1262" s="1338">
        <v>13100</v>
      </c>
      <c r="E1262" s="1363">
        <f>D1262*$E$5</f>
        <v>13925.3</v>
      </c>
    </row>
    <row r="1263" spans="1:5" s="1266" customFormat="1">
      <c r="A1263" s="1311"/>
      <c r="B1263" s="1332"/>
      <c r="C1263" s="1343"/>
      <c r="D1263" s="1338"/>
      <c r="E1263" s="1338"/>
    </row>
    <row r="1264" spans="1:5" s="1266" customFormat="1">
      <c r="A1264" s="1311"/>
      <c r="B1264" s="1332" t="s">
        <v>1992</v>
      </c>
      <c r="C1264" s="1343" t="s">
        <v>1991</v>
      </c>
      <c r="D1264" s="1338">
        <v>13100</v>
      </c>
      <c r="E1264" s="1363">
        <f>D1264*$E$5</f>
        <v>13925.3</v>
      </c>
    </row>
    <row r="1265" spans="1:5" s="1266" customFormat="1">
      <c r="A1265" s="1311"/>
      <c r="B1265" s="1332"/>
      <c r="C1265" s="1343"/>
      <c r="D1265" s="1338"/>
      <c r="E1265" s="1338"/>
    </row>
    <row r="1266" spans="1:5" s="1266" customFormat="1">
      <c r="A1266" s="1311"/>
      <c r="B1266" s="1332" t="s">
        <v>1993</v>
      </c>
      <c r="C1266" s="1343" t="s">
        <v>1991</v>
      </c>
      <c r="D1266" s="1338">
        <v>13100</v>
      </c>
      <c r="E1266" s="1363">
        <f>D1266*$E$5</f>
        <v>13925.3</v>
      </c>
    </row>
    <row r="1267" spans="1:5" s="1266" customFormat="1">
      <c r="A1267" s="1311"/>
      <c r="B1267" s="1332"/>
      <c r="C1267" s="1343"/>
      <c r="D1267" s="1338"/>
      <c r="E1267" s="1338"/>
    </row>
    <row r="1268" spans="1:5" s="1266" customFormat="1">
      <c r="A1268" s="1311"/>
      <c r="B1268" s="1331" t="s">
        <v>1999</v>
      </c>
      <c r="C1268" s="1343"/>
      <c r="D1268" s="1338"/>
      <c r="E1268" s="1338"/>
    </row>
    <row r="1269" spans="1:5" s="1266" customFormat="1">
      <c r="A1269" s="1311"/>
      <c r="B1269" s="1332"/>
      <c r="C1269" s="1343"/>
      <c r="D1269" s="1338"/>
      <c r="E1269" s="1338"/>
    </row>
    <row r="1270" spans="1:5" s="1266" customFormat="1" ht="75">
      <c r="A1270" s="1311"/>
      <c r="B1270" s="1332" t="s">
        <v>2000</v>
      </c>
      <c r="C1270" s="1343"/>
      <c r="D1270" s="1338"/>
      <c r="E1270" s="1338"/>
    </row>
    <row r="1271" spans="1:5" s="1266" customFormat="1">
      <c r="A1271" s="1311"/>
      <c r="B1271" s="1332"/>
      <c r="C1271" s="1343"/>
      <c r="D1271" s="1338"/>
      <c r="E1271" s="1338"/>
    </row>
    <row r="1272" spans="1:5" s="1266" customFormat="1" ht="30">
      <c r="A1272" s="1311"/>
      <c r="B1272" s="1332" t="s">
        <v>2001</v>
      </c>
      <c r="C1272" s="1343" t="s">
        <v>1991</v>
      </c>
      <c r="D1272" s="1338">
        <v>11440</v>
      </c>
      <c r="E1272" s="1363">
        <f>D1272*$E$5</f>
        <v>12160.72</v>
      </c>
    </row>
    <row r="1273" spans="1:5" s="1266" customFormat="1">
      <c r="A1273" s="1311"/>
      <c r="B1273" s="1332"/>
      <c r="C1273" s="1343"/>
      <c r="D1273" s="1338"/>
      <c r="E1273" s="1338"/>
    </row>
    <row r="1274" spans="1:5" s="1266" customFormat="1">
      <c r="A1274" s="1311"/>
      <c r="B1274" s="1332" t="s">
        <v>2002</v>
      </c>
      <c r="C1274" s="1343" t="s">
        <v>1991</v>
      </c>
      <c r="D1274" s="1338">
        <v>11440</v>
      </c>
      <c r="E1274" s="1363">
        <f>D1274*$E$5</f>
        <v>12160.72</v>
      </c>
    </row>
    <row r="1275" spans="1:5" s="1266" customFormat="1">
      <c r="A1275" s="1311"/>
      <c r="B1275" s="1332"/>
      <c r="C1275" s="1343"/>
      <c r="D1275" s="1338"/>
      <c r="E1275" s="1338"/>
    </row>
    <row r="1276" spans="1:5" s="1266" customFormat="1">
      <c r="A1276" s="1311"/>
      <c r="B1276" s="1332" t="s">
        <v>2003</v>
      </c>
      <c r="C1276" s="1343" t="s">
        <v>1991</v>
      </c>
      <c r="D1276" s="1338">
        <v>11440</v>
      </c>
      <c r="E1276" s="1363">
        <f>D1276*$E$5</f>
        <v>12160.72</v>
      </c>
    </row>
    <row r="1277" spans="1:5" s="1266" customFormat="1">
      <c r="A1277" s="1311"/>
      <c r="B1277" s="1332"/>
      <c r="C1277" s="1343"/>
      <c r="D1277" s="1338"/>
      <c r="E1277" s="1338"/>
    </row>
    <row r="1278" spans="1:5" s="1266" customFormat="1">
      <c r="A1278" s="1311"/>
      <c r="B1278" s="1332" t="s">
        <v>2004</v>
      </c>
      <c r="C1278" s="1343" t="s">
        <v>1991</v>
      </c>
      <c r="D1278" s="1338">
        <v>11440</v>
      </c>
      <c r="E1278" s="1363">
        <f>D1278*$E$5</f>
        <v>12160.72</v>
      </c>
    </row>
    <row r="1279" spans="1:5" s="1266" customFormat="1">
      <c r="A1279" s="1311"/>
      <c r="B1279" s="1332"/>
      <c r="C1279" s="1343"/>
      <c r="D1279" s="1338"/>
      <c r="E1279" s="1338"/>
    </row>
    <row r="1280" spans="1:5" s="1266" customFormat="1">
      <c r="A1280" s="1311"/>
      <c r="B1280" s="1332" t="s">
        <v>2005</v>
      </c>
      <c r="C1280" s="1343" t="s">
        <v>1991</v>
      </c>
      <c r="D1280" s="1338">
        <v>11440</v>
      </c>
      <c r="E1280" s="1363">
        <f>D1280*$E$5</f>
        <v>12160.72</v>
      </c>
    </row>
    <row r="1281" spans="1:5" s="1266" customFormat="1">
      <c r="A1281" s="1311"/>
      <c r="B1281" s="1332"/>
      <c r="C1281" s="1343"/>
      <c r="D1281" s="1338"/>
      <c r="E1281" s="1338"/>
    </row>
    <row r="1282" spans="1:5" s="1266" customFormat="1">
      <c r="A1282" s="1311"/>
      <c r="B1282" s="1332" t="s">
        <v>2006</v>
      </c>
      <c r="C1282" s="1343" t="s">
        <v>1991</v>
      </c>
      <c r="D1282" s="1338">
        <v>11440</v>
      </c>
      <c r="E1282" s="1363">
        <f>D1282*$E$5</f>
        <v>12160.72</v>
      </c>
    </row>
    <row r="1283" spans="1:5" s="1266" customFormat="1">
      <c r="A1283" s="1311"/>
      <c r="B1283" s="1332"/>
      <c r="C1283" s="1343"/>
      <c r="D1283" s="1338"/>
      <c r="E1283" s="1338"/>
    </row>
    <row r="1284" spans="1:5" s="1266" customFormat="1">
      <c r="A1284" s="1311"/>
      <c r="B1284" s="1331" t="s">
        <v>2007</v>
      </c>
      <c r="C1284" s="1343"/>
      <c r="D1284" s="1338"/>
      <c r="E1284" s="1338"/>
    </row>
    <row r="1285" spans="1:5" s="1266" customFormat="1">
      <c r="A1285" s="1311"/>
      <c r="B1285" s="1332"/>
      <c r="C1285" s="1343"/>
      <c r="D1285" s="1338"/>
      <c r="E1285" s="1338"/>
    </row>
    <row r="1286" spans="1:5" s="1266" customFormat="1" ht="45">
      <c r="A1286" s="1311"/>
      <c r="B1286" s="1332" t="s">
        <v>3403</v>
      </c>
      <c r="C1286" s="1343" t="s">
        <v>217</v>
      </c>
      <c r="D1286" s="1338">
        <v>2350</v>
      </c>
      <c r="E1286" s="1363">
        <f>D1286*$E$5</f>
        <v>2498.0499999999997</v>
      </c>
    </row>
    <row r="1287" spans="1:5" s="1266" customFormat="1">
      <c r="A1287" s="1311"/>
      <c r="B1287" s="1332"/>
      <c r="C1287" s="1343"/>
      <c r="D1287" s="1338"/>
      <c r="E1287" s="1338"/>
    </row>
    <row r="1288" spans="1:5" s="1266" customFormat="1" ht="45">
      <c r="A1288" s="1311"/>
      <c r="B1288" s="1332" t="s">
        <v>3404</v>
      </c>
      <c r="C1288" s="1343" t="s">
        <v>217</v>
      </c>
      <c r="D1288" s="1338">
        <v>2350</v>
      </c>
      <c r="E1288" s="1363">
        <f>D1288*$E$5</f>
        <v>2498.0499999999997</v>
      </c>
    </row>
    <row r="1289" spans="1:5" s="1266" customFormat="1">
      <c r="A1289" s="1311"/>
      <c r="B1289" s="1332"/>
      <c r="C1289" s="1343"/>
      <c r="D1289" s="1338"/>
      <c r="E1289" s="1338"/>
    </row>
    <row r="1290" spans="1:5" s="1266" customFormat="1" ht="30">
      <c r="A1290" s="1311"/>
      <c r="B1290" s="1332" t="s">
        <v>2008</v>
      </c>
      <c r="C1290" s="1343" t="s">
        <v>217</v>
      </c>
      <c r="D1290" s="1338">
        <v>350</v>
      </c>
      <c r="E1290" s="1363">
        <f>D1290*$E$5</f>
        <v>372.04999999999995</v>
      </c>
    </row>
    <row r="1291" spans="1:5" s="1266" customFormat="1">
      <c r="A1291" s="1311"/>
      <c r="B1291" s="1332"/>
      <c r="C1291" s="1343"/>
      <c r="D1291" s="1338"/>
      <c r="E1291" s="1338"/>
    </row>
    <row r="1292" spans="1:5" s="1266" customFormat="1" ht="30">
      <c r="A1292" s="1311"/>
      <c r="B1292" s="1332" t="s">
        <v>2009</v>
      </c>
      <c r="C1292" s="1343" t="s">
        <v>217</v>
      </c>
      <c r="D1292" s="1338">
        <v>300</v>
      </c>
      <c r="E1292" s="1363">
        <f>D1292*$E$5</f>
        <v>318.89999999999998</v>
      </c>
    </row>
    <row r="1293" spans="1:5" s="1266" customFormat="1">
      <c r="A1293" s="1311"/>
      <c r="B1293" s="1332"/>
      <c r="C1293" s="1343"/>
      <c r="D1293" s="1338"/>
      <c r="E1293" s="1338"/>
    </row>
    <row r="1294" spans="1:5" s="1266" customFormat="1">
      <c r="A1294" s="1311"/>
      <c r="B1294" s="1331" t="s">
        <v>2010</v>
      </c>
      <c r="C1294" s="1343"/>
      <c r="D1294" s="1338"/>
      <c r="E1294" s="1338"/>
    </row>
    <row r="1295" spans="1:5" s="1266" customFormat="1">
      <c r="A1295" s="1311"/>
      <c r="B1295" s="1332"/>
      <c r="C1295" s="1343"/>
      <c r="D1295" s="1338"/>
      <c r="E1295" s="1338"/>
    </row>
    <row r="1296" spans="1:5" s="1266" customFormat="1">
      <c r="A1296" s="1311"/>
      <c r="B1296" s="1332" t="s">
        <v>2011</v>
      </c>
      <c r="C1296" s="1343" t="s">
        <v>1293</v>
      </c>
      <c r="D1296" s="1338">
        <v>40</v>
      </c>
      <c r="E1296" s="1363">
        <f>D1296*$E$5</f>
        <v>42.519999999999996</v>
      </c>
    </row>
    <row r="1297" spans="1:5" s="1266" customFormat="1">
      <c r="A1297" s="1311"/>
      <c r="B1297" s="1332"/>
      <c r="C1297" s="1343"/>
      <c r="D1297" s="1338"/>
      <c r="E1297" s="1338"/>
    </row>
    <row r="1298" spans="1:5" s="1266" customFormat="1">
      <c r="A1298" s="1311"/>
      <c r="B1298" s="1332" t="s">
        <v>2012</v>
      </c>
      <c r="C1298" s="1343" t="s">
        <v>1293</v>
      </c>
      <c r="D1298" s="1338">
        <v>51.32</v>
      </c>
      <c r="E1298" s="1363">
        <f>D1298*$E$5</f>
        <v>54.553159999999998</v>
      </c>
    </row>
    <row r="1299" spans="1:5" s="1266" customFormat="1">
      <c r="A1299" s="1311"/>
      <c r="B1299" s="1332"/>
      <c r="C1299" s="1343"/>
      <c r="D1299" s="1338"/>
      <c r="E1299" s="1338"/>
    </row>
    <row r="1300" spans="1:5" s="1266" customFormat="1">
      <c r="A1300" s="1311"/>
      <c r="B1300" s="1332" t="s">
        <v>2013</v>
      </c>
      <c r="C1300" s="1343" t="s">
        <v>1293</v>
      </c>
      <c r="D1300" s="1338">
        <v>55</v>
      </c>
      <c r="E1300" s="1363">
        <f>D1300*$E$5</f>
        <v>58.464999999999996</v>
      </c>
    </row>
    <row r="1301" spans="1:5" s="1266" customFormat="1">
      <c r="A1301" s="1311"/>
      <c r="B1301" s="1332"/>
      <c r="C1301" s="1343"/>
      <c r="D1301" s="1338"/>
      <c r="E1301" s="1338"/>
    </row>
    <row r="1302" spans="1:5" s="1266" customFormat="1">
      <c r="A1302" s="1311"/>
      <c r="B1302" s="1312" t="s">
        <v>2014</v>
      </c>
      <c r="C1302" s="1343"/>
      <c r="D1302" s="1338"/>
      <c r="E1302" s="1338"/>
    </row>
    <row r="1303" spans="1:5" s="1266" customFormat="1">
      <c r="A1303" s="1311"/>
      <c r="B1303" s="1332"/>
      <c r="C1303" s="1343"/>
      <c r="D1303" s="1338"/>
      <c r="E1303" s="1338"/>
    </row>
    <row r="1304" spans="1:5" s="1266" customFormat="1">
      <c r="A1304" s="1311"/>
      <c r="B1304" s="1312" t="s">
        <v>2015</v>
      </c>
      <c r="C1304" s="1343"/>
      <c r="D1304" s="1338"/>
      <c r="E1304" s="1338"/>
    </row>
    <row r="1305" spans="1:5" s="1266" customFormat="1">
      <c r="A1305" s="1311"/>
      <c r="B1305" s="1332"/>
      <c r="C1305" s="1343"/>
      <c r="D1305" s="1338"/>
      <c r="E1305" s="1338"/>
    </row>
    <row r="1306" spans="1:5" s="1266" customFormat="1" ht="51.75">
      <c r="A1306" s="1311"/>
      <c r="B1306" s="1331" t="s">
        <v>3408</v>
      </c>
      <c r="C1306" s="1343"/>
      <c r="D1306" s="1338"/>
      <c r="E1306" s="1338"/>
    </row>
    <row r="1307" spans="1:5" s="1266" customFormat="1">
      <c r="A1307" s="1311"/>
      <c r="B1307" s="1332"/>
      <c r="C1307" s="1343"/>
      <c r="D1307" s="1338"/>
      <c r="E1307" s="1338"/>
    </row>
    <row r="1308" spans="1:5" s="1266" customFormat="1" ht="30">
      <c r="A1308" s="1311"/>
      <c r="B1308" s="1332" t="s">
        <v>2016</v>
      </c>
      <c r="C1308" s="1343" t="s">
        <v>217</v>
      </c>
      <c r="D1308" s="1338">
        <v>25000</v>
      </c>
      <c r="E1308" s="1363">
        <f>D1308*$E$5</f>
        <v>26575</v>
      </c>
    </row>
    <row r="1309" spans="1:5" s="1266" customFormat="1">
      <c r="A1309" s="1311"/>
      <c r="B1309" s="1332"/>
      <c r="C1309" s="1343"/>
      <c r="D1309" s="1338"/>
      <c r="E1309" s="1338"/>
    </row>
    <row r="1310" spans="1:5" s="1266" customFormat="1" ht="30">
      <c r="A1310" s="1311"/>
      <c r="B1310" s="1332" t="s">
        <v>2017</v>
      </c>
      <c r="C1310" s="1343" t="s">
        <v>217</v>
      </c>
      <c r="D1310" s="1338">
        <v>25000</v>
      </c>
      <c r="E1310" s="1363">
        <f>D1310*$E$5</f>
        <v>26575</v>
      </c>
    </row>
    <row r="1311" spans="1:5" s="1266" customFormat="1">
      <c r="A1311" s="1311"/>
      <c r="B1311" s="1332"/>
      <c r="C1311" s="1343"/>
      <c r="D1311" s="1338"/>
      <c r="E1311" s="1338"/>
    </row>
    <row r="1312" spans="1:5" s="1266" customFormat="1" ht="30">
      <c r="A1312" s="1311"/>
      <c r="B1312" s="1332" t="s">
        <v>2018</v>
      </c>
      <c r="C1312" s="1343" t="s">
        <v>217</v>
      </c>
      <c r="D1312" s="1338">
        <v>30000</v>
      </c>
      <c r="E1312" s="1363">
        <f>D1312*$E$5</f>
        <v>31890</v>
      </c>
    </row>
    <row r="1313" spans="1:5" s="1266" customFormat="1">
      <c r="A1313" s="1311"/>
      <c r="B1313" s="1332"/>
      <c r="C1313" s="1343"/>
      <c r="D1313" s="1338"/>
      <c r="E1313" s="1338"/>
    </row>
    <row r="1314" spans="1:5" s="1266" customFormat="1" ht="30">
      <c r="A1314" s="1311"/>
      <c r="B1314" s="1332" t="s">
        <v>2019</v>
      </c>
      <c r="C1314" s="1343" t="s">
        <v>217</v>
      </c>
      <c r="D1314" s="1338">
        <v>40000</v>
      </c>
      <c r="E1314" s="1363">
        <f>D1314*$E$5</f>
        <v>42520</v>
      </c>
    </row>
    <row r="1315" spans="1:5" s="1266" customFormat="1">
      <c r="A1315" s="1311"/>
      <c r="B1315" s="1332"/>
      <c r="C1315" s="1343"/>
      <c r="D1315" s="1338"/>
      <c r="E1315" s="1338"/>
    </row>
    <row r="1316" spans="1:5" s="1266" customFormat="1" ht="30">
      <c r="A1316" s="1311"/>
      <c r="B1316" s="1332" t="s">
        <v>2020</v>
      </c>
      <c r="C1316" s="1343" t="s">
        <v>217</v>
      </c>
      <c r="D1316" s="1338">
        <v>95000</v>
      </c>
      <c r="E1316" s="1363">
        <f>D1316*$E$5</f>
        <v>100985</v>
      </c>
    </row>
    <row r="1317" spans="1:5" s="1266" customFormat="1">
      <c r="A1317" s="1311"/>
      <c r="B1317" s="1332"/>
      <c r="C1317" s="1343"/>
      <c r="D1317" s="1338"/>
      <c r="E1317" s="1338"/>
    </row>
    <row r="1318" spans="1:5" s="1266" customFormat="1" ht="30">
      <c r="A1318" s="1311"/>
      <c r="B1318" s="1332" t="s">
        <v>2021</v>
      </c>
      <c r="C1318" s="1343" t="s">
        <v>217</v>
      </c>
      <c r="D1318" s="1338">
        <v>95000</v>
      </c>
      <c r="E1318" s="1363">
        <f>D1318*$E$5</f>
        <v>100985</v>
      </c>
    </row>
    <row r="1319" spans="1:5" s="1266" customFormat="1">
      <c r="A1319" s="1311"/>
      <c r="B1319" s="1332"/>
      <c r="C1319" s="1343"/>
      <c r="D1319" s="1338"/>
      <c r="E1319" s="1338"/>
    </row>
    <row r="1320" spans="1:5" s="1266" customFormat="1">
      <c r="A1320" s="1311"/>
      <c r="B1320" s="1312" t="s">
        <v>2022</v>
      </c>
      <c r="C1320" s="1343"/>
      <c r="D1320" s="1338"/>
      <c r="E1320" s="1338"/>
    </row>
    <row r="1321" spans="1:5" s="1266" customFormat="1">
      <c r="A1321" s="1311"/>
      <c r="B1321" s="1332"/>
      <c r="C1321" s="1343"/>
      <c r="D1321" s="1338"/>
      <c r="E1321" s="1338"/>
    </row>
    <row r="1322" spans="1:5" s="1266" customFormat="1">
      <c r="A1322" s="1311"/>
      <c r="B1322" s="1312" t="s">
        <v>2023</v>
      </c>
      <c r="C1322" s="1343"/>
      <c r="D1322" s="1338"/>
      <c r="E1322" s="1338"/>
    </row>
    <row r="1323" spans="1:5" s="1266" customFormat="1">
      <c r="A1323" s="1311"/>
      <c r="B1323" s="1332"/>
      <c r="C1323" s="1343"/>
      <c r="D1323" s="1338"/>
      <c r="E1323" s="1338"/>
    </row>
    <row r="1324" spans="1:5" s="1266" customFormat="1">
      <c r="A1324" s="1311"/>
      <c r="B1324" s="1312" t="s">
        <v>2024</v>
      </c>
      <c r="C1324" s="1343"/>
      <c r="D1324" s="1338"/>
      <c r="E1324" s="1338"/>
    </row>
    <row r="1325" spans="1:5" s="1266" customFormat="1">
      <c r="A1325" s="1311"/>
      <c r="B1325" s="1332"/>
      <c r="C1325" s="1343"/>
      <c r="D1325" s="1338"/>
      <c r="E1325" s="1338"/>
    </row>
    <row r="1326" spans="1:5" s="1266" customFormat="1" ht="26.25">
      <c r="A1326" s="1311"/>
      <c r="B1326" s="1331" t="s">
        <v>2025</v>
      </c>
      <c r="C1326" s="1343"/>
      <c r="D1326" s="1338"/>
      <c r="E1326" s="1338"/>
    </row>
    <row r="1327" spans="1:5" s="1266" customFormat="1">
      <c r="A1327" s="1311"/>
      <c r="B1327" s="1332"/>
      <c r="C1327" s="1343"/>
      <c r="D1327" s="1338"/>
      <c r="E1327" s="1338"/>
    </row>
    <row r="1328" spans="1:5" s="1266" customFormat="1">
      <c r="A1328" s="1311"/>
      <c r="B1328" s="1332" t="s">
        <v>2026</v>
      </c>
      <c r="C1328" s="1343" t="s">
        <v>1293</v>
      </c>
      <c r="D1328" s="1338">
        <v>485</v>
      </c>
      <c r="E1328" s="1363">
        <f>D1328*$E$5</f>
        <v>515.55499999999995</v>
      </c>
    </row>
    <row r="1329" spans="1:5" s="1266" customFormat="1">
      <c r="A1329" s="1311"/>
      <c r="B1329" s="1332"/>
      <c r="C1329" s="1343"/>
      <c r="D1329" s="1338"/>
      <c r="E1329" s="1338"/>
    </row>
    <row r="1330" spans="1:5" s="1266" customFormat="1" ht="30">
      <c r="A1330" s="1311"/>
      <c r="B1330" s="1332" t="s">
        <v>2027</v>
      </c>
      <c r="C1330" s="1343" t="s">
        <v>1293</v>
      </c>
      <c r="D1330" s="1338">
        <v>490</v>
      </c>
      <c r="E1330" s="1363">
        <f>D1330*$E$5</f>
        <v>520.87</v>
      </c>
    </row>
    <row r="1331" spans="1:5" s="1266" customFormat="1">
      <c r="A1331" s="1311"/>
      <c r="B1331" s="1332"/>
      <c r="C1331" s="1343"/>
      <c r="D1331" s="1338"/>
      <c r="E1331" s="1338"/>
    </row>
    <row r="1332" spans="1:5" s="1266" customFormat="1">
      <c r="A1332" s="1311"/>
      <c r="B1332" s="1312" t="s">
        <v>2028</v>
      </c>
      <c r="C1332" s="1343"/>
      <c r="D1332" s="1338"/>
      <c r="E1332" s="1338"/>
    </row>
    <row r="1333" spans="1:5" s="1266" customFormat="1">
      <c r="A1333" s="1311"/>
      <c r="B1333" s="1332"/>
      <c r="C1333" s="1343"/>
      <c r="D1333" s="1338"/>
      <c r="E1333" s="1338"/>
    </row>
    <row r="1334" spans="1:5" s="1266" customFormat="1" ht="26.25">
      <c r="A1334" s="1311"/>
      <c r="B1334" s="1331" t="s">
        <v>2025</v>
      </c>
      <c r="C1334" s="1343"/>
      <c r="D1334" s="1338"/>
      <c r="E1334" s="1338"/>
    </row>
    <row r="1335" spans="1:5" s="1266" customFormat="1">
      <c r="A1335" s="1311"/>
      <c r="B1335" s="1332"/>
      <c r="C1335" s="1343"/>
      <c r="D1335" s="1338"/>
      <c r="E1335" s="1338"/>
    </row>
    <row r="1336" spans="1:5" s="1266" customFormat="1">
      <c r="A1336" s="1311"/>
      <c r="B1336" s="1332" t="s">
        <v>1687</v>
      </c>
      <c r="C1336" s="1343" t="s">
        <v>1293</v>
      </c>
      <c r="D1336" s="1338">
        <v>240</v>
      </c>
      <c r="E1336" s="1363">
        <f>D1336*$E$5</f>
        <v>255.11999999999998</v>
      </c>
    </row>
    <row r="1337" spans="1:5" s="1266" customFormat="1">
      <c r="A1337" s="1311"/>
      <c r="B1337" s="1332"/>
      <c r="C1337" s="1343"/>
      <c r="D1337" s="1338"/>
      <c r="E1337" s="1338"/>
    </row>
    <row r="1338" spans="1:5" s="1266" customFormat="1">
      <c r="A1338" s="1311"/>
      <c r="B1338" s="1332" t="s">
        <v>1689</v>
      </c>
      <c r="C1338" s="1343" t="s">
        <v>1293</v>
      </c>
      <c r="D1338" s="1338">
        <v>480</v>
      </c>
      <c r="E1338" s="1363">
        <f>D1338*$E$5</f>
        <v>510.23999999999995</v>
      </c>
    </row>
    <row r="1339" spans="1:5" s="1266" customFormat="1">
      <c r="A1339" s="1311"/>
      <c r="B1339" s="1332"/>
      <c r="C1339" s="1343"/>
      <c r="D1339" s="1338"/>
      <c r="E1339" s="1338"/>
    </row>
    <row r="1340" spans="1:5" s="1266" customFormat="1">
      <c r="A1340" s="1311"/>
      <c r="B1340" s="1332" t="s">
        <v>2029</v>
      </c>
      <c r="C1340" s="1343" t="s">
        <v>1293</v>
      </c>
      <c r="D1340" s="1338">
        <v>480</v>
      </c>
      <c r="E1340" s="1363">
        <f>D1340*$E$5</f>
        <v>510.23999999999995</v>
      </c>
    </row>
    <row r="1341" spans="1:5" s="1266" customFormat="1">
      <c r="A1341" s="1311"/>
      <c r="B1341" s="1332"/>
      <c r="C1341" s="1343"/>
      <c r="D1341" s="1338"/>
      <c r="E1341" s="1338"/>
    </row>
    <row r="1342" spans="1:5" s="1266" customFormat="1" ht="30">
      <c r="A1342" s="1311"/>
      <c r="B1342" s="1332" t="s">
        <v>2030</v>
      </c>
      <c r="C1342" s="1343" t="s">
        <v>1293</v>
      </c>
      <c r="D1342" s="1338">
        <v>480</v>
      </c>
      <c r="E1342" s="1363">
        <f>D1342*$E$5</f>
        <v>510.23999999999995</v>
      </c>
    </row>
    <row r="1343" spans="1:5" s="1266" customFormat="1">
      <c r="A1343" s="1311"/>
      <c r="B1343" s="1332"/>
      <c r="C1343" s="1343"/>
      <c r="D1343" s="1338"/>
      <c r="E1343" s="1338"/>
    </row>
    <row r="1344" spans="1:5" s="1266" customFormat="1">
      <c r="A1344" s="1311"/>
      <c r="B1344" s="1312" t="s">
        <v>2031</v>
      </c>
      <c r="C1344" s="1343"/>
      <c r="D1344" s="1338"/>
      <c r="E1344" s="1338"/>
    </row>
    <row r="1345" spans="1:5" s="1266" customFormat="1">
      <c r="A1345" s="1311"/>
      <c r="B1345" s="1332"/>
      <c r="C1345" s="1343"/>
      <c r="D1345" s="1338"/>
      <c r="E1345" s="1338"/>
    </row>
    <row r="1346" spans="1:5" s="1266" customFormat="1">
      <c r="A1346" s="1311"/>
      <c r="B1346" s="1331" t="s">
        <v>2032</v>
      </c>
      <c r="C1346" s="1343"/>
      <c r="D1346" s="1338"/>
      <c r="E1346" s="1338"/>
    </row>
    <row r="1347" spans="1:5" s="1266" customFormat="1">
      <c r="A1347" s="1311"/>
      <c r="B1347" s="1332"/>
      <c r="C1347" s="1343"/>
      <c r="D1347" s="1338"/>
      <c r="E1347" s="1338"/>
    </row>
    <row r="1348" spans="1:5" s="1266" customFormat="1">
      <c r="A1348" s="1311"/>
      <c r="B1348" s="1332" t="s">
        <v>2033</v>
      </c>
      <c r="C1348" s="1343" t="s">
        <v>1293</v>
      </c>
      <c r="D1348" s="1338">
        <v>65</v>
      </c>
      <c r="E1348" s="1363">
        <f>D1348*$E$5</f>
        <v>69.094999999999999</v>
      </c>
    </row>
    <row r="1349" spans="1:5" s="1266" customFormat="1">
      <c r="A1349" s="1311"/>
      <c r="B1349" s="1332"/>
      <c r="C1349" s="1343"/>
      <c r="D1349" s="1338"/>
      <c r="E1349" s="1338"/>
    </row>
    <row r="1350" spans="1:5" s="1266" customFormat="1">
      <c r="A1350" s="1311"/>
      <c r="B1350" s="1332" t="s">
        <v>2034</v>
      </c>
      <c r="C1350" s="1343" t="s">
        <v>215</v>
      </c>
      <c r="D1350" s="1338">
        <v>20.2</v>
      </c>
      <c r="E1350" s="1363">
        <f>D1350*$E$5</f>
        <v>21.4726</v>
      </c>
    </row>
    <row r="1351" spans="1:5" s="1266" customFormat="1">
      <c r="A1351" s="1311"/>
      <c r="B1351" s="1332"/>
      <c r="C1351" s="1343"/>
      <c r="D1351" s="1338"/>
      <c r="E1351" s="1338"/>
    </row>
    <row r="1352" spans="1:5" s="1266" customFormat="1" ht="30">
      <c r="A1352" s="1311"/>
      <c r="B1352" s="1332" t="s">
        <v>2035</v>
      </c>
      <c r="C1352" s="1343" t="s">
        <v>215</v>
      </c>
      <c r="D1352" s="1338">
        <v>61.5</v>
      </c>
      <c r="E1352" s="1363">
        <f>D1352*$E$5</f>
        <v>65.374499999999998</v>
      </c>
    </row>
    <row r="1353" spans="1:5" s="1266" customFormat="1">
      <c r="A1353" s="1311"/>
      <c r="B1353" s="1332"/>
      <c r="C1353" s="1343"/>
      <c r="D1353" s="1338"/>
      <c r="E1353" s="1338"/>
    </row>
    <row r="1354" spans="1:5" s="1266" customFormat="1">
      <c r="A1354" s="1311"/>
      <c r="B1354" s="1331" t="s">
        <v>2036</v>
      </c>
      <c r="C1354" s="1343"/>
      <c r="D1354" s="1338"/>
      <c r="E1354" s="1338"/>
    </row>
    <row r="1355" spans="1:5" s="1266" customFormat="1">
      <c r="A1355" s="1311"/>
      <c r="B1355" s="1332"/>
      <c r="C1355" s="1343"/>
      <c r="D1355" s="1338"/>
      <c r="E1355" s="1338"/>
    </row>
    <row r="1356" spans="1:5" s="1266" customFormat="1" ht="45">
      <c r="A1356" s="1311"/>
      <c r="B1356" s="1332" t="s">
        <v>3409</v>
      </c>
      <c r="C1356" s="1343" t="s">
        <v>215</v>
      </c>
      <c r="D1356" s="1338">
        <v>254.88</v>
      </c>
      <c r="E1356" s="1363">
        <f>D1356*$E$5</f>
        <v>270.93743999999998</v>
      </c>
    </row>
    <row r="1357" spans="1:5" s="1266" customFormat="1">
      <c r="A1357" s="1311"/>
      <c r="B1357" s="1332"/>
      <c r="C1357" s="1343"/>
      <c r="D1357" s="1338"/>
      <c r="E1357" s="1338"/>
    </row>
    <row r="1358" spans="1:5" s="1266" customFormat="1" ht="45">
      <c r="A1358" s="1311"/>
      <c r="B1358" s="1332" t="s">
        <v>3410</v>
      </c>
      <c r="C1358" s="1343" t="s">
        <v>215</v>
      </c>
      <c r="D1358" s="1338">
        <v>350</v>
      </c>
      <c r="E1358" s="1363">
        <f>D1358*$E$5</f>
        <v>372.04999999999995</v>
      </c>
    </row>
    <row r="1359" spans="1:5" s="1266" customFormat="1">
      <c r="A1359" s="1311"/>
      <c r="B1359" s="1332"/>
      <c r="C1359" s="1343"/>
      <c r="D1359" s="1338"/>
      <c r="E1359" s="1338"/>
    </row>
    <row r="1360" spans="1:5" s="1266" customFormat="1" ht="45">
      <c r="A1360" s="1311"/>
      <c r="B1360" s="1332" t="s">
        <v>3411</v>
      </c>
      <c r="C1360" s="1343" t="s">
        <v>215</v>
      </c>
      <c r="D1360" s="1338">
        <v>450</v>
      </c>
      <c r="E1360" s="1363">
        <f>D1360*$E$5</f>
        <v>478.34999999999997</v>
      </c>
    </row>
    <row r="1361" spans="1:5" s="1266" customFormat="1">
      <c r="A1361" s="1311"/>
      <c r="B1361" s="1332"/>
      <c r="C1361" s="1343"/>
      <c r="D1361" s="1338"/>
      <c r="E1361" s="1338"/>
    </row>
    <row r="1362" spans="1:5" s="1266" customFormat="1">
      <c r="A1362" s="1311"/>
      <c r="B1362" s="1331" t="s">
        <v>2037</v>
      </c>
      <c r="C1362" s="1343"/>
      <c r="D1362" s="1338"/>
      <c r="E1362" s="1338"/>
    </row>
    <row r="1363" spans="1:5" s="1266" customFormat="1">
      <c r="A1363" s="1311"/>
      <c r="B1363" s="1332"/>
      <c r="C1363" s="1343"/>
      <c r="D1363" s="1338"/>
      <c r="E1363" s="1338"/>
    </row>
    <row r="1364" spans="1:5" s="1266" customFormat="1">
      <c r="A1364" s="1311"/>
      <c r="B1364" s="1332" t="s">
        <v>2038</v>
      </c>
      <c r="C1364" s="1343" t="s">
        <v>1293</v>
      </c>
      <c r="D1364" s="1338">
        <v>30</v>
      </c>
      <c r="E1364" s="1363">
        <f>D1364*$E$5</f>
        <v>31.889999999999997</v>
      </c>
    </row>
    <row r="1365" spans="1:5" s="1266" customFormat="1">
      <c r="A1365" s="1311"/>
      <c r="B1365" s="1332"/>
      <c r="C1365" s="1343"/>
      <c r="D1365" s="1338"/>
      <c r="E1365" s="1338"/>
    </row>
    <row r="1366" spans="1:5" s="1266" customFormat="1" ht="26.25">
      <c r="A1366" s="1311"/>
      <c r="B1366" s="1331" t="s">
        <v>2039</v>
      </c>
      <c r="C1366" s="1343"/>
      <c r="D1366" s="1338"/>
      <c r="E1366" s="1338"/>
    </row>
    <row r="1367" spans="1:5" s="1266" customFormat="1">
      <c r="A1367" s="1311"/>
      <c r="B1367" s="1332"/>
      <c r="C1367" s="1343"/>
      <c r="D1367" s="1338"/>
      <c r="E1367" s="1338"/>
    </row>
    <row r="1368" spans="1:5" s="1266" customFormat="1">
      <c r="A1368" s="1311"/>
      <c r="B1368" s="1332" t="s">
        <v>2040</v>
      </c>
      <c r="C1368" s="1343" t="s">
        <v>215</v>
      </c>
      <c r="D1368" s="1338">
        <v>39</v>
      </c>
      <c r="E1368" s="1363">
        <f>D1368*$E$5</f>
        <v>41.457000000000001</v>
      </c>
    </row>
    <row r="1369" spans="1:5" s="1266" customFormat="1">
      <c r="A1369" s="1311"/>
      <c r="B1369" s="1332"/>
      <c r="C1369" s="1343"/>
      <c r="D1369" s="1338"/>
      <c r="E1369" s="1338"/>
    </row>
    <row r="1370" spans="1:5" s="1266" customFormat="1" ht="30">
      <c r="A1370" s="1311"/>
      <c r="B1370" s="1332" t="s">
        <v>2041</v>
      </c>
      <c r="C1370" s="1343" t="s">
        <v>1293</v>
      </c>
      <c r="D1370" s="1338">
        <v>84</v>
      </c>
      <c r="E1370" s="1363">
        <f>D1370*$E$5</f>
        <v>89.292000000000002</v>
      </c>
    </row>
    <row r="1371" spans="1:5" s="1266" customFormat="1">
      <c r="A1371" s="1311"/>
      <c r="B1371" s="1332"/>
      <c r="C1371" s="1343"/>
      <c r="D1371" s="1338"/>
      <c r="E1371" s="1338"/>
    </row>
    <row r="1372" spans="1:5" s="1266" customFormat="1">
      <c r="A1372" s="1311"/>
      <c r="B1372" s="1331" t="s">
        <v>2042</v>
      </c>
      <c r="C1372" s="1343"/>
      <c r="D1372" s="1338"/>
      <c r="E1372" s="1338"/>
    </row>
    <row r="1373" spans="1:5" s="1266" customFormat="1">
      <c r="A1373" s="1311"/>
      <c r="B1373" s="1332"/>
      <c r="C1373" s="1343"/>
      <c r="D1373" s="1338"/>
      <c r="E1373" s="1338"/>
    </row>
    <row r="1374" spans="1:5" s="1266" customFormat="1">
      <c r="A1374" s="1311"/>
      <c r="B1374" s="1332" t="s">
        <v>2043</v>
      </c>
      <c r="C1374" s="1343" t="s">
        <v>215</v>
      </c>
      <c r="D1374" s="1338">
        <v>1.35</v>
      </c>
      <c r="E1374" s="1363">
        <f>D1374*$E$5</f>
        <v>1.4350499999999999</v>
      </c>
    </row>
    <row r="1375" spans="1:5" s="1266" customFormat="1">
      <c r="A1375" s="1311"/>
      <c r="B1375" s="1332"/>
      <c r="C1375" s="1343"/>
      <c r="D1375" s="1338"/>
      <c r="E1375" s="1338"/>
    </row>
    <row r="1376" spans="1:5" s="1266" customFormat="1">
      <c r="A1376" s="1311"/>
      <c r="B1376" s="1332" t="s">
        <v>2044</v>
      </c>
      <c r="C1376" s="1343" t="s">
        <v>215</v>
      </c>
      <c r="D1376" s="1338">
        <v>1.35</v>
      </c>
      <c r="E1376" s="1363">
        <f>D1376*$E$5</f>
        <v>1.4350499999999999</v>
      </c>
    </row>
    <row r="1377" spans="1:5" s="1266" customFormat="1">
      <c r="A1377" s="1311"/>
      <c r="B1377" s="1332"/>
      <c r="C1377" s="1343"/>
      <c r="D1377" s="1338"/>
      <c r="E1377" s="1338"/>
    </row>
    <row r="1378" spans="1:5" s="1266" customFormat="1" ht="26.25">
      <c r="A1378" s="1311"/>
      <c r="B1378" s="1331" t="s">
        <v>2045</v>
      </c>
      <c r="C1378" s="1343"/>
      <c r="D1378" s="1338"/>
      <c r="E1378" s="1338"/>
    </row>
    <row r="1379" spans="1:5" s="1266" customFormat="1">
      <c r="A1379" s="1311"/>
      <c r="B1379" s="1332"/>
      <c r="C1379" s="1343"/>
      <c r="D1379" s="1338"/>
      <c r="E1379" s="1338"/>
    </row>
    <row r="1380" spans="1:5" s="1266" customFormat="1">
      <c r="A1380" s="1311"/>
      <c r="B1380" s="1332" t="s">
        <v>2046</v>
      </c>
      <c r="C1380" s="1343" t="s">
        <v>215</v>
      </c>
      <c r="D1380" s="1338">
        <v>75</v>
      </c>
      <c r="E1380" s="1363">
        <f>D1380*$E$5</f>
        <v>79.724999999999994</v>
      </c>
    </row>
    <row r="1381" spans="1:5" s="1266" customFormat="1">
      <c r="A1381" s="1311"/>
      <c r="B1381" s="1332"/>
      <c r="C1381" s="1343"/>
      <c r="D1381" s="1338"/>
      <c r="E1381" s="1338"/>
    </row>
    <row r="1382" spans="1:5" s="1266" customFormat="1" ht="30">
      <c r="A1382" s="1311"/>
      <c r="B1382" s="1332" t="s">
        <v>2047</v>
      </c>
      <c r="C1382" s="1343" t="s">
        <v>215</v>
      </c>
      <c r="D1382" s="1338">
        <v>75</v>
      </c>
      <c r="E1382" s="1363">
        <f>D1382*$E$5</f>
        <v>79.724999999999994</v>
      </c>
    </row>
    <row r="1383" spans="1:5" s="1266" customFormat="1">
      <c r="A1383" s="1311"/>
      <c r="B1383" s="1332"/>
      <c r="C1383" s="1343"/>
      <c r="D1383" s="1338"/>
      <c r="E1383" s="1338"/>
    </row>
    <row r="1384" spans="1:5" s="1266" customFormat="1">
      <c r="A1384" s="1311"/>
      <c r="B1384" s="1332" t="s">
        <v>2048</v>
      </c>
      <c r="C1384" s="1343" t="s">
        <v>215</v>
      </c>
      <c r="D1384" s="1338">
        <v>75</v>
      </c>
      <c r="E1384" s="1363">
        <f>D1384*$E$5</f>
        <v>79.724999999999994</v>
      </c>
    </row>
    <row r="1385" spans="1:5" s="1266" customFormat="1">
      <c r="A1385" s="1311"/>
      <c r="B1385" s="1332"/>
      <c r="C1385" s="1343"/>
      <c r="D1385" s="1338"/>
      <c r="E1385" s="1338"/>
    </row>
    <row r="1386" spans="1:5" s="1266" customFormat="1">
      <c r="A1386" s="1311"/>
      <c r="B1386" s="1331" t="s">
        <v>2049</v>
      </c>
      <c r="C1386" s="1343"/>
      <c r="D1386" s="1338"/>
      <c r="E1386" s="1338"/>
    </row>
    <row r="1387" spans="1:5" s="1266" customFormat="1">
      <c r="A1387" s="1311"/>
      <c r="B1387" s="1332"/>
      <c r="C1387" s="1343"/>
      <c r="D1387" s="1338"/>
      <c r="E1387" s="1338"/>
    </row>
    <row r="1388" spans="1:5" s="1266" customFormat="1" ht="45">
      <c r="A1388" s="1311"/>
      <c r="B1388" s="1332" t="s">
        <v>2050</v>
      </c>
      <c r="C1388" s="1343" t="s">
        <v>215</v>
      </c>
      <c r="D1388" s="1338">
        <v>17.5</v>
      </c>
      <c r="E1388" s="1363">
        <f>D1388*$E$5</f>
        <v>18.602499999999999</v>
      </c>
    </row>
    <row r="1389" spans="1:5" s="1266" customFormat="1">
      <c r="A1389" s="1311"/>
      <c r="B1389" s="1332"/>
      <c r="C1389" s="1343"/>
      <c r="D1389" s="1338"/>
      <c r="E1389" s="1338"/>
    </row>
    <row r="1390" spans="1:5" s="1266" customFormat="1">
      <c r="A1390" s="1311"/>
      <c r="B1390" s="1312" t="s">
        <v>1358</v>
      </c>
      <c r="C1390" s="1343"/>
      <c r="D1390" s="1338"/>
      <c r="E1390" s="1338"/>
    </row>
    <row r="1391" spans="1:5" s="1266" customFormat="1">
      <c r="A1391" s="1311"/>
      <c r="B1391" s="1332"/>
      <c r="C1391" s="1343"/>
      <c r="D1391" s="1338"/>
      <c r="E1391" s="1338"/>
    </row>
    <row r="1392" spans="1:5" s="1266" customFormat="1">
      <c r="A1392" s="1311"/>
      <c r="B1392" s="1312" t="s">
        <v>1748</v>
      </c>
      <c r="C1392" s="1343"/>
      <c r="D1392" s="1338"/>
      <c r="E1392" s="1338"/>
    </row>
    <row r="1393" spans="1:5" s="1266" customFormat="1">
      <c r="A1393" s="1311"/>
      <c r="B1393" s="1332"/>
      <c r="C1393" s="1343"/>
      <c r="D1393" s="1338"/>
      <c r="E1393" s="1338"/>
    </row>
    <row r="1394" spans="1:5" s="1266" customFormat="1">
      <c r="A1394" s="1311"/>
      <c r="B1394" s="1331" t="s">
        <v>2051</v>
      </c>
      <c r="C1394" s="1343"/>
      <c r="D1394" s="1338"/>
      <c r="E1394" s="1338"/>
    </row>
    <row r="1395" spans="1:5" s="1266" customFormat="1">
      <c r="A1395" s="1311"/>
      <c r="B1395" s="1332"/>
      <c r="C1395" s="1343"/>
      <c r="D1395" s="1338"/>
      <c r="E1395" s="1338"/>
    </row>
    <row r="1396" spans="1:5" s="1266" customFormat="1" ht="120">
      <c r="A1396" s="1311"/>
      <c r="B1396" s="1332" t="s">
        <v>2052</v>
      </c>
      <c r="C1396" s="1343"/>
      <c r="D1396" s="1338"/>
      <c r="E1396" s="1338"/>
    </row>
    <row r="1397" spans="1:5" s="1266" customFormat="1">
      <c r="A1397" s="1311"/>
      <c r="B1397" s="1332"/>
      <c r="C1397" s="1343"/>
      <c r="D1397" s="1338"/>
      <c r="E1397" s="1338"/>
    </row>
    <row r="1398" spans="1:5" s="1266" customFormat="1">
      <c r="A1398" s="1311"/>
      <c r="B1398" s="1332" t="s">
        <v>1747</v>
      </c>
      <c r="C1398" s="1343"/>
      <c r="D1398" s="1338"/>
      <c r="E1398" s="1338"/>
    </row>
    <row r="1399" spans="1:5" s="1266" customFormat="1">
      <c r="A1399" s="1311"/>
      <c r="B1399" s="1332"/>
      <c r="C1399" s="1343"/>
      <c r="D1399" s="1338"/>
      <c r="E1399" s="1338"/>
    </row>
    <row r="1400" spans="1:5" s="1266" customFormat="1">
      <c r="A1400" s="1311"/>
      <c r="B1400" s="1312" t="s">
        <v>2053</v>
      </c>
      <c r="C1400" s="1343"/>
      <c r="D1400" s="1338"/>
      <c r="E1400" s="1338"/>
    </row>
    <row r="1401" spans="1:5" s="1266" customFormat="1">
      <c r="A1401" s="1311"/>
      <c r="B1401" s="1332"/>
      <c r="C1401" s="1343"/>
      <c r="D1401" s="1338"/>
      <c r="E1401" s="1338"/>
    </row>
    <row r="1402" spans="1:5" s="1266" customFormat="1" ht="26.25">
      <c r="A1402" s="1311"/>
      <c r="B1402" s="1331" t="s">
        <v>2054</v>
      </c>
      <c r="C1402" s="1343"/>
      <c r="D1402" s="1338"/>
      <c r="E1402" s="1338"/>
    </row>
    <row r="1403" spans="1:5" s="1266" customFormat="1">
      <c r="A1403" s="1311"/>
      <c r="B1403" s="1332"/>
      <c r="C1403" s="1343"/>
      <c r="D1403" s="1338"/>
      <c r="E1403" s="1338"/>
    </row>
    <row r="1404" spans="1:5" s="1266" customFormat="1">
      <c r="A1404" s="1311"/>
      <c r="B1404" s="1332" t="s">
        <v>1370</v>
      </c>
      <c r="C1404" s="1343" t="s">
        <v>1293</v>
      </c>
      <c r="D1404" s="1338">
        <v>35.58</v>
      </c>
      <c r="E1404" s="1363">
        <f>D1404*$E$5</f>
        <v>37.821539999999999</v>
      </c>
    </row>
    <row r="1405" spans="1:5" s="1266" customFormat="1">
      <c r="A1405" s="1311"/>
      <c r="B1405" s="1332"/>
      <c r="C1405" s="1343"/>
      <c r="D1405" s="1338"/>
      <c r="E1405" s="1338"/>
    </row>
    <row r="1406" spans="1:5" s="1266" customFormat="1">
      <c r="A1406" s="1311"/>
      <c r="B1406" s="1332" t="s">
        <v>1367</v>
      </c>
      <c r="C1406" s="1343" t="s">
        <v>1293</v>
      </c>
      <c r="D1406" s="1338">
        <v>35.58</v>
      </c>
      <c r="E1406" s="1363">
        <f>D1406*$E$5</f>
        <v>37.821539999999999</v>
      </c>
    </row>
    <row r="1407" spans="1:5" s="1266" customFormat="1">
      <c r="A1407" s="1311"/>
      <c r="B1407" s="1332"/>
      <c r="C1407" s="1343"/>
      <c r="D1407" s="1338"/>
      <c r="E1407" s="1338"/>
    </row>
    <row r="1408" spans="1:5" s="1266" customFormat="1">
      <c r="A1408" s="1311"/>
      <c r="B1408" s="1332" t="s">
        <v>2055</v>
      </c>
      <c r="C1408" s="1343" t="s">
        <v>1293</v>
      </c>
      <c r="D1408" s="1338">
        <v>35.58</v>
      </c>
      <c r="E1408" s="1363">
        <f>D1408*$E$5</f>
        <v>37.821539999999999</v>
      </c>
    </row>
    <row r="1409" spans="1:5" s="1266" customFormat="1">
      <c r="A1409" s="1311"/>
      <c r="B1409" s="1332"/>
      <c r="C1409" s="1343"/>
      <c r="D1409" s="1338"/>
      <c r="E1409" s="1338"/>
    </row>
    <row r="1410" spans="1:5" s="1266" customFormat="1" ht="26.25">
      <c r="A1410" s="1311"/>
      <c r="B1410" s="1331" t="s">
        <v>2056</v>
      </c>
      <c r="C1410" s="1343"/>
      <c r="D1410" s="1338"/>
      <c r="E1410" s="1338"/>
    </row>
    <row r="1411" spans="1:5" s="1266" customFormat="1">
      <c r="A1411" s="1311"/>
      <c r="B1411" s="1332"/>
      <c r="C1411" s="1343"/>
      <c r="D1411" s="1338"/>
      <c r="E1411" s="1338"/>
    </row>
    <row r="1412" spans="1:5" s="1266" customFormat="1">
      <c r="A1412" s="1311"/>
      <c r="B1412" s="1332" t="s">
        <v>2057</v>
      </c>
      <c r="C1412" s="1343" t="s">
        <v>1293</v>
      </c>
      <c r="D1412" s="1338">
        <v>60.68</v>
      </c>
      <c r="E1412" s="1363">
        <f>D1412*$E$5</f>
        <v>64.502839999999992</v>
      </c>
    </row>
    <row r="1413" spans="1:5" s="1266" customFormat="1">
      <c r="A1413" s="1311"/>
      <c r="B1413" s="1332"/>
      <c r="C1413" s="1343"/>
      <c r="D1413" s="1338"/>
      <c r="E1413" s="1338"/>
    </row>
    <row r="1414" spans="1:5" s="1266" customFormat="1" ht="39">
      <c r="A1414" s="1311"/>
      <c r="B1414" s="1331" t="s">
        <v>2058</v>
      </c>
      <c r="C1414" s="1343"/>
      <c r="D1414" s="1338"/>
      <c r="E1414" s="1338"/>
    </row>
    <row r="1415" spans="1:5" s="1266" customFormat="1">
      <c r="A1415" s="1311"/>
      <c r="B1415" s="1332"/>
      <c r="C1415" s="1343"/>
      <c r="D1415" s="1338"/>
      <c r="E1415" s="1338"/>
    </row>
    <row r="1416" spans="1:5" s="1266" customFormat="1">
      <c r="A1416" s="1311"/>
      <c r="B1416" s="1332" t="s">
        <v>2059</v>
      </c>
      <c r="C1416" s="1343" t="s">
        <v>1293</v>
      </c>
      <c r="D1416" s="1338">
        <v>266.14999999999998</v>
      </c>
      <c r="E1416" s="1363">
        <f>D1416*$E$5</f>
        <v>282.91744999999997</v>
      </c>
    </row>
    <row r="1417" spans="1:5" s="1266" customFormat="1">
      <c r="A1417" s="1311"/>
      <c r="B1417" s="1332"/>
      <c r="C1417" s="1343"/>
      <c r="D1417" s="1338"/>
      <c r="E1417" s="1338"/>
    </row>
    <row r="1418" spans="1:5" s="1266" customFormat="1" ht="51.75">
      <c r="A1418" s="1311"/>
      <c r="B1418" s="1331" t="s">
        <v>2060</v>
      </c>
      <c r="C1418" s="1343"/>
      <c r="D1418" s="1338"/>
      <c r="E1418" s="1338"/>
    </row>
    <row r="1419" spans="1:5" s="1266" customFormat="1">
      <c r="A1419" s="1311"/>
      <c r="B1419" s="1332"/>
      <c r="C1419" s="1343"/>
      <c r="D1419" s="1338"/>
      <c r="E1419" s="1338"/>
    </row>
    <row r="1420" spans="1:5" s="1266" customFormat="1">
      <c r="A1420" s="1311"/>
      <c r="B1420" s="1332" t="s">
        <v>2061</v>
      </c>
      <c r="C1420" s="1343" t="s">
        <v>1293</v>
      </c>
      <c r="D1420" s="1338">
        <v>446.25</v>
      </c>
      <c r="E1420" s="1363">
        <f>D1420*$E$5</f>
        <v>474.36374999999998</v>
      </c>
    </row>
    <row r="1421" spans="1:5" s="1266" customFormat="1">
      <c r="A1421" s="1311"/>
      <c r="B1421" s="1332"/>
      <c r="C1421" s="1343"/>
      <c r="D1421" s="1338"/>
      <c r="E1421" s="1338"/>
    </row>
    <row r="1422" spans="1:5" s="1266" customFormat="1">
      <c r="A1422" s="1311"/>
      <c r="B1422" s="1312" t="s">
        <v>2062</v>
      </c>
      <c r="C1422" s="1343"/>
      <c r="D1422" s="1338"/>
      <c r="E1422" s="1338"/>
    </row>
    <row r="1423" spans="1:5" s="1266" customFormat="1">
      <c r="A1423" s="1311"/>
      <c r="B1423" s="1332"/>
      <c r="C1423" s="1343"/>
      <c r="D1423" s="1338"/>
      <c r="E1423" s="1338"/>
    </row>
    <row r="1424" spans="1:5" s="1266" customFormat="1" ht="26.25">
      <c r="A1424" s="1311"/>
      <c r="B1424" s="1331" t="s">
        <v>2063</v>
      </c>
      <c r="C1424" s="1343"/>
      <c r="D1424" s="1338"/>
      <c r="E1424" s="1338"/>
    </row>
    <row r="1425" spans="1:5" s="1266" customFormat="1">
      <c r="A1425" s="1311"/>
      <c r="B1425" s="1332"/>
      <c r="C1425" s="1343"/>
      <c r="D1425" s="1338"/>
      <c r="E1425" s="1338"/>
    </row>
    <row r="1426" spans="1:5" s="1266" customFormat="1">
      <c r="A1426" s="1311"/>
      <c r="B1426" s="1332" t="s">
        <v>2064</v>
      </c>
      <c r="C1426" s="1343" t="s">
        <v>1293</v>
      </c>
      <c r="D1426" s="1338">
        <v>264.45999999999998</v>
      </c>
      <c r="E1426" s="1363">
        <f>D1426*$E$5</f>
        <v>281.12097999999997</v>
      </c>
    </row>
    <row r="1427" spans="1:5" s="1266" customFormat="1">
      <c r="A1427" s="1311"/>
      <c r="B1427" s="1332"/>
      <c r="C1427" s="1343"/>
      <c r="D1427" s="1338"/>
      <c r="E1427" s="1338"/>
    </row>
    <row r="1428" spans="1:5" s="1266" customFormat="1" ht="26.25">
      <c r="A1428" s="1311"/>
      <c r="B1428" s="1331" t="s">
        <v>2065</v>
      </c>
      <c r="C1428" s="1343"/>
      <c r="D1428" s="1338"/>
      <c r="E1428" s="1338"/>
    </row>
    <row r="1429" spans="1:5" s="1266" customFormat="1">
      <c r="A1429" s="1311"/>
      <c r="B1429" s="1332"/>
      <c r="C1429" s="1343"/>
      <c r="D1429" s="1338"/>
      <c r="E1429" s="1338"/>
    </row>
    <row r="1430" spans="1:5" s="1266" customFormat="1">
      <c r="A1430" s="1311"/>
      <c r="B1430" s="1332" t="s">
        <v>2066</v>
      </c>
      <c r="C1430" s="1343" t="s">
        <v>1293</v>
      </c>
      <c r="D1430" s="1338">
        <v>263.44</v>
      </c>
      <c r="E1430" s="1363">
        <f>D1430*$E$5</f>
        <v>280.03672</v>
      </c>
    </row>
    <row r="1431" spans="1:5" s="1266" customFormat="1">
      <c r="A1431" s="1311"/>
      <c r="B1431" s="1332"/>
      <c r="C1431" s="1343"/>
      <c r="D1431" s="1338"/>
      <c r="E1431" s="1338"/>
    </row>
    <row r="1432" spans="1:5" s="1266" customFormat="1" ht="30">
      <c r="A1432" s="1311"/>
      <c r="B1432" s="1332" t="s">
        <v>2067</v>
      </c>
      <c r="C1432" s="1343" t="s">
        <v>1293</v>
      </c>
      <c r="D1432" s="1338">
        <v>224.88</v>
      </c>
      <c r="E1432" s="1363">
        <f>D1432*$E$5</f>
        <v>239.04743999999999</v>
      </c>
    </row>
    <row r="1433" spans="1:5" s="1266" customFormat="1">
      <c r="A1433" s="1311"/>
      <c r="B1433" s="1332"/>
      <c r="C1433" s="1343"/>
      <c r="D1433" s="1338"/>
      <c r="E1433" s="1338"/>
    </row>
    <row r="1434" spans="1:5" s="1266" customFormat="1" ht="30">
      <c r="A1434" s="1311"/>
      <c r="B1434" s="1332" t="s">
        <v>2068</v>
      </c>
      <c r="C1434" s="1343" t="s">
        <v>215</v>
      </c>
      <c r="D1434" s="1338">
        <v>24.7</v>
      </c>
      <c r="E1434" s="1363">
        <f>D1434*$E$5</f>
        <v>26.256099999999996</v>
      </c>
    </row>
    <row r="1435" spans="1:5" s="1266" customFormat="1">
      <c r="A1435" s="1311"/>
      <c r="B1435" s="1332"/>
      <c r="C1435" s="1343"/>
      <c r="D1435" s="1338"/>
      <c r="E1435" s="1338"/>
    </row>
    <row r="1436" spans="1:5" s="1266" customFormat="1">
      <c r="A1436" s="1311"/>
      <c r="B1436" s="1332" t="s">
        <v>2069</v>
      </c>
      <c r="C1436" s="1343" t="s">
        <v>215</v>
      </c>
      <c r="D1436" s="1338">
        <v>9.56</v>
      </c>
      <c r="E1436" s="1363">
        <f>D1436*$E$5</f>
        <v>10.162280000000001</v>
      </c>
    </row>
    <row r="1437" spans="1:5" s="1266" customFormat="1">
      <c r="A1437" s="1311"/>
      <c r="B1437" s="1332"/>
      <c r="C1437" s="1343"/>
      <c r="D1437" s="1338"/>
      <c r="E1437" s="1338"/>
    </row>
    <row r="1438" spans="1:5" s="1266" customFormat="1">
      <c r="A1438" s="1311"/>
      <c r="B1438" s="1332" t="s">
        <v>2070</v>
      </c>
      <c r="C1438" s="1343" t="s">
        <v>217</v>
      </c>
      <c r="D1438" s="1338">
        <v>98.8</v>
      </c>
      <c r="E1438" s="1363">
        <f>D1438*$E$5</f>
        <v>105.02439999999999</v>
      </c>
    </row>
    <row r="1439" spans="1:5" s="1266" customFormat="1">
      <c r="A1439" s="1311"/>
      <c r="B1439" s="1332"/>
      <c r="C1439" s="1343"/>
      <c r="D1439" s="1338"/>
      <c r="E1439" s="1338"/>
    </row>
    <row r="1440" spans="1:5" s="1266" customFormat="1" ht="39">
      <c r="A1440" s="1311"/>
      <c r="B1440" s="1331" t="s">
        <v>2071</v>
      </c>
      <c r="C1440" s="1343"/>
      <c r="D1440" s="1338"/>
      <c r="E1440" s="1338"/>
    </row>
    <row r="1441" spans="1:5" s="1266" customFormat="1">
      <c r="A1441" s="1311"/>
      <c r="B1441" s="1332"/>
      <c r="C1441" s="1343"/>
      <c r="D1441" s="1338"/>
      <c r="E1441" s="1338"/>
    </row>
    <row r="1442" spans="1:5" s="1266" customFormat="1">
      <c r="A1442" s="1311"/>
      <c r="B1442" s="1332" t="s">
        <v>2072</v>
      </c>
      <c r="C1442" s="1343" t="s">
        <v>1293</v>
      </c>
      <c r="D1442" s="1338">
        <v>123.35</v>
      </c>
      <c r="E1442" s="1363">
        <f>D1442*$E$5</f>
        <v>131.12105</v>
      </c>
    </row>
    <row r="1443" spans="1:5" s="1266" customFormat="1">
      <c r="A1443" s="1311"/>
      <c r="B1443" s="1332"/>
      <c r="C1443" s="1343"/>
      <c r="D1443" s="1338"/>
      <c r="E1443" s="1338"/>
    </row>
    <row r="1444" spans="1:5" s="1266" customFormat="1" ht="26.25">
      <c r="A1444" s="1311"/>
      <c r="B1444" s="1331" t="s">
        <v>2073</v>
      </c>
      <c r="C1444" s="1343"/>
      <c r="D1444" s="1338"/>
      <c r="E1444" s="1338"/>
    </row>
    <row r="1445" spans="1:5" s="1266" customFormat="1">
      <c r="A1445" s="1311"/>
      <c r="B1445" s="1332"/>
      <c r="C1445" s="1343"/>
      <c r="D1445" s="1338"/>
      <c r="E1445" s="1338"/>
    </row>
    <row r="1446" spans="1:5" s="1266" customFormat="1">
      <c r="A1446" s="1311"/>
      <c r="B1446" s="1332" t="s">
        <v>2074</v>
      </c>
      <c r="C1446" s="1343" t="s">
        <v>1293</v>
      </c>
      <c r="D1446" s="1338">
        <v>269.64</v>
      </c>
      <c r="E1446" s="1363">
        <f>D1446*$E$5</f>
        <v>286.62732</v>
      </c>
    </row>
    <row r="1447" spans="1:5" s="1266" customFormat="1">
      <c r="A1447" s="1311"/>
      <c r="B1447" s="1332"/>
      <c r="C1447" s="1343"/>
      <c r="D1447" s="1338"/>
      <c r="E1447" s="1338"/>
    </row>
    <row r="1448" spans="1:5" s="1266" customFormat="1">
      <c r="A1448" s="1311"/>
      <c r="B1448" s="1332" t="s">
        <v>2075</v>
      </c>
      <c r="C1448" s="1343" t="s">
        <v>215</v>
      </c>
      <c r="D1448" s="1338">
        <v>51</v>
      </c>
      <c r="E1448" s="1363">
        <f>D1448*$E$5</f>
        <v>54.212999999999994</v>
      </c>
    </row>
    <row r="1449" spans="1:5" s="1266" customFormat="1">
      <c r="A1449" s="1311"/>
      <c r="B1449" s="1332"/>
      <c r="C1449" s="1343"/>
      <c r="D1449" s="1338"/>
      <c r="E1449" s="1338"/>
    </row>
    <row r="1450" spans="1:5" s="1266" customFormat="1" ht="90">
      <c r="A1450" s="1311"/>
      <c r="B1450" s="1331" t="s">
        <v>2076</v>
      </c>
      <c r="C1450" s="1343"/>
      <c r="D1450" s="1338"/>
      <c r="E1450" s="1338"/>
    </row>
    <row r="1451" spans="1:5" s="1266" customFormat="1">
      <c r="A1451" s="1311"/>
      <c r="B1451" s="1332"/>
      <c r="C1451" s="1343"/>
      <c r="D1451" s="1338"/>
      <c r="E1451" s="1338"/>
    </row>
    <row r="1452" spans="1:5" s="1266" customFormat="1">
      <c r="A1452" s="1311"/>
      <c r="B1452" s="1332" t="s">
        <v>2077</v>
      </c>
      <c r="C1452" s="1343" t="s">
        <v>215</v>
      </c>
      <c r="D1452" s="1338">
        <v>239.58</v>
      </c>
      <c r="E1452" s="1363">
        <f>D1452*$E$5</f>
        <v>254.67354</v>
      </c>
    </row>
    <row r="1453" spans="1:5" s="1266" customFormat="1">
      <c r="A1453" s="1311"/>
      <c r="B1453" s="1332"/>
      <c r="C1453" s="1343"/>
      <c r="D1453" s="1338"/>
      <c r="E1453" s="1338"/>
    </row>
    <row r="1454" spans="1:5" s="1266" customFormat="1" ht="64.5">
      <c r="A1454" s="1311"/>
      <c r="B1454" s="1331" t="s">
        <v>2078</v>
      </c>
      <c r="C1454" s="1343"/>
      <c r="D1454" s="1338"/>
      <c r="E1454" s="1338"/>
    </row>
    <row r="1455" spans="1:5" s="1266" customFormat="1">
      <c r="A1455" s="1311"/>
      <c r="B1455" s="1332"/>
      <c r="C1455" s="1343"/>
      <c r="D1455" s="1338"/>
      <c r="E1455" s="1338"/>
    </row>
    <row r="1456" spans="1:5" s="1266" customFormat="1">
      <c r="A1456" s="1311"/>
      <c r="B1456" s="1332" t="s">
        <v>2079</v>
      </c>
      <c r="C1456" s="1343" t="s">
        <v>1293</v>
      </c>
      <c r="D1456" s="1338">
        <v>1140</v>
      </c>
      <c r="E1456" s="1363">
        <f>D1456*$E$5</f>
        <v>1211.82</v>
      </c>
    </row>
    <row r="1457" spans="1:5" s="1266" customFormat="1">
      <c r="A1457" s="1311"/>
      <c r="B1457" s="1332"/>
      <c r="C1457" s="1343"/>
      <c r="D1457" s="1338"/>
      <c r="E1457" s="1338"/>
    </row>
    <row r="1458" spans="1:5" s="1266" customFormat="1">
      <c r="A1458" s="1311"/>
      <c r="B1458" s="1332" t="s">
        <v>2080</v>
      </c>
      <c r="C1458" s="1343" t="s">
        <v>1293</v>
      </c>
      <c r="D1458" s="1338">
        <v>1140</v>
      </c>
      <c r="E1458" s="1363">
        <f>D1458*$E$5</f>
        <v>1211.82</v>
      </c>
    </row>
    <row r="1459" spans="1:5" s="1266" customFormat="1">
      <c r="A1459" s="1311"/>
      <c r="B1459" s="1332"/>
      <c r="C1459" s="1343"/>
      <c r="D1459" s="1338"/>
      <c r="E1459" s="1338"/>
    </row>
    <row r="1460" spans="1:5" s="1266" customFormat="1">
      <c r="A1460" s="1311"/>
      <c r="B1460" s="1312" t="s">
        <v>2081</v>
      </c>
      <c r="C1460" s="1343"/>
      <c r="D1460" s="1338"/>
      <c r="E1460" s="1338"/>
    </row>
    <row r="1461" spans="1:5" s="1266" customFormat="1">
      <c r="A1461" s="1311"/>
      <c r="B1461" s="1332"/>
      <c r="C1461" s="1343"/>
      <c r="D1461" s="1338"/>
      <c r="E1461" s="1338"/>
    </row>
    <row r="1462" spans="1:5" s="1266" customFormat="1">
      <c r="A1462" s="1311"/>
      <c r="B1462" s="1331" t="s">
        <v>2082</v>
      </c>
      <c r="C1462" s="1343"/>
      <c r="D1462" s="1338"/>
      <c r="E1462" s="1338"/>
    </row>
    <row r="1463" spans="1:5" s="1266" customFormat="1">
      <c r="A1463" s="1311"/>
      <c r="B1463" s="1332"/>
      <c r="C1463" s="1343"/>
      <c r="D1463" s="1338"/>
      <c r="E1463" s="1338"/>
    </row>
    <row r="1464" spans="1:5" s="1266" customFormat="1">
      <c r="A1464" s="1311"/>
      <c r="B1464" s="1332" t="s">
        <v>2083</v>
      </c>
      <c r="C1464" s="1343" t="s">
        <v>1293</v>
      </c>
      <c r="D1464" s="1338">
        <v>45.1</v>
      </c>
      <c r="E1464" s="1363">
        <f>D1464*$E$5</f>
        <v>47.941299999999998</v>
      </c>
    </row>
    <row r="1465" spans="1:5" s="1266" customFormat="1">
      <c r="A1465" s="1311"/>
      <c r="B1465" s="1332"/>
      <c r="C1465" s="1343"/>
      <c r="D1465" s="1338"/>
      <c r="E1465" s="1338"/>
    </row>
    <row r="1466" spans="1:5" s="1266" customFormat="1">
      <c r="A1466" s="1311"/>
      <c r="B1466" s="1312" t="s">
        <v>2084</v>
      </c>
      <c r="C1466" s="1343"/>
      <c r="D1466" s="1338"/>
      <c r="E1466" s="1338"/>
    </row>
    <row r="1467" spans="1:5" s="1266" customFormat="1">
      <c r="A1467" s="1311"/>
      <c r="B1467" s="1332"/>
      <c r="C1467" s="1343"/>
      <c r="D1467" s="1338"/>
      <c r="E1467" s="1338"/>
    </row>
    <row r="1468" spans="1:5" s="1266" customFormat="1">
      <c r="A1468" s="1311"/>
      <c r="B1468" s="1331" t="s">
        <v>2085</v>
      </c>
      <c r="C1468" s="1343"/>
      <c r="D1468" s="1338"/>
      <c r="E1468" s="1338"/>
    </row>
    <row r="1469" spans="1:5" s="1266" customFormat="1">
      <c r="A1469" s="1311"/>
      <c r="B1469" s="1332"/>
      <c r="C1469" s="1343"/>
      <c r="D1469" s="1338"/>
      <c r="E1469" s="1338"/>
    </row>
    <row r="1470" spans="1:5" s="1266" customFormat="1" ht="30">
      <c r="A1470" s="1311"/>
      <c r="B1470" s="1332" t="s">
        <v>2086</v>
      </c>
      <c r="C1470" s="1343" t="s">
        <v>215</v>
      </c>
      <c r="D1470" s="1338">
        <v>9.52</v>
      </c>
      <c r="E1470" s="1363">
        <f>D1470*$E$5</f>
        <v>10.119759999999999</v>
      </c>
    </row>
    <row r="1471" spans="1:5" s="1266" customFormat="1">
      <c r="A1471" s="1311"/>
      <c r="B1471" s="1332"/>
      <c r="C1471" s="1343"/>
      <c r="D1471" s="1338"/>
      <c r="E1471" s="1338"/>
    </row>
    <row r="1472" spans="1:5" s="1266" customFormat="1">
      <c r="A1472" s="1311"/>
      <c r="B1472" s="1331" t="s">
        <v>2087</v>
      </c>
      <c r="C1472" s="1343"/>
      <c r="D1472" s="1338"/>
      <c r="E1472" s="1338"/>
    </row>
    <row r="1473" spans="1:5" s="1266" customFormat="1">
      <c r="A1473" s="1311"/>
      <c r="B1473" s="1332"/>
      <c r="C1473" s="1343"/>
      <c r="D1473" s="1338"/>
      <c r="E1473" s="1338"/>
    </row>
    <row r="1474" spans="1:5" s="1266" customFormat="1">
      <c r="A1474" s="1311"/>
      <c r="B1474" s="1332" t="s">
        <v>2088</v>
      </c>
      <c r="C1474" s="1343" t="s">
        <v>215</v>
      </c>
      <c r="D1474" s="1338">
        <v>80</v>
      </c>
      <c r="E1474" s="1363">
        <f>D1474*$E$5</f>
        <v>85.039999999999992</v>
      </c>
    </row>
    <row r="1475" spans="1:5" s="1266" customFormat="1">
      <c r="A1475" s="1311"/>
      <c r="B1475" s="1332"/>
      <c r="C1475" s="1343"/>
      <c r="D1475" s="1338"/>
      <c r="E1475" s="1338"/>
    </row>
    <row r="1476" spans="1:5" s="1266" customFormat="1">
      <c r="A1476" s="1311"/>
      <c r="B1476" s="1332" t="s">
        <v>2089</v>
      </c>
      <c r="C1476" s="1343" t="s">
        <v>217</v>
      </c>
      <c r="D1476" s="1338">
        <v>50</v>
      </c>
      <c r="E1476" s="1363">
        <f>D1476*$E$5</f>
        <v>53.15</v>
      </c>
    </row>
    <row r="1477" spans="1:5" s="1266" customFormat="1">
      <c r="A1477" s="1311"/>
      <c r="B1477" s="1332"/>
      <c r="C1477" s="1343"/>
      <c r="D1477" s="1338"/>
      <c r="E1477" s="1338"/>
    </row>
    <row r="1478" spans="1:5" s="1266" customFormat="1">
      <c r="A1478" s="1311"/>
      <c r="B1478" s="1312" t="s">
        <v>2090</v>
      </c>
      <c r="C1478" s="1343"/>
      <c r="D1478" s="1338"/>
      <c r="E1478" s="1338"/>
    </row>
    <row r="1479" spans="1:5" s="1266" customFormat="1">
      <c r="A1479" s="1311"/>
      <c r="B1479" s="1332"/>
      <c r="C1479" s="1343"/>
      <c r="D1479" s="1338"/>
      <c r="E1479" s="1338"/>
    </row>
    <row r="1480" spans="1:5" s="1266" customFormat="1" ht="26.25">
      <c r="A1480" s="1311"/>
      <c r="B1480" s="1331" t="s">
        <v>2091</v>
      </c>
      <c r="C1480" s="1343"/>
      <c r="D1480" s="1338"/>
      <c r="E1480" s="1338"/>
    </row>
    <row r="1481" spans="1:5" s="1266" customFormat="1">
      <c r="A1481" s="1311"/>
      <c r="B1481" s="1332"/>
      <c r="C1481" s="1343"/>
      <c r="D1481" s="1338"/>
      <c r="E1481" s="1338"/>
    </row>
    <row r="1482" spans="1:5" s="1266" customFormat="1" ht="30">
      <c r="A1482" s="1311"/>
      <c r="B1482" s="1332" t="s">
        <v>2092</v>
      </c>
      <c r="C1482" s="1343" t="s">
        <v>215</v>
      </c>
      <c r="D1482" s="1338">
        <v>50</v>
      </c>
      <c r="E1482" s="1363">
        <f>D1482*$E$5</f>
        <v>53.15</v>
      </c>
    </row>
    <row r="1483" spans="1:5" s="1266" customFormat="1">
      <c r="A1483" s="1311"/>
      <c r="B1483" s="1332"/>
      <c r="C1483" s="1343"/>
      <c r="D1483" s="1338"/>
      <c r="E1483" s="1338"/>
    </row>
    <row r="1484" spans="1:5" s="1266" customFormat="1">
      <c r="A1484" s="1311"/>
      <c r="B1484" s="1312" t="s">
        <v>2093</v>
      </c>
      <c r="C1484" s="1343"/>
      <c r="D1484" s="1338"/>
      <c r="E1484" s="1338"/>
    </row>
    <row r="1485" spans="1:5" s="1266" customFormat="1">
      <c r="A1485" s="1311"/>
      <c r="B1485" s="1332"/>
      <c r="C1485" s="1343"/>
      <c r="D1485" s="1338"/>
      <c r="E1485" s="1338"/>
    </row>
    <row r="1486" spans="1:5" s="1266" customFormat="1">
      <c r="A1486" s="1311"/>
      <c r="B1486" s="1331" t="s">
        <v>2094</v>
      </c>
      <c r="C1486" s="1343"/>
      <c r="D1486" s="1338"/>
      <c r="E1486" s="1338"/>
    </row>
    <row r="1487" spans="1:5" s="1266" customFormat="1">
      <c r="A1487" s="1311"/>
      <c r="B1487" s="1332"/>
      <c r="C1487" s="1343"/>
      <c r="D1487" s="1338"/>
      <c r="E1487" s="1338"/>
    </row>
    <row r="1488" spans="1:5" s="1266" customFormat="1">
      <c r="A1488" s="1311"/>
      <c r="B1488" s="1332" t="s">
        <v>2095</v>
      </c>
      <c r="C1488" s="1343" t="s">
        <v>215</v>
      </c>
      <c r="D1488" s="1338">
        <v>8.09</v>
      </c>
      <c r="E1488" s="1363">
        <f>D1488*$E$5</f>
        <v>8.5996699999999997</v>
      </c>
    </row>
    <row r="1489" spans="1:5" s="1266" customFormat="1">
      <c r="A1489" s="1311"/>
      <c r="B1489" s="1332"/>
      <c r="C1489" s="1343"/>
      <c r="D1489" s="1338"/>
      <c r="E1489" s="1338"/>
    </row>
    <row r="1490" spans="1:5" s="1266" customFormat="1">
      <c r="A1490" s="1311"/>
      <c r="B1490" s="1332" t="s">
        <v>2096</v>
      </c>
      <c r="C1490" s="1343" t="s">
        <v>215</v>
      </c>
      <c r="D1490" s="1338">
        <v>8.09</v>
      </c>
      <c r="E1490" s="1363">
        <f>D1490*$E$5</f>
        <v>8.5996699999999997</v>
      </c>
    </row>
    <row r="1491" spans="1:5" s="1266" customFormat="1">
      <c r="A1491" s="1311"/>
      <c r="B1491" s="1332"/>
      <c r="C1491" s="1343"/>
      <c r="D1491" s="1338"/>
      <c r="E1491" s="1338"/>
    </row>
    <row r="1492" spans="1:5" s="1266" customFormat="1">
      <c r="A1492" s="1311"/>
      <c r="B1492" s="1332" t="s">
        <v>2097</v>
      </c>
      <c r="C1492" s="1343" t="s">
        <v>215</v>
      </c>
      <c r="D1492" s="1338">
        <v>8.09</v>
      </c>
      <c r="E1492" s="1363">
        <f>D1492*$E$5</f>
        <v>8.5996699999999997</v>
      </c>
    </row>
    <row r="1493" spans="1:5" s="1266" customFormat="1">
      <c r="A1493" s="1311"/>
      <c r="B1493" s="1332"/>
      <c r="C1493" s="1343"/>
      <c r="D1493" s="1338"/>
      <c r="E1493" s="1338"/>
    </row>
    <row r="1494" spans="1:5" s="1266" customFormat="1" ht="26.25">
      <c r="A1494" s="1311"/>
      <c r="B1494" s="1331" t="s">
        <v>2098</v>
      </c>
      <c r="C1494" s="1343"/>
      <c r="D1494" s="1338"/>
      <c r="E1494" s="1338"/>
    </row>
    <row r="1495" spans="1:5" s="1266" customFormat="1">
      <c r="A1495" s="1311"/>
      <c r="B1495" s="1332"/>
      <c r="C1495" s="1343"/>
      <c r="D1495" s="1338"/>
      <c r="E1495" s="1338"/>
    </row>
    <row r="1496" spans="1:5" s="1266" customFormat="1">
      <c r="A1496" s="1311"/>
      <c r="B1496" s="1332" t="s">
        <v>2099</v>
      </c>
      <c r="C1496" s="1343" t="s">
        <v>215</v>
      </c>
      <c r="D1496" s="1338">
        <v>64.739999999999995</v>
      </c>
      <c r="E1496" s="1363">
        <f>D1496*$E$5</f>
        <v>68.818619999999996</v>
      </c>
    </row>
    <row r="1497" spans="1:5" s="1266" customFormat="1">
      <c r="A1497" s="1311"/>
      <c r="B1497" s="1332"/>
      <c r="C1497" s="1343"/>
      <c r="D1497" s="1338"/>
      <c r="E1497" s="1338"/>
    </row>
    <row r="1498" spans="1:5" s="1266" customFormat="1" ht="26.25">
      <c r="A1498" s="1311"/>
      <c r="B1498" s="1331" t="s">
        <v>2100</v>
      </c>
      <c r="C1498" s="1343"/>
      <c r="D1498" s="1338"/>
      <c r="E1498" s="1338"/>
    </row>
    <row r="1499" spans="1:5" s="1266" customFormat="1">
      <c r="A1499" s="1311"/>
      <c r="B1499" s="1332"/>
      <c r="C1499" s="1343"/>
      <c r="D1499" s="1338"/>
      <c r="E1499" s="1338"/>
    </row>
    <row r="1500" spans="1:5" s="1266" customFormat="1">
      <c r="A1500" s="1311"/>
      <c r="B1500" s="1332" t="s">
        <v>2101</v>
      </c>
      <c r="C1500" s="1343" t="s">
        <v>215</v>
      </c>
      <c r="D1500" s="1338">
        <v>45</v>
      </c>
      <c r="E1500" s="1363">
        <f>D1500*$E$5</f>
        <v>47.835000000000001</v>
      </c>
    </row>
    <row r="1501" spans="1:5" s="1266" customFormat="1">
      <c r="A1501" s="1311"/>
      <c r="B1501" s="1332"/>
      <c r="C1501" s="1343"/>
      <c r="D1501" s="1338"/>
      <c r="E1501" s="1338"/>
    </row>
    <row r="1502" spans="1:5" s="1266" customFormat="1">
      <c r="A1502" s="1311"/>
      <c r="B1502" s="1332" t="s">
        <v>2102</v>
      </c>
      <c r="C1502" s="1343" t="s">
        <v>215</v>
      </c>
      <c r="D1502" s="1338">
        <v>50</v>
      </c>
      <c r="E1502" s="1363">
        <f>D1502*$E$5</f>
        <v>53.15</v>
      </c>
    </row>
    <row r="1503" spans="1:5" s="1266" customFormat="1">
      <c r="A1503" s="1311"/>
      <c r="B1503" s="1332"/>
      <c r="C1503" s="1343"/>
      <c r="D1503" s="1338"/>
      <c r="E1503" s="1338"/>
    </row>
    <row r="1504" spans="1:5" s="1266" customFormat="1">
      <c r="A1504" s="1311"/>
      <c r="B1504" s="1312" t="s">
        <v>2103</v>
      </c>
      <c r="C1504" s="1343"/>
      <c r="D1504" s="1338"/>
      <c r="E1504" s="1338"/>
    </row>
    <row r="1505" spans="1:5" s="1266" customFormat="1">
      <c r="A1505" s="1311"/>
      <c r="B1505" s="1332"/>
      <c r="C1505" s="1343"/>
      <c r="D1505" s="1338"/>
      <c r="E1505" s="1338"/>
    </row>
    <row r="1506" spans="1:5" s="1266" customFormat="1" ht="26.25">
      <c r="A1506" s="1311"/>
      <c r="B1506" s="1331" t="s">
        <v>2104</v>
      </c>
      <c r="C1506" s="1343"/>
      <c r="D1506" s="1338"/>
      <c r="E1506" s="1338"/>
    </row>
    <row r="1507" spans="1:5" s="1266" customFormat="1">
      <c r="A1507" s="1311"/>
      <c r="B1507" s="1332"/>
      <c r="C1507" s="1343"/>
      <c r="D1507" s="1338"/>
      <c r="E1507" s="1338"/>
    </row>
    <row r="1508" spans="1:5" s="1266" customFormat="1">
      <c r="A1508" s="1311"/>
      <c r="B1508" s="1332" t="s">
        <v>2105</v>
      </c>
      <c r="C1508" s="1343" t="s">
        <v>1293</v>
      </c>
      <c r="D1508" s="1338">
        <v>420.4</v>
      </c>
      <c r="E1508" s="1363">
        <f>D1508*$E$5</f>
        <v>446.88519999999994</v>
      </c>
    </row>
    <row r="1509" spans="1:5" s="1266" customFormat="1">
      <c r="A1509" s="1311"/>
      <c r="B1509" s="1332"/>
      <c r="C1509" s="1343"/>
      <c r="D1509" s="1338"/>
      <c r="E1509" s="1338"/>
    </row>
    <row r="1510" spans="1:5" s="1266" customFormat="1">
      <c r="A1510" s="1311"/>
      <c r="B1510" s="1312" t="s">
        <v>2106</v>
      </c>
      <c r="C1510" s="1343"/>
      <c r="D1510" s="1338"/>
      <c r="E1510" s="1338"/>
    </row>
    <row r="1511" spans="1:5" s="1266" customFormat="1">
      <c r="A1511" s="1311"/>
      <c r="B1511" s="1332"/>
      <c r="C1511" s="1343"/>
      <c r="D1511" s="1338"/>
      <c r="E1511" s="1338"/>
    </row>
    <row r="1512" spans="1:5" s="1266" customFormat="1" ht="51.75">
      <c r="A1512" s="1311"/>
      <c r="B1512" s="1331" t="s">
        <v>2107</v>
      </c>
      <c r="C1512" s="1343"/>
      <c r="D1512" s="1338"/>
      <c r="E1512" s="1338"/>
    </row>
    <row r="1513" spans="1:5" s="1266" customFormat="1">
      <c r="A1513" s="1311"/>
      <c r="B1513" s="1332"/>
      <c r="C1513" s="1343"/>
      <c r="D1513" s="1338"/>
      <c r="E1513" s="1338"/>
    </row>
    <row r="1514" spans="1:5" s="1266" customFormat="1">
      <c r="A1514" s="1311"/>
      <c r="B1514" s="1332" t="s">
        <v>2108</v>
      </c>
      <c r="C1514" s="1343" t="s">
        <v>1293</v>
      </c>
      <c r="D1514" s="1338">
        <v>149.19</v>
      </c>
      <c r="E1514" s="1363">
        <f>D1514*$E$5</f>
        <v>158.58896999999999</v>
      </c>
    </row>
    <row r="1515" spans="1:5" s="1266" customFormat="1">
      <c r="A1515" s="1311"/>
      <c r="B1515" s="1332"/>
      <c r="C1515" s="1343"/>
      <c r="D1515" s="1338"/>
      <c r="E1515" s="1338"/>
    </row>
    <row r="1516" spans="1:5" s="1266" customFormat="1">
      <c r="A1516" s="1311"/>
      <c r="B1516" s="1312" t="s">
        <v>2109</v>
      </c>
      <c r="C1516" s="1343"/>
      <c r="D1516" s="1338"/>
      <c r="E1516" s="1338"/>
    </row>
    <row r="1517" spans="1:5" s="1266" customFormat="1">
      <c r="A1517" s="1311"/>
      <c r="B1517" s="1332"/>
      <c r="C1517" s="1343"/>
      <c r="D1517" s="1338"/>
      <c r="E1517" s="1338"/>
    </row>
    <row r="1518" spans="1:5" s="1266" customFormat="1">
      <c r="A1518" s="1311"/>
      <c r="B1518" s="1312" t="s">
        <v>2110</v>
      </c>
      <c r="C1518" s="1343"/>
      <c r="D1518" s="1338"/>
      <c r="E1518" s="1338"/>
    </row>
    <row r="1519" spans="1:5" s="1266" customFormat="1">
      <c r="A1519" s="1311"/>
      <c r="B1519" s="1332"/>
      <c r="C1519" s="1343"/>
      <c r="D1519" s="1338"/>
      <c r="E1519" s="1338"/>
    </row>
    <row r="1520" spans="1:5" s="1266" customFormat="1" ht="77.25">
      <c r="A1520" s="1311"/>
      <c r="B1520" s="1331" t="s">
        <v>2111</v>
      </c>
      <c r="C1520" s="1343"/>
      <c r="D1520" s="1338"/>
      <c r="E1520" s="1338"/>
    </row>
    <row r="1521" spans="1:5" s="1266" customFormat="1">
      <c r="A1521" s="1311"/>
      <c r="B1521" s="1332"/>
      <c r="C1521" s="1343"/>
      <c r="D1521" s="1338"/>
      <c r="E1521" s="1338"/>
    </row>
    <row r="1522" spans="1:5" s="1266" customFormat="1">
      <c r="A1522" s="1311"/>
      <c r="B1522" s="1332" t="s">
        <v>2112</v>
      </c>
      <c r="C1522" s="1343" t="s">
        <v>1293</v>
      </c>
      <c r="D1522" s="1338">
        <v>320</v>
      </c>
      <c r="E1522" s="1363">
        <f>D1522*$E$5</f>
        <v>340.15999999999997</v>
      </c>
    </row>
    <row r="1523" spans="1:5" s="1266" customFormat="1">
      <c r="A1523" s="1311"/>
      <c r="B1523" s="1332"/>
      <c r="C1523" s="1343"/>
      <c r="D1523" s="1338"/>
      <c r="E1523" s="1338"/>
    </row>
    <row r="1524" spans="1:5" s="1266" customFormat="1">
      <c r="A1524" s="1311"/>
      <c r="B1524" s="1332" t="s">
        <v>2113</v>
      </c>
      <c r="C1524" s="1343" t="s">
        <v>1293</v>
      </c>
      <c r="D1524" s="1338">
        <v>750</v>
      </c>
      <c r="E1524" s="1363">
        <f>D1524*$E$5</f>
        <v>797.25</v>
      </c>
    </row>
    <row r="1525" spans="1:5" s="1266" customFormat="1">
      <c r="A1525" s="1311"/>
      <c r="B1525" s="1332"/>
      <c r="C1525" s="1343"/>
      <c r="D1525" s="1338"/>
      <c r="E1525" s="1338"/>
    </row>
    <row r="1526" spans="1:5" s="1266" customFormat="1">
      <c r="A1526" s="1311"/>
      <c r="B1526" s="1332" t="s">
        <v>2114</v>
      </c>
      <c r="C1526" s="1343" t="s">
        <v>215</v>
      </c>
      <c r="D1526" s="1338">
        <v>650</v>
      </c>
      <c r="E1526" s="1363">
        <f>D1526*$E$5</f>
        <v>690.94999999999993</v>
      </c>
    </row>
    <row r="1527" spans="1:5" s="1266" customFormat="1">
      <c r="A1527" s="1311"/>
      <c r="B1527" s="1332"/>
      <c r="C1527" s="1343"/>
      <c r="D1527" s="1338"/>
      <c r="E1527" s="1338"/>
    </row>
    <row r="1528" spans="1:5" s="1266" customFormat="1">
      <c r="A1528" s="1311"/>
      <c r="B1528" s="1332" t="s">
        <v>2115</v>
      </c>
      <c r="C1528" s="1343" t="s">
        <v>215</v>
      </c>
      <c r="D1528" s="1338">
        <v>300</v>
      </c>
      <c r="E1528" s="1363">
        <f>D1528*$E$5</f>
        <v>318.89999999999998</v>
      </c>
    </row>
    <row r="1529" spans="1:5" s="1266" customFormat="1">
      <c r="A1529" s="1311"/>
      <c r="B1529" s="1332"/>
      <c r="C1529" s="1343"/>
      <c r="D1529" s="1338"/>
      <c r="E1529" s="1338"/>
    </row>
    <row r="1530" spans="1:5" s="1266" customFormat="1">
      <c r="A1530" s="1311"/>
      <c r="B1530" s="1332" t="s">
        <v>2116</v>
      </c>
      <c r="C1530" s="1343" t="s">
        <v>215</v>
      </c>
      <c r="D1530" s="1338">
        <v>300</v>
      </c>
      <c r="E1530" s="1363">
        <f>D1530*$E$5</f>
        <v>318.89999999999998</v>
      </c>
    </row>
    <row r="1531" spans="1:5" s="1266" customFormat="1">
      <c r="A1531" s="1311"/>
      <c r="B1531" s="1332"/>
      <c r="C1531" s="1343"/>
      <c r="D1531" s="1338"/>
      <c r="E1531" s="1338"/>
    </row>
    <row r="1532" spans="1:5" s="1266" customFormat="1">
      <c r="A1532" s="1311"/>
      <c r="B1532" s="1332" t="s">
        <v>2117</v>
      </c>
      <c r="C1532" s="1343" t="s">
        <v>215</v>
      </c>
      <c r="D1532" s="1338">
        <v>850</v>
      </c>
      <c r="E1532" s="1363">
        <f>D1532*$E$5</f>
        <v>903.55</v>
      </c>
    </row>
    <row r="1533" spans="1:5" s="1266" customFormat="1">
      <c r="A1533" s="1311"/>
      <c r="B1533" s="1332"/>
      <c r="C1533" s="1343"/>
      <c r="D1533" s="1338"/>
      <c r="E1533" s="1338"/>
    </row>
    <row r="1534" spans="1:5" s="1266" customFormat="1">
      <c r="A1534" s="1311"/>
      <c r="B1534" s="1332" t="s">
        <v>2118</v>
      </c>
      <c r="C1534" s="1343" t="s">
        <v>1293</v>
      </c>
      <c r="D1534" s="1338">
        <v>320</v>
      </c>
      <c r="E1534" s="1363">
        <f>D1534*$E$5</f>
        <v>340.15999999999997</v>
      </c>
    </row>
    <row r="1535" spans="1:5" s="1266" customFormat="1">
      <c r="A1535" s="1311"/>
      <c r="B1535" s="1332"/>
      <c r="C1535" s="1343"/>
      <c r="D1535" s="1338"/>
      <c r="E1535" s="1338"/>
    </row>
    <row r="1536" spans="1:5" s="1266" customFormat="1">
      <c r="A1536" s="1311"/>
      <c r="B1536" s="1332" t="s">
        <v>2115</v>
      </c>
      <c r="C1536" s="1343" t="s">
        <v>215</v>
      </c>
      <c r="D1536" s="1338">
        <v>250</v>
      </c>
      <c r="E1536" s="1363">
        <f>D1536*$E$5</f>
        <v>265.75</v>
      </c>
    </row>
    <row r="1537" spans="1:5" s="1266" customFormat="1">
      <c r="A1537" s="1311"/>
      <c r="B1537" s="1332"/>
      <c r="C1537" s="1343"/>
      <c r="D1537" s="1338"/>
      <c r="E1537" s="1338"/>
    </row>
    <row r="1538" spans="1:5" s="1266" customFormat="1">
      <c r="A1538" s="1311"/>
      <c r="B1538" s="1332" t="s">
        <v>2119</v>
      </c>
      <c r="C1538" s="1343" t="s">
        <v>215</v>
      </c>
      <c r="D1538" s="1338">
        <v>80</v>
      </c>
      <c r="E1538" s="1363">
        <f>D1538*$E$5</f>
        <v>85.039999999999992</v>
      </c>
    </row>
    <row r="1539" spans="1:5" s="1266" customFormat="1">
      <c r="A1539" s="1311"/>
      <c r="B1539" s="1332"/>
      <c r="C1539" s="1343"/>
      <c r="D1539" s="1338"/>
      <c r="E1539" s="1338"/>
    </row>
    <row r="1540" spans="1:5" s="1266" customFormat="1" ht="26.25">
      <c r="A1540" s="1311"/>
      <c r="B1540" s="1331" t="s">
        <v>3349</v>
      </c>
      <c r="C1540" s="1343"/>
      <c r="D1540" s="1338"/>
      <c r="E1540" s="1338"/>
    </row>
    <row r="1541" spans="1:5" s="1266" customFormat="1">
      <c r="A1541" s="1311"/>
      <c r="B1541" s="1332"/>
      <c r="C1541" s="1343"/>
      <c r="D1541" s="1338"/>
      <c r="E1541" s="1338"/>
    </row>
    <row r="1542" spans="1:5" s="1266" customFormat="1">
      <c r="A1542" s="1311"/>
      <c r="B1542" s="1332" t="s">
        <v>2120</v>
      </c>
      <c r="C1542" s="1343" t="s">
        <v>215</v>
      </c>
      <c r="D1542" s="1338">
        <v>250</v>
      </c>
      <c r="E1542" s="1363">
        <f>D1542*$E$5</f>
        <v>265.75</v>
      </c>
    </row>
    <row r="1543" spans="1:5" s="1266" customFormat="1">
      <c r="A1543" s="1311"/>
      <c r="B1543" s="1332"/>
      <c r="C1543" s="1343"/>
      <c r="D1543" s="1338"/>
      <c r="E1543" s="1338"/>
    </row>
    <row r="1544" spans="1:5" s="1266" customFormat="1">
      <c r="A1544" s="1311"/>
      <c r="B1544" s="1312" t="s">
        <v>2121</v>
      </c>
      <c r="C1544" s="1343"/>
      <c r="D1544" s="1338"/>
      <c r="E1544" s="1338"/>
    </row>
    <row r="1545" spans="1:5" s="1266" customFormat="1">
      <c r="A1545" s="1311"/>
      <c r="B1545" s="1332"/>
      <c r="C1545" s="1343"/>
      <c r="D1545" s="1338"/>
      <c r="E1545" s="1338"/>
    </row>
    <row r="1546" spans="1:5" s="1266" customFormat="1" ht="77.25">
      <c r="A1546" s="1311"/>
      <c r="B1546" s="1331" t="s">
        <v>2122</v>
      </c>
      <c r="C1546" s="1343"/>
      <c r="D1546" s="1338"/>
      <c r="E1546" s="1338"/>
    </row>
    <row r="1547" spans="1:5" s="1266" customFormat="1">
      <c r="A1547" s="1311"/>
      <c r="B1547" s="1332"/>
      <c r="C1547" s="1343"/>
      <c r="D1547" s="1338"/>
      <c r="E1547" s="1338"/>
    </row>
    <row r="1548" spans="1:5" s="1266" customFormat="1" ht="45">
      <c r="A1548" s="1311"/>
      <c r="B1548" s="1332" t="s">
        <v>2123</v>
      </c>
      <c r="C1548" s="1343" t="s">
        <v>1293</v>
      </c>
      <c r="D1548" s="1338">
        <v>375</v>
      </c>
      <c r="E1548" s="1363">
        <f>D1548*$E$5</f>
        <v>398.625</v>
      </c>
    </row>
    <row r="1549" spans="1:5" s="1266" customFormat="1">
      <c r="A1549" s="1311"/>
      <c r="B1549" s="1332"/>
      <c r="C1549" s="1343"/>
      <c r="D1549" s="1338"/>
      <c r="E1549" s="1338"/>
    </row>
    <row r="1550" spans="1:5" s="1266" customFormat="1" ht="64.5">
      <c r="A1550" s="1311"/>
      <c r="B1550" s="1331" t="s">
        <v>2124</v>
      </c>
      <c r="C1550" s="1343"/>
      <c r="D1550" s="1338"/>
      <c r="E1550" s="1338"/>
    </row>
    <row r="1551" spans="1:5" s="1266" customFormat="1">
      <c r="A1551" s="1311"/>
      <c r="B1551" s="1332"/>
      <c r="C1551" s="1343"/>
      <c r="D1551" s="1338"/>
      <c r="E1551" s="1338"/>
    </row>
    <row r="1552" spans="1:5" s="1266" customFormat="1" ht="45">
      <c r="A1552" s="1311"/>
      <c r="B1552" s="1332" t="s">
        <v>2123</v>
      </c>
      <c r="C1552" s="1343" t="s">
        <v>1293</v>
      </c>
      <c r="D1552" s="1338">
        <v>375</v>
      </c>
      <c r="E1552" s="1363">
        <f>D1552*$E$5</f>
        <v>398.625</v>
      </c>
    </row>
    <row r="1553" spans="1:5" s="1266" customFormat="1">
      <c r="A1553" s="1311"/>
      <c r="B1553" s="1332"/>
      <c r="C1553" s="1343"/>
      <c r="D1553" s="1338"/>
      <c r="E1553" s="1338"/>
    </row>
    <row r="1554" spans="1:5" s="1266" customFormat="1">
      <c r="A1554" s="1311"/>
      <c r="B1554" s="1312" t="s">
        <v>2125</v>
      </c>
      <c r="C1554" s="1343"/>
      <c r="D1554" s="1338"/>
      <c r="E1554" s="1338"/>
    </row>
    <row r="1555" spans="1:5" s="1266" customFormat="1">
      <c r="A1555" s="1311"/>
      <c r="B1555" s="1332"/>
      <c r="C1555" s="1343"/>
      <c r="D1555" s="1338"/>
      <c r="E1555" s="1338"/>
    </row>
    <row r="1556" spans="1:5" s="1266" customFormat="1">
      <c r="A1556" s="1311"/>
      <c r="B1556" s="1312" t="s">
        <v>2126</v>
      </c>
      <c r="C1556" s="1343"/>
      <c r="D1556" s="1338"/>
      <c r="E1556" s="1338"/>
    </row>
    <row r="1557" spans="1:5" s="1266" customFormat="1">
      <c r="A1557" s="1311"/>
      <c r="B1557" s="1332"/>
      <c r="C1557" s="1343"/>
      <c r="D1557" s="1338"/>
      <c r="E1557" s="1338"/>
    </row>
    <row r="1558" spans="1:5" s="1266" customFormat="1">
      <c r="A1558" s="1311"/>
      <c r="B1558" s="1331" t="s">
        <v>2127</v>
      </c>
      <c r="C1558" s="1343"/>
      <c r="D1558" s="1338"/>
      <c r="E1558" s="1338"/>
    </row>
    <row r="1559" spans="1:5" s="1266" customFormat="1">
      <c r="A1559" s="1311"/>
      <c r="B1559" s="1332"/>
      <c r="C1559" s="1343"/>
      <c r="D1559" s="1338"/>
      <c r="E1559" s="1338"/>
    </row>
    <row r="1560" spans="1:5" s="1266" customFormat="1">
      <c r="A1560" s="1311"/>
      <c r="B1560" s="1332" t="s">
        <v>2128</v>
      </c>
      <c r="C1560" s="1343" t="s">
        <v>215</v>
      </c>
      <c r="D1560" s="1338">
        <v>102.17</v>
      </c>
      <c r="E1560" s="1363">
        <f>D1560*$E$5</f>
        <v>108.60670999999999</v>
      </c>
    </row>
    <row r="1561" spans="1:5" s="1266" customFormat="1">
      <c r="A1561" s="1311"/>
      <c r="B1561" s="1332"/>
      <c r="C1561" s="1343"/>
      <c r="D1561" s="1338"/>
      <c r="E1561" s="1338"/>
    </row>
    <row r="1562" spans="1:5" s="1266" customFormat="1">
      <c r="A1562" s="1311"/>
      <c r="B1562" s="1312" t="s">
        <v>2129</v>
      </c>
      <c r="C1562" s="1343"/>
      <c r="D1562" s="1338"/>
      <c r="E1562" s="1338"/>
    </row>
    <row r="1563" spans="1:5" s="1266" customFormat="1">
      <c r="A1563" s="1311"/>
      <c r="B1563" s="1332"/>
      <c r="C1563" s="1343"/>
      <c r="D1563" s="1338"/>
      <c r="E1563" s="1338"/>
    </row>
    <row r="1564" spans="1:5" s="1266" customFormat="1">
      <c r="A1564" s="1311"/>
      <c r="B1564" s="1331" t="s">
        <v>2130</v>
      </c>
      <c r="C1564" s="1343"/>
      <c r="D1564" s="1338"/>
      <c r="E1564" s="1338"/>
    </row>
    <row r="1565" spans="1:5" s="1266" customFormat="1">
      <c r="A1565" s="1311"/>
      <c r="B1565" s="1332"/>
      <c r="C1565" s="1343"/>
      <c r="D1565" s="1338"/>
      <c r="E1565" s="1338"/>
    </row>
    <row r="1566" spans="1:5" s="1266" customFormat="1" ht="45">
      <c r="A1566" s="1311"/>
      <c r="B1566" s="1332" t="s">
        <v>2131</v>
      </c>
      <c r="C1566" s="1343" t="s">
        <v>217</v>
      </c>
      <c r="D1566" s="1338">
        <v>11711.2</v>
      </c>
      <c r="E1566" s="1363">
        <f>D1566*$E$5</f>
        <v>12449.0056</v>
      </c>
    </row>
    <row r="1567" spans="1:5" s="1266" customFormat="1">
      <c r="A1567" s="1311"/>
      <c r="B1567" s="1332"/>
      <c r="C1567" s="1343"/>
      <c r="D1567" s="1338"/>
      <c r="E1567" s="1338"/>
    </row>
    <row r="1568" spans="1:5" s="1266" customFormat="1" ht="45">
      <c r="A1568" s="1311"/>
      <c r="B1568" s="1332" t="s">
        <v>2132</v>
      </c>
      <c r="C1568" s="1343" t="s">
        <v>217</v>
      </c>
      <c r="D1568" s="1338">
        <v>11711.2</v>
      </c>
      <c r="E1568" s="1363">
        <f>D1568*$E$5</f>
        <v>12449.0056</v>
      </c>
    </row>
    <row r="1569" spans="1:5" s="1266" customFormat="1">
      <c r="A1569" s="1311"/>
      <c r="B1569" s="1332"/>
      <c r="C1569" s="1343"/>
      <c r="D1569" s="1338"/>
      <c r="E1569" s="1338"/>
    </row>
    <row r="1570" spans="1:5" s="1266" customFormat="1" ht="45">
      <c r="A1570" s="1311"/>
      <c r="B1570" s="1332" t="s">
        <v>2133</v>
      </c>
      <c r="C1570" s="1343" t="s">
        <v>217</v>
      </c>
      <c r="D1570" s="1338">
        <v>8838.4699999999993</v>
      </c>
      <c r="E1570" s="1363">
        <f>D1570*$E$5</f>
        <v>9395.2936099999988</v>
      </c>
    </row>
    <row r="1571" spans="1:5" s="1266" customFormat="1">
      <c r="A1571" s="1311"/>
      <c r="B1571" s="1332"/>
      <c r="C1571" s="1343"/>
      <c r="D1571" s="1338"/>
      <c r="E1571" s="1338"/>
    </row>
    <row r="1572" spans="1:5" s="1266" customFormat="1" ht="45">
      <c r="A1572" s="1311"/>
      <c r="B1572" s="1332" t="s">
        <v>2134</v>
      </c>
      <c r="C1572" s="1343" t="s">
        <v>217</v>
      </c>
      <c r="D1572" s="1338">
        <v>8838.4699999999993</v>
      </c>
      <c r="E1572" s="1363">
        <f>D1572*$E$5</f>
        <v>9395.2936099999988</v>
      </c>
    </row>
    <row r="1573" spans="1:5" s="1266" customFormat="1">
      <c r="A1573" s="1311"/>
      <c r="B1573" s="1332"/>
      <c r="C1573" s="1343"/>
      <c r="D1573" s="1338"/>
      <c r="E1573" s="1338"/>
    </row>
    <row r="1574" spans="1:5" s="1266" customFormat="1" ht="45">
      <c r="A1574" s="1311"/>
      <c r="B1574" s="1332" t="s">
        <v>2135</v>
      </c>
      <c r="C1574" s="1343" t="s">
        <v>217</v>
      </c>
      <c r="D1574" s="1338">
        <v>10169.4</v>
      </c>
      <c r="E1574" s="1363">
        <f>D1574*$E$5</f>
        <v>10810.072199999999</v>
      </c>
    </row>
    <row r="1575" spans="1:5" s="1266" customFormat="1">
      <c r="A1575" s="1311"/>
      <c r="B1575" s="1332"/>
      <c r="C1575" s="1343"/>
      <c r="D1575" s="1338"/>
      <c r="E1575" s="1338"/>
    </row>
    <row r="1576" spans="1:5" s="1266" customFormat="1" ht="45">
      <c r="A1576" s="1311"/>
      <c r="B1576" s="1332" t="s">
        <v>2136</v>
      </c>
      <c r="C1576" s="1343" t="s">
        <v>217</v>
      </c>
      <c r="D1576" s="1338">
        <v>10169.4</v>
      </c>
      <c r="E1576" s="1363">
        <f>D1576*$E$5</f>
        <v>10810.072199999999</v>
      </c>
    </row>
    <row r="1577" spans="1:5" s="1266" customFormat="1">
      <c r="A1577" s="1311"/>
      <c r="B1577" s="1332"/>
      <c r="C1577" s="1343"/>
      <c r="D1577" s="1338"/>
      <c r="E1577" s="1338"/>
    </row>
    <row r="1578" spans="1:5" s="1266" customFormat="1" ht="45">
      <c r="A1578" s="1311"/>
      <c r="B1578" s="1332" t="s">
        <v>2137</v>
      </c>
      <c r="C1578" s="1343" t="s">
        <v>217</v>
      </c>
      <c r="D1578" s="1338">
        <v>11711.2</v>
      </c>
      <c r="E1578" s="1363">
        <f>D1578*$E$5</f>
        <v>12449.0056</v>
      </c>
    </row>
    <row r="1579" spans="1:5" s="1266" customFormat="1">
      <c r="A1579" s="1311"/>
      <c r="B1579" s="1332"/>
      <c r="C1579" s="1343"/>
      <c r="D1579" s="1338"/>
      <c r="E1579" s="1338"/>
    </row>
    <row r="1580" spans="1:5" s="1266" customFormat="1" ht="45">
      <c r="A1580" s="1311"/>
      <c r="B1580" s="1332" t="s">
        <v>2138</v>
      </c>
      <c r="C1580" s="1343" t="s">
        <v>217</v>
      </c>
      <c r="D1580" s="1338">
        <v>11711.2</v>
      </c>
      <c r="E1580" s="1363">
        <f>D1580*$E$5</f>
        <v>12449.0056</v>
      </c>
    </row>
    <row r="1581" spans="1:5" s="1266" customFormat="1">
      <c r="A1581" s="1311"/>
      <c r="B1581" s="1332"/>
      <c r="C1581" s="1343"/>
      <c r="D1581" s="1338"/>
      <c r="E1581" s="1338"/>
    </row>
    <row r="1582" spans="1:5" s="1266" customFormat="1" ht="45">
      <c r="A1582" s="1311"/>
      <c r="B1582" s="1332" t="s">
        <v>2139</v>
      </c>
      <c r="C1582" s="1343" t="s">
        <v>217</v>
      </c>
      <c r="D1582" s="1338">
        <v>11711.2</v>
      </c>
      <c r="E1582" s="1363">
        <f>D1582*$E$5</f>
        <v>12449.0056</v>
      </c>
    </row>
    <row r="1583" spans="1:5" s="1266" customFormat="1">
      <c r="A1583" s="1311"/>
      <c r="B1583" s="1332"/>
      <c r="C1583" s="1343"/>
      <c r="D1583" s="1338"/>
      <c r="E1583" s="1338"/>
    </row>
    <row r="1584" spans="1:5" s="1266" customFormat="1">
      <c r="A1584" s="1311"/>
      <c r="B1584" s="1331" t="s">
        <v>2140</v>
      </c>
      <c r="C1584" s="1343"/>
      <c r="D1584" s="1338"/>
      <c r="E1584" s="1338"/>
    </row>
    <row r="1585" spans="1:5" s="1266" customFormat="1">
      <c r="A1585" s="1311"/>
      <c r="B1585" s="1332"/>
      <c r="C1585" s="1343"/>
      <c r="D1585" s="1338"/>
      <c r="E1585" s="1338"/>
    </row>
    <row r="1586" spans="1:5" s="1266" customFormat="1" ht="75">
      <c r="A1586" s="1311"/>
      <c r="B1586" s="1332" t="s">
        <v>2141</v>
      </c>
      <c r="C1586" s="1343" t="s">
        <v>217</v>
      </c>
      <c r="D1586" s="1338">
        <v>12180.5</v>
      </c>
      <c r="E1586" s="1363">
        <f>D1586*$E$5</f>
        <v>12947.871499999999</v>
      </c>
    </row>
    <row r="1587" spans="1:5" s="1266" customFormat="1">
      <c r="A1587" s="1311"/>
      <c r="B1587" s="1332"/>
      <c r="C1587" s="1343"/>
      <c r="D1587" s="1338"/>
      <c r="E1587" s="1338"/>
    </row>
    <row r="1588" spans="1:5" s="1266" customFormat="1" ht="75">
      <c r="A1588" s="1311"/>
      <c r="B1588" s="1332" t="s">
        <v>2142</v>
      </c>
      <c r="C1588" s="1343" t="s">
        <v>217</v>
      </c>
      <c r="D1588" s="1338">
        <v>12180.5</v>
      </c>
      <c r="E1588" s="1363">
        <f>D1588*$E$5</f>
        <v>12947.871499999999</v>
      </c>
    </row>
    <row r="1589" spans="1:5" s="1266" customFormat="1">
      <c r="A1589" s="1311"/>
      <c r="B1589" s="1332"/>
      <c r="C1589" s="1343"/>
      <c r="D1589" s="1338"/>
      <c r="E1589" s="1338"/>
    </row>
    <row r="1590" spans="1:5" s="1266" customFormat="1" ht="26.25">
      <c r="A1590" s="1311"/>
      <c r="B1590" s="1331" t="s">
        <v>2143</v>
      </c>
      <c r="C1590" s="1343"/>
      <c r="D1590" s="1338"/>
      <c r="E1590" s="1338"/>
    </row>
    <row r="1591" spans="1:5" s="1266" customFormat="1">
      <c r="A1591" s="1311"/>
      <c r="B1591" s="1332"/>
      <c r="C1591" s="1343"/>
      <c r="D1591" s="1338"/>
      <c r="E1591" s="1338"/>
    </row>
    <row r="1592" spans="1:5" s="1266" customFormat="1" ht="45">
      <c r="A1592" s="1311"/>
      <c r="B1592" s="1332" t="s">
        <v>2144</v>
      </c>
      <c r="C1592" s="1343" t="s">
        <v>217</v>
      </c>
      <c r="D1592" s="1338">
        <v>2155.31</v>
      </c>
      <c r="E1592" s="1363">
        <f>D1592*$E$5</f>
        <v>2291.0945299999998</v>
      </c>
    </row>
    <row r="1593" spans="1:5" s="1266" customFormat="1">
      <c r="A1593" s="1311"/>
      <c r="B1593" s="1332"/>
      <c r="C1593" s="1343"/>
      <c r="D1593" s="1338"/>
      <c r="E1593" s="1338"/>
    </row>
    <row r="1594" spans="1:5" s="1266" customFormat="1" ht="60">
      <c r="A1594" s="1311"/>
      <c r="B1594" s="1332" t="s">
        <v>2145</v>
      </c>
      <c r="C1594" s="1343" t="s">
        <v>217</v>
      </c>
      <c r="D1594" s="1338">
        <v>5919.8</v>
      </c>
      <c r="E1594" s="1363">
        <f>D1594*$E$5</f>
        <v>6292.7474000000002</v>
      </c>
    </row>
    <row r="1595" spans="1:5" s="1266" customFormat="1">
      <c r="A1595" s="1311"/>
      <c r="B1595" s="1332"/>
      <c r="C1595" s="1343"/>
      <c r="D1595" s="1338"/>
      <c r="E1595" s="1338"/>
    </row>
    <row r="1596" spans="1:5" s="1266" customFormat="1" ht="26.25">
      <c r="A1596" s="1311"/>
      <c r="B1596" s="1331" t="s">
        <v>2146</v>
      </c>
      <c r="C1596" s="1343"/>
      <c r="D1596" s="1338"/>
      <c r="E1596" s="1338"/>
    </row>
    <row r="1597" spans="1:5" s="1266" customFormat="1">
      <c r="A1597" s="1311"/>
      <c r="B1597" s="1332"/>
      <c r="C1597" s="1343"/>
      <c r="D1597" s="1338"/>
      <c r="E1597" s="1338"/>
    </row>
    <row r="1598" spans="1:5" s="1266" customFormat="1" ht="45">
      <c r="A1598" s="1311"/>
      <c r="B1598" s="1332" t="s">
        <v>2147</v>
      </c>
      <c r="C1598" s="1343" t="s">
        <v>217</v>
      </c>
      <c r="D1598" s="1338">
        <v>19850.55</v>
      </c>
      <c r="E1598" s="1363">
        <f>D1598*$E$5</f>
        <v>21101.134649999996</v>
      </c>
    </row>
    <row r="1599" spans="1:5" s="1266" customFormat="1">
      <c r="A1599" s="1311"/>
      <c r="B1599" s="1332"/>
      <c r="C1599" s="1343"/>
      <c r="D1599" s="1338"/>
      <c r="E1599" s="1338"/>
    </row>
    <row r="1600" spans="1:5" s="1266" customFormat="1">
      <c r="A1600" s="1311"/>
      <c r="B1600" s="1312" t="s">
        <v>2148</v>
      </c>
      <c r="C1600" s="1343"/>
      <c r="D1600" s="1338"/>
      <c r="E1600" s="1338"/>
    </row>
    <row r="1601" spans="1:5" s="1266" customFormat="1">
      <c r="A1601" s="1311"/>
      <c r="B1601" s="1332"/>
      <c r="C1601" s="1343"/>
      <c r="D1601" s="1338"/>
      <c r="E1601" s="1338"/>
    </row>
    <row r="1602" spans="1:5" s="1266" customFormat="1">
      <c r="A1602" s="1311"/>
      <c r="B1602" s="1331" t="s">
        <v>2149</v>
      </c>
      <c r="C1602" s="1343"/>
      <c r="D1602" s="1338"/>
      <c r="E1602" s="1338"/>
    </row>
    <row r="1603" spans="1:5" s="1266" customFormat="1">
      <c r="A1603" s="1311"/>
      <c r="B1603" s="1332"/>
      <c r="C1603" s="1343"/>
      <c r="D1603" s="1338"/>
      <c r="E1603" s="1338"/>
    </row>
    <row r="1604" spans="1:5" s="1266" customFormat="1" ht="30">
      <c r="A1604" s="1311"/>
      <c r="B1604" s="1332" t="s">
        <v>2150</v>
      </c>
      <c r="C1604" s="1343"/>
      <c r="D1604" s="1338"/>
      <c r="E1604" s="1338"/>
    </row>
    <row r="1605" spans="1:5" s="1266" customFormat="1">
      <c r="A1605" s="1311"/>
      <c r="B1605" s="1332"/>
      <c r="C1605" s="1343"/>
      <c r="D1605" s="1338"/>
      <c r="E1605" s="1338"/>
    </row>
    <row r="1606" spans="1:5" s="1266" customFormat="1">
      <c r="A1606" s="1311"/>
      <c r="B1606" s="1331" t="s">
        <v>2151</v>
      </c>
      <c r="C1606" s="1343"/>
      <c r="D1606" s="1338"/>
      <c r="E1606" s="1338"/>
    </row>
    <row r="1607" spans="1:5" s="1266" customFormat="1">
      <c r="A1607" s="1311"/>
      <c r="B1607" s="1332"/>
      <c r="C1607" s="1343"/>
      <c r="D1607" s="1338"/>
      <c r="E1607" s="1338"/>
    </row>
    <row r="1608" spans="1:5" s="1266" customFormat="1" ht="75">
      <c r="A1608" s="1311"/>
      <c r="B1608" s="1332" t="s">
        <v>2152</v>
      </c>
      <c r="C1608" s="1343"/>
      <c r="D1608" s="1338"/>
      <c r="E1608" s="1338"/>
    </row>
    <row r="1609" spans="1:5" s="1266" customFormat="1">
      <c r="A1609" s="1311"/>
      <c r="B1609" s="1332"/>
      <c r="C1609" s="1343"/>
      <c r="D1609" s="1338"/>
      <c r="E1609" s="1338"/>
    </row>
    <row r="1610" spans="1:5" s="1266" customFormat="1" ht="90">
      <c r="A1610" s="1311"/>
      <c r="B1610" s="1332" t="s">
        <v>2153</v>
      </c>
      <c r="C1610" s="1343"/>
      <c r="D1610" s="1338"/>
      <c r="E1610" s="1338"/>
    </row>
    <row r="1611" spans="1:5" s="1266" customFormat="1">
      <c r="A1611" s="1311"/>
      <c r="B1611" s="1332"/>
      <c r="C1611" s="1343"/>
      <c r="D1611" s="1338"/>
      <c r="E1611" s="1338"/>
    </row>
    <row r="1612" spans="1:5" s="1266" customFormat="1" ht="30">
      <c r="A1612" s="1311"/>
      <c r="B1612" s="1332" t="s">
        <v>2154</v>
      </c>
      <c r="C1612" s="1343"/>
      <c r="D1612" s="1338"/>
      <c r="E1612" s="1338"/>
    </row>
    <row r="1613" spans="1:5" s="1266" customFormat="1">
      <c r="A1613" s="1311"/>
      <c r="B1613" s="1332"/>
      <c r="C1613" s="1343"/>
      <c r="D1613" s="1338"/>
      <c r="E1613" s="1338"/>
    </row>
    <row r="1614" spans="1:5" s="1266" customFormat="1">
      <c r="A1614" s="1311"/>
      <c r="B1614" s="1332" t="s">
        <v>2155</v>
      </c>
      <c r="C1614" s="1343"/>
      <c r="D1614" s="1338"/>
      <c r="E1614" s="1338"/>
    </row>
    <row r="1615" spans="1:5" s="1266" customFormat="1">
      <c r="A1615" s="1311"/>
      <c r="B1615" s="1332"/>
      <c r="C1615" s="1343"/>
      <c r="D1615" s="1338"/>
      <c r="E1615" s="1338"/>
    </row>
    <row r="1616" spans="1:5" s="1266" customFormat="1">
      <c r="A1616" s="1311"/>
      <c r="B1616" s="1331" t="s">
        <v>2156</v>
      </c>
      <c r="C1616" s="1343"/>
      <c r="D1616" s="1338"/>
      <c r="E1616" s="1338"/>
    </row>
    <row r="1617" spans="1:5" s="1266" customFormat="1">
      <c r="A1617" s="1311"/>
      <c r="B1617" s="1332"/>
      <c r="C1617" s="1343"/>
      <c r="D1617" s="1338"/>
      <c r="E1617" s="1338"/>
    </row>
    <row r="1618" spans="1:5" s="1266" customFormat="1" ht="30">
      <c r="A1618" s="1311"/>
      <c r="B1618" s="1332" t="s">
        <v>2157</v>
      </c>
      <c r="C1618" s="1343"/>
      <c r="D1618" s="1338"/>
      <c r="E1618" s="1338"/>
    </row>
    <row r="1619" spans="1:5" s="1266" customFormat="1">
      <c r="A1619" s="1311"/>
      <c r="B1619" s="1332"/>
      <c r="C1619" s="1343"/>
      <c r="D1619" s="1338"/>
      <c r="E1619" s="1338"/>
    </row>
    <row r="1620" spans="1:5" s="1266" customFormat="1">
      <c r="A1620" s="1311"/>
      <c r="B1620" s="1331" t="s">
        <v>2158</v>
      </c>
      <c r="C1620" s="1343"/>
      <c r="D1620" s="1338"/>
      <c r="E1620" s="1338"/>
    </row>
    <row r="1621" spans="1:5" s="1266" customFormat="1">
      <c r="A1621" s="1311"/>
      <c r="B1621" s="1332"/>
      <c r="C1621" s="1343"/>
      <c r="D1621" s="1338"/>
      <c r="E1621" s="1338"/>
    </row>
    <row r="1622" spans="1:5" s="1266" customFormat="1">
      <c r="A1622" s="1311"/>
      <c r="B1622" s="1312" t="s">
        <v>2159</v>
      </c>
      <c r="C1622" s="1343"/>
      <c r="D1622" s="1338"/>
      <c r="E1622" s="1338"/>
    </row>
    <row r="1623" spans="1:5" s="1266" customFormat="1">
      <c r="A1623" s="1311"/>
      <c r="B1623" s="1332"/>
      <c r="C1623" s="1343"/>
      <c r="D1623" s="1338"/>
      <c r="E1623" s="1338"/>
    </row>
    <row r="1624" spans="1:5" s="1266" customFormat="1">
      <c r="A1624" s="1311"/>
      <c r="B1624" s="1331" t="s">
        <v>2160</v>
      </c>
      <c r="C1624" s="1343"/>
      <c r="D1624" s="1338"/>
      <c r="E1624" s="1338"/>
    </row>
    <row r="1625" spans="1:5" s="1266" customFormat="1">
      <c r="A1625" s="1311"/>
      <c r="B1625" s="1332"/>
      <c r="C1625" s="1343"/>
      <c r="D1625" s="1338"/>
      <c r="E1625" s="1338"/>
    </row>
    <row r="1626" spans="1:5" s="1266" customFormat="1" ht="90">
      <c r="A1626" s="1311"/>
      <c r="B1626" s="1331" t="s">
        <v>2161</v>
      </c>
      <c r="C1626" s="1343"/>
      <c r="D1626" s="1338"/>
      <c r="E1626" s="1338"/>
    </row>
    <row r="1627" spans="1:5" s="1266" customFormat="1">
      <c r="A1627" s="1311"/>
      <c r="B1627" s="1332"/>
      <c r="C1627" s="1343"/>
      <c r="D1627" s="1338"/>
      <c r="E1627" s="1338"/>
    </row>
    <row r="1628" spans="1:5" s="1266" customFormat="1" ht="30">
      <c r="A1628" s="1311"/>
      <c r="B1628" s="1332" t="s">
        <v>2162</v>
      </c>
      <c r="C1628" s="1343" t="s">
        <v>1293</v>
      </c>
      <c r="D1628" s="1338">
        <v>250</v>
      </c>
      <c r="E1628" s="1363">
        <f>D1628*$E$5</f>
        <v>265.75</v>
      </c>
    </row>
    <row r="1629" spans="1:5" s="1266" customFormat="1">
      <c r="A1629" s="1311"/>
      <c r="B1629" s="1332"/>
      <c r="C1629" s="1343"/>
      <c r="D1629" s="1338"/>
      <c r="E1629" s="1338"/>
    </row>
    <row r="1630" spans="1:5" s="1266" customFormat="1" ht="30">
      <c r="A1630" s="1311"/>
      <c r="B1630" s="1332" t="s">
        <v>2163</v>
      </c>
      <c r="C1630" s="1343" t="s">
        <v>1293</v>
      </c>
      <c r="D1630" s="1338">
        <v>600</v>
      </c>
      <c r="E1630" s="1363">
        <f>D1630*$E$5</f>
        <v>637.79999999999995</v>
      </c>
    </row>
    <row r="1631" spans="1:5" s="1266" customFormat="1">
      <c r="A1631" s="1311"/>
      <c r="B1631" s="1332"/>
      <c r="C1631" s="1343"/>
      <c r="D1631" s="1338"/>
      <c r="E1631" s="1338"/>
    </row>
    <row r="1632" spans="1:5" s="1266" customFormat="1" ht="60">
      <c r="A1632" s="1311"/>
      <c r="B1632" s="1332" t="s">
        <v>2164</v>
      </c>
      <c r="C1632" s="1343" t="s">
        <v>217</v>
      </c>
      <c r="D1632" s="1338">
        <v>25</v>
      </c>
      <c r="E1632" s="1363">
        <f>D1632*$E$5</f>
        <v>26.574999999999999</v>
      </c>
    </row>
    <row r="1633" spans="1:5" s="1266" customFormat="1">
      <c r="A1633" s="1311"/>
      <c r="B1633" s="1332"/>
      <c r="C1633" s="1343"/>
      <c r="D1633" s="1338"/>
      <c r="E1633" s="1338"/>
    </row>
    <row r="1634" spans="1:5" s="1266" customFormat="1" ht="45">
      <c r="A1634" s="1311"/>
      <c r="B1634" s="1332" t="s">
        <v>2165</v>
      </c>
      <c r="C1634" s="1343" t="s">
        <v>217</v>
      </c>
      <c r="D1634" s="1338">
        <v>30</v>
      </c>
      <c r="E1634" s="1363">
        <f>D1634*$E$5</f>
        <v>31.889999999999997</v>
      </c>
    </row>
    <row r="1635" spans="1:5" s="1266" customFormat="1">
      <c r="A1635" s="1311"/>
      <c r="B1635" s="1332"/>
      <c r="C1635" s="1343"/>
      <c r="D1635" s="1338"/>
      <c r="E1635" s="1338"/>
    </row>
    <row r="1636" spans="1:5" s="1266" customFormat="1" ht="45">
      <c r="A1636" s="1311"/>
      <c r="B1636" s="1332" t="s">
        <v>2166</v>
      </c>
      <c r="C1636" s="1343" t="s">
        <v>215</v>
      </c>
      <c r="D1636" s="1338">
        <v>40</v>
      </c>
      <c r="E1636" s="1363">
        <f>D1636*$E$5</f>
        <v>42.519999999999996</v>
      </c>
    </row>
    <row r="1637" spans="1:5" s="1266" customFormat="1">
      <c r="A1637" s="1311"/>
      <c r="B1637" s="1332"/>
      <c r="C1637" s="1343"/>
      <c r="D1637" s="1338"/>
      <c r="E1637" s="1338"/>
    </row>
    <row r="1638" spans="1:5" s="1266" customFormat="1">
      <c r="A1638" s="1311"/>
      <c r="B1638" s="1331" t="s">
        <v>2167</v>
      </c>
      <c r="C1638" s="1343"/>
      <c r="D1638" s="1338"/>
      <c r="E1638" s="1338"/>
    </row>
    <row r="1639" spans="1:5" s="1266" customFormat="1">
      <c r="A1639" s="1311"/>
      <c r="B1639" s="1332"/>
      <c r="C1639" s="1343"/>
      <c r="D1639" s="1338"/>
      <c r="E1639" s="1338"/>
    </row>
    <row r="1640" spans="1:5" s="1266" customFormat="1" ht="51.75">
      <c r="A1640" s="1311"/>
      <c r="B1640" s="1331" t="s">
        <v>2168</v>
      </c>
      <c r="C1640" s="1343"/>
      <c r="D1640" s="1338"/>
      <c r="E1640" s="1338"/>
    </row>
    <row r="1641" spans="1:5" s="1266" customFormat="1">
      <c r="A1641" s="1311"/>
      <c r="B1641" s="1332"/>
      <c r="C1641" s="1343"/>
      <c r="D1641" s="1338"/>
      <c r="E1641" s="1338"/>
    </row>
    <row r="1642" spans="1:5" s="1266" customFormat="1" ht="30">
      <c r="A1642" s="1311"/>
      <c r="B1642" s="1332" t="s">
        <v>2169</v>
      </c>
      <c r="C1642" s="1343" t="s">
        <v>1293</v>
      </c>
      <c r="D1642" s="1338">
        <v>700</v>
      </c>
      <c r="E1642" s="1363">
        <f>D1642*$E$5</f>
        <v>744.09999999999991</v>
      </c>
    </row>
    <row r="1643" spans="1:5" s="1266" customFormat="1">
      <c r="A1643" s="1311"/>
      <c r="B1643" s="1332"/>
      <c r="C1643" s="1343"/>
      <c r="D1643" s="1338"/>
      <c r="E1643" s="1338"/>
    </row>
    <row r="1644" spans="1:5" s="1266" customFormat="1" ht="30">
      <c r="A1644" s="1311"/>
      <c r="B1644" s="1332" t="s">
        <v>2170</v>
      </c>
      <c r="C1644" s="1343" t="s">
        <v>215</v>
      </c>
      <c r="D1644" s="1338">
        <v>591.05999999999995</v>
      </c>
      <c r="E1644" s="1363">
        <f>D1644*$E$5</f>
        <v>628.2967799999999</v>
      </c>
    </row>
    <row r="1645" spans="1:5" s="1266" customFormat="1">
      <c r="A1645" s="1311"/>
      <c r="B1645" s="1332"/>
      <c r="C1645" s="1343"/>
      <c r="D1645" s="1338"/>
      <c r="E1645" s="1338"/>
    </row>
    <row r="1646" spans="1:5" s="1266" customFormat="1" ht="30">
      <c r="A1646" s="1311"/>
      <c r="B1646" s="1332" t="s">
        <v>2171</v>
      </c>
      <c r="C1646" s="1343" t="s">
        <v>215</v>
      </c>
      <c r="D1646" s="1338">
        <v>591.05999999999995</v>
      </c>
      <c r="E1646" s="1363">
        <f>D1646*$E$5</f>
        <v>628.2967799999999</v>
      </c>
    </row>
    <row r="1647" spans="1:5" s="1266" customFormat="1">
      <c r="A1647" s="1311"/>
      <c r="B1647" s="1332"/>
      <c r="C1647" s="1343"/>
      <c r="D1647" s="1338"/>
      <c r="E1647" s="1338"/>
    </row>
    <row r="1648" spans="1:5" s="1266" customFormat="1" ht="39">
      <c r="A1648" s="1311"/>
      <c r="B1648" s="1331" t="s">
        <v>2172</v>
      </c>
      <c r="C1648" s="1343"/>
      <c r="D1648" s="1338"/>
      <c r="E1648" s="1338"/>
    </row>
    <row r="1649" spans="1:5" s="1266" customFormat="1">
      <c r="A1649" s="1311"/>
      <c r="B1649" s="1332"/>
      <c r="C1649" s="1343"/>
      <c r="D1649" s="1338"/>
      <c r="E1649" s="1338"/>
    </row>
    <row r="1650" spans="1:5" s="1266" customFormat="1" ht="30">
      <c r="A1650" s="1311"/>
      <c r="B1650" s="1332" t="s">
        <v>2173</v>
      </c>
      <c r="C1650" s="1343" t="s">
        <v>1293</v>
      </c>
      <c r="D1650" s="1338">
        <v>400</v>
      </c>
      <c r="E1650" s="1363">
        <f>D1650*$E$5</f>
        <v>425.2</v>
      </c>
    </row>
    <row r="1651" spans="1:5" s="1266" customFormat="1">
      <c r="A1651" s="1311"/>
      <c r="B1651" s="1332"/>
      <c r="C1651" s="1343"/>
      <c r="D1651" s="1338"/>
      <c r="E1651" s="1338"/>
    </row>
    <row r="1652" spans="1:5" s="1266" customFormat="1">
      <c r="A1652" s="1311"/>
      <c r="B1652" s="1332" t="s">
        <v>2174</v>
      </c>
      <c r="C1652" s="1343" t="s">
        <v>1293</v>
      </c>
      <c r="D1652" s="1338">
        <v>300</v>
      </c>
      <c r="E1652" s="1363">
        <f>D1652*$E$5</f>
        <v>318.89999999999998</v>
      </c>
    </row>
    <row r="1653" spans="1:5" s="1266" customFormat="1">
      <c r="A1653" s="1311"/>
      <c r="B1653" s="1332"/>
      <c r="C1653" s="1343"/>
      <c r="D1653" s="1338"/>
      <c r="E1653" s="1338"/>
    </row>
    <row r="1654" spans="1:5" s="1266" customFormat="1" ht="30">
      <c r="A1654" s="1311"/>
      <c r="B1654" s="1332" t="s">
        <v>2169</v>
      </c>
      <c r="C1654" s="1343" t="s">
        <v>1293</v>
      </c>
      <c r="D1654" s="1338">
        <v>700</v>
      </c>
      <c r="E1654" s="1363">
        <f>D1654*$E$5</f>
        <v>744.09999999999991</v>
      </c>
    </row>
    <row r="1655" spans="1:5" s="1266" customFormat="1">
      <c r="A1655" s="1311"/>
      <c r="B1655" s="1332"/>
      <c r="C1655" s="1343"/>
      <c r="D1655" s="1338"/>
      <c r="E1655" s="1338"/>
    </row>
    <row r="1656" spans="1:5" s="1266" customFormat="1" ht="30">
      <c r="A1656" s="1311"/>
      <c r="B1656" s="1332" t="s">
        <v>2170</v>
      </c>
      <c r="C1656" s="1343" t="s">
        <v>215</v>
      </c>
      <c r="D1656" s="1338">
        <v>591.05999999999995</v>
      </c>
      <c r="E1656" s="1363">
        <f>D1656*$E$5</f>
        <v>628.2967799999999</v>
      </c>
    </row>
    <row r="1657" spans="1:5" s="1266" customFormat="1">
      <c r="A1657" s="1311"/>
      <c r="B1657" s="1332"/>
      <c r="C1657" s="1343"/>
      <c r="D1657" s="1338"/>
      <c r="E1657" s="1338"/>
    </row>
    <row r="1658" spans="1:5" s="1266" customFormat="1" ht="30">
      <c r="A1658" s="1311"/>
      <c r="B1658" s="1332" t="s">
        <v>2171</v>
      </c>
      <c r="C1658" s="1343" t="s">
        <v>215</v>
      </c>
      <c r="D1658" s="1338">
        <v>591.05999999999995</v>
      </c>
      <c r="E1658" s="1363">
        <f>D1658*$E$5</f>
        <v>628.2967799999999</v>
      </c>
    </row>
    <row r="1659" spans="1:5" s="1266" customFormat="1">
      <c r="A1659" s="1311"/>
      <c r="B1659" s="1332"/>
      <c r="C1659" s="1343"/>
      <c r="D1659" s="1338"/>
      <c r="E1659" s="1338"/>
    </row>
    <row r="1660" spans="1:5" s="1266" customFormat="1" ht="30">
      <c r="A1660" s="1311"/>
      <c r="B1660" s="1332" t="s">
        <v>2175</v>
      </c>
      <c r="C1660" s="1343" t="s">
        <v>215</v>
      </c>
      <c r="D1660" s="1338">
        <v>591.05999999999995</v>
      </c>
      <c r="E1660" s="1363">
        <f>D1660*$E$5</f>
        <v>628.2967799999999</v>
      </c>
    </row>
    <row r="1661" spans="1:5" s="1266" customFormat="1">
      <c r="A1661" s="1311"/>
      <c r="B1661" s="1332"/>
      <c r="C1661" s="1343"/>
      <c r="D1661" s="1338"/>
      <c r="E1661" s="1338"/>
    </row>
    <row r="1662" spans="1:5" s="1266" customFormat="1" ht="30">
      <c r="A1662" s="1311"/>
      <c r="B1662" s="1332" t="s">
        <v>2176</v>
      </c>
      <c r="C1662" s="1343" t="s">
        <v>215</v>
      </c>
      <c r="D1662" s="1338">
        <v>591.05999999999995</v>
      </c>
      <c r="E1662" s="1363">
        <f>D1662*$E$5</f>
        <v>628.2967799999999</v>
      </c>
    </row>
    <row r="1663" spans="1:5" s="1266" customFormat="1">
      <c r="A1663" s="1311"/>
      <c r="B1663" s="1332"/>
      <c r="C1663" s="1343"/>
      <c r="D1663" s="1338"/>
      <c r="E1663" s="1338"/>
    </row>
    <row r="1664" spans="1:5" s="1266" customFormat="1" ht="30">
      <c r="A1664" s="1311"/>
      <c r="B1664" s="1332" t="s">
        <v>2177</v>
      </c>
      <c r="C1664" s="1343" t="s">
        <v>215</v>
      </c>
      <c r="D1664" s="1338">
        <v>591.05999999999995</v>
      </c>
      <c r="E1664" s="1363">
        <f>D1664*$E$5</f>
        <v>628.2967799999999</v>
      </c>
    </row>
    <row r="1665" spans="1:5" s="1266" customFormat="1">
      <c r="A1665" s="1311"/>
      <c r="B1665" s="1332"/>
      <c r="C1665" s="1343"/>
      <c r="D1665" s="1338"/>
      <c r="E1665" s="1338"/>
    </row>
    <row r="1666" spans="1:5" s="1266" customFormat="1" ht="30">
      <c r="A1666" s="1311"/>
      <c r="B1666" s="1332" t="s">
        <v>2178</v>
      </c>
      <c r="C1666" s="1343" t="s">
        <v>215</v>
      </c>
      <c r="D1666" s="1338">
        <v>591.05999999999995</v>
      </c>
      <c r="E1666" s="1363">
        <f>D1666*$E$5</f>
        <v>628.2967799999999</v>
      </c>
    </row>
    <row r="1667" spans="1:5" s="1266" customFormat="1">
      <c r="A1667" s="1311"/>
      <c r="B1667" s="1332"/>
      <c r="C1667" s="1343"/>
      <c r="D1667" s="1338"/>
      <c r="E1667" s="1338"/>
    </row>
    <row r="1668" spans="1:5" s="1266" customFormat="1" ht="30">
      <c r="A1668" s="1311"/>
      <c r="B1668" s="1332" t="s">
        <v>2179</v>
      </c>
      <c r="C1668" s="1343" t="s">
        <v>215</v>
      </c>
      <c r="D1668" s="1338">
        <v>591.05999999999995</v>
      </c>
      <c r="E1668" s="1363">
        <f>D1668*$E$5</f>
        <v>628.2967799999999</v>
      </c>
    </row>
    <row r="1669" spans="1:5" s="1266" customFormat="1">
      <c r="A1669" s="1311"/>
      <c r="B1669" s="1332"/>
      <c r="C1669" s="1343"/>
      <c r="D1669" s="1338"/>
      <c r="E1669" s="1338"/>
    </row>
    <row r="1670" spans="1:5" s="1266" customFormat="1" ht="30">
      <c r="A1670" s="1311"/>
      <c r="B1670" s="1332" t="s">
        <v>2180</v>
      </c>
      <c r="C1670" s="1343" t="s">
        <v>215</v>
      </c>
      <c r="D1670" s="1338">
        <v>591.05999999999995</v>
      </c>
      <c r="E1670" s="1363">
        <f>D1670*$E$5</f>
        <v>628.2967799999999</v>
      </c>
    </row>
    <row r="1671" spans="1:5" s="1266" customFormat="1">
      <c r="A1671" s="1311"/>
      <c r="B1671" s="1332"/>
      <c r="C1671" s="1343"/>
      <c r="D1671" s="1338"/>
      <c r="E1671" s="1338"/>
    </row>
    <row r="1672" spans="1:5" s="1266" customFormat="1" ht="30">
      <c r="A1672" s="1311"/>
      <c r="B1672" s="1332" t="s">
        <v>2181</v>
      </c>
      <c r="C1672" s="1343" t="s">
        <v>215</v>
      </c>
      <c r="D1672" s="1338">
        <v>591.05999999999995</v>
      </c>
      <c r="E1672" s="1363">
        <f>D1672*$E$5</f>
        <v>628.2967799999999</v>
      </c>
    </row>
    <row r="1673" spans="1:5" s="1266" customFormat="1">
      <c r="A1673" s="1311"/>
      <c r="B1673" s="1332"/>
      <c r="C1673" s="1343"/>
      <c r="D1673" s="1338"/>
      <c r="E1673" s="1338"/>
    </row>
    <row r="1674" spans="1:5" s="1266" customFormat="1" ht="30">
      <c r="A1674" s="1311"/>
      <c r="B1674" s="1332" t="s">
        <v>2182</v>
      </c>
      <c r="C1674" s="1343" t="s">
        <v>215</v>
      </c>
      <c r="D1674" s="1338">
        <v>591.05999999999995</v>
      </c>
      <c r="E1674" s="1363">
        <f>D1674*$E$5</f>
        <v>628.2967799999999</v>
      </c>
    </row>
    <row r="1675" spans="1:5" s="1266" customFormat="1">
      <c r="A1675" s="1311"/>
      <c r="B1675" s="1332"/>
      <c r="C1675" s="1343"/>
      <c r="D1675" s="1338"/>
      <c r="E1675" s="1338"/>
    </row>
    <row r="1676" spans="1:5" s="1266" customFormat="1" ht="30">
      <c r="A1676" s="1311"/>
      <c r="B1676" s="1332" t="s">
        <v>2183</v>
      </c>
      <c r="C1676" s="1343" t="s">
        <v>215</v>
      </c>
      <c r="D1676" s="1338">
        <v>591.05999999999995</v>
      </c>
      <c r="E1676" s="1363">
        <f>D1676*$E$5</f>
        <v>628.2967799999999</v>
      </c>
    </row>
    <row r="1677" spans="1:5" s="1266" customFormat="1">
      <c r="A1677" s="1311"/>
      <c r="B1677" s="1332"/>
      <c r="C1677" s="1343"/>
      <c r="D1677" s="1338"/>
      <c r="E1677" s="1338"/>
    </row>
    <row r="1678" spans="1:5" s="1266" customFormat="1" ht="30">
      <c r="A1678" s="1311"/>
      <c r="B1678" s="1332" t="s">
        <v>2184</v>
      </c>
      <c r="C1678" s="1343" t="s">
        <v>215</v>
      </c>
      <c r="D1678" s="1338">
        <v>591.05999999999995</v>
      </c>
      <c r="E1678" s="1363">
        <f>D1678*$E$5</f>
        <v>628.2967799999999</v>
      </c>
    </row>
    <row r="1679" spans="1:5" s="1266" customFormat="1">
      <c r="A1679" s="1311"/>
      <c r="B1679" s="1332"/>
      <c r="C1679" s="1343"/>
      <c r="D1679" s="1338"/>
      <c r="E1679" s="1338"/>
    </row>
    <row r="1680" spans="1:5" s="1266" customFormat="1" ht="30">
      <c r="A1680" s="1311"/>
      <c r="B1680" s="1332" t="s">
        <v>2185</v>
      </c>
      <c r="C1680" s="1343" t="s">
        <v>215</v>
      </c>
      <c r="D1680" s="1338">
        <v>591.05999999999995</v>
      </c>
      <c r="E1680" s="1363">
        <f>D1680*$E$5</f>
        <v>628.2967799999999</v>
      </c>
    </row>
    <row r="1681" spans="1:5" s="1266" customFormat="1">
      <c r="A1681" s="1311"/>
      <c r="B1681" s="1332"/>
      <c r="C1681" s="1343"/>
      <c r="D1681" s="1338"/>
      <c r="E1681" s="1338"/>
    </row>
    <row r="1682" spans="1:5" s="1266" customFormat="1" ht="30">
      <c r="A1682" s="1311"/>
      <c r="B1682" s="1332" t="s">
        <v>2186</v>
      </c>
      <c r="C1682" s="1343" t="s">
        <v>215</v>
      </c>
      <c r="D1682" s="1338">
        <v>591.05999999999995</v>
      </c>
      <c r="E1682" s="1363">
        <f>D1682*$E$5</f>
        <v>628.2967799999999</v>
      </c>
    </row>
    <row r="1683" spans="1:5" s="1266" customFormat="1">
      <c r="A1683" s="1311"/>
      <c r="B1683" s="1332"/>
      <c r="C1683" s="1343"/>
      <c r="D1683" s="1338"/>
      <c r="E1683" s="1338"/>
    </row>
    <row r="1684" spans="1:5" s="1266" customFormat="1" ht="30">
      <c r="A1684" s="1311"/>
      <c r="B1684" s="1332" t="s">
        <v>2187</v>
      </c>
      <c r="C1684" s="1343" t="s">
        <v>215</v>
      </c>
      <c r="D1684" s="1338">
        <v>591.05999999999995</v>
      </c>
      <c r="E1684" s="1363">
        <f>D1684*$E$5</f>
        <v>628.2967799999999</v>
      </c>
    </row>
    <row r="1685" spans="1:5" s="1266" customFormat="1">
      <c r="A1685" s="1311"/>
      <c r="B1685" s="1332"/>
      <c r="C1685" s="1343"/>
      <c r="D1685" s="1338"/>
      <c r="E1685" s="1338"/>
    </row>
    <row r="1686" spans="1:5" s="1266" customFormat="1" ht="30">
      <c r="A1686" s="1311"/>
      <c r="B1686" s="1332" t="s">
        <v>2188</v>
      </c>
      <c r="C1686" s="1343" t="s">
        <v>215</v>
      </c>
      <c r="D1686" s="1338">
        <v>591.05999999999995</v>
      </c>
      <c r="E1686" s="1363">
        <f>D1686*$E$5</f>
        <v>628.2967799999999</v>
      </c>
    </row>
    <row r="1687" spans="1:5" s="1266" customFormat="1">
      <c r="A1687" s="1311"/>
      <c r="B1687" s="1332"/>
      <c r="C1687" s="1343"/>
      <c r="D1687" s="1338"/>
      <c r="E1687" s="1338"/>
    </row>
    <row r="1688" spans="1:5" s="1266" customFormat="1" ht="30">
      <c r="A1688" s="1311"/>
      <c r="B1688" s="1332" t="s">
        <v>2189</v>
      </c>
      <c r="C1688" s="1343" t="s">
        <v>215</v>
      </c>
      <c r="D1688" s="1338">
        <v>591.05999999999995</v>
      </c>
      <c r="E1688" s="1363">
        <f>D1688*$E$5</f>
        <v>628.2967799999999</v>
      </c>
    </row>
    <row r="1689" spans="1:5" s="1266" customFormat="1">
      <c r="A1689" s="1311"/>
      <c r="B1689" s="1332"/>
      <c r="C1689" s="1343"/>
      <c r="D1689" s="1338"/>
      <c r="E1689" s="1338"/>
    </row>
    <row r="1690" spans="1:5" s="1266" customFormat="1" ht="30">
      <c r="A1690" s="1311"/>
      <c r="B1690" s="1332" t="s">
        <v>2190</v>
      </c>
      <c r="C1690" s="1343" t="s">
        <v>215</v>
      </c>
      <c r="D1690" s="1338">
        <v>591.05999999999995</v>
      </c>
      <c r="E1690" s="1363">
        <f>D1690*$E$5</f>
        <v>628.2967799999999</v>
      </c>
    </row>
    <row r="1691" spans="1:5" s="1266" customFormat="1">
      <c r="A1691" s="1311"/>
      <c r="B1691" s="1332"/>
      <c r="C1691" s="1343"/>
      <c r="D1691" s="1338"/>
      <c r="E1691" s="1338"/>
    </row>
    <row r="1692" spans="1:5" s="1266" customFormat="1" ht="30">
      <c r="A1692" s="1311"/>
      <c r="B1692" s="1332" t="s">
        <v>2191</v>
      </c>
      <c r="C1692" s="1343" t="s">
        <v>215</v>
      </c>
      <c r="D1692" s="1338">
        <v>591.05999999999995</v>
      </c>
      <c r="E1692" s="1363">
        <f>D1692*$E$5</f>
        <v>628.2967799999999</v>
      </c>
    </row>
    <row r="1693" spans="1:5" s="1266" customFormat="1">
      <c r="A1693" s="1311"/>
      <c r="B1693" s="1332"/>
      <c r="C1693" s="1343"/>
      <c r="D1693" s="1338"/>
      <c r="E1693" s="1338"/>
    </row>
    <row r="1694" spans="1:5" s="1266" customFormat="1" ht="30">
      <c r="A1694" s="1311"/>
      <c r="B1694" s="1332" t="s">
        <v>2192</v>
      </c>
      <c r="C1694" s="1343" t="s">
        <v>215</v>
      </c>
      <c r="D1694" s="1338">
        <v>591.05999999999995</v>
      </c>
      <c r="E1694" s="1363">
        <f>D1694*$E$5</f>
        <v>628.2967799999999</v>
      </c>
    </row>
    <row r="1695" spans="1:5" s="1266" customFormat="1">
      <c r="A1695" s="1311"/>
      <c r="B1695" s="1332"/>
      <c r="C1695" s="1343"/>
      <c r="D1695" s="1338"/>
      <c r="E1695" s="1338"/>
    </row>
    <row r="1696" spans="1:5" s="1266" customFormat="1" ht="30">
      <c r="A1696" s="1311"/>
      <c r="B1696" s="1332" t="s">
        <v>2193</v>
      </c>
      <c r="C1696" s="1343" t="s">
        <v>215</v>
      </c>
      <c r="D1696" s="1338">
        <v>591.05999999999995</v>
      </c>
      <c r="E1696" s="1363">
        <f>D1696*$E$5</f>
        <v>628.2967799999999</v>
      </c>
    </row>
    <row r="1697" spans="1:5" s="1266" customFormat="1">
      <c r="A1697" s="1311"/>
      <c r="B1697" s="1332"/>
      <c r="C1697" s="1343"/>
      <c r="D1697" s="1338"/>
      <c r="E1697" s="1338"/>
    </row>
    <row r="1698" spans="1:5" s="1266" customFormat="1" ht="30">
      <c r="A1698" s="1311"/>
      <c r="B1698" s="1332" t="s">
        <v>2194</v>
      </c>
      <c r="C1698" s="1343" t="s">
        <v>215</v>
      </c>
      <c r="D1698" s="1338">
        <v>591.05999999999995</v>
      </c>
      <c r="E1698" s="1363">
        <f>D1698*$E$5</f>
        <v>628.2967799999999</v>
      </c>
    </row>
    <row r="1699" spans="1:5" s="1266" customFormat="1">
      <c r="A1699" s="1311"/>
      <c r="B1699" s="1332"/>
      <c r="C1699" s="1343"/>
      <c r="D1699" s="1338"/>
      <c r="E1699" s="1338"/>
    </row>
    <row r="1700" spans="1:5" s="1266" customFormat="1" ht="30">
      <c r="A1700" s="1311"/>
      <c r="B1700" s="1332" t="s">
        <v>2195</v>
      </c>
      <c r="C1700" s="1343" t="s">
        <v>215</v>
      </c>
      <c r="D1700" s="1338">
        <v>591.05999999999995</v>
      </c>
      <c r="E1700" s="1363">
        <f>D1700*$E$5</f>
        <v>628.2967799999999</v>
      </c>
    </row>
    <row r="1701" spans="1:5" s="1266" customFormat="1">
      <c r="A1701" s="1311"/>
      <c r="B1701" s="1332"/>
      <c r="C1701" s="1343"/>
      <c r="D1701" s="1338"/>
      <c r="E1701" s="1338"/>
    </row>
    <row r="1702" spans="1:5" s="1266" customFormat="1" ht="30">
      <c r="A1702" s="1311"/>
      <c r="B1702" s="1332" t="s">
        <v>2196</v>
      </c>
      <c r="C1702" s="1343" t="s">
        <v>215</v>
      </c>
      <c r="D1702" s="1338">
        <v>591.05999999999995</v>
      </c>
      <c r="E1702" s="1363">
        <f>D1702*$E$5</f>
        <v>628.2967799999999</v>
      </c>
    </row>
    <row r="1703" spans="1:5" s="1266" customFormat="1">
      <c r="A1703" s="1311"/>
      <c r="B1703" s="1332"/>
      <c r="C1703" s="1343"/>
      <c r="D1703" s="1338"/>
      <c r="E1703" s="1338"/>
    </row>
    <row r="1704" spans="1:5" s="1266" customFormat="1" ht="30">
      <c r="A1704" s="1311"/>
      <c r="B1704" s="1332" t="s">
        <v>2197</v>
      </c>
      <c r="C1704" s="1343" t="s">
        <v>215</v>
      </c>
      <c r="D1704" s="1338">
        <v>591.05999999999995</v>
      </c>
      <c r="E1704" s="1363">
        <f>D1704*$E$5</f>
        <v>628.2967799999999</v>
      </c>
    </row>
    <row r="1705" spans="1:5" s="1266" customFormat="1">
      <c r="A1705" s="1311"/>
      <c r="B1705" s="1332"/>
      <c r="C1705" s="1343"/>
      <c r="D1705" s="1338"/>
      <c r="E1705" s="1338"/>
    </row>
    <row r="1706" spans="1:5" s="1266" customFormat="1" ht="30">
      <c r="A1706" s="1311"/>
      <c r="B1706" s="1332" t="s">
        <v>2198</v>
      </c>
      <c r="C1706" s="1343" t="s">
        <v>215</v>
      </c>
      <c r="D1706" s="1338">
        <v>591.05999999999995</v>
      </c>
      <c r="E1706" s="1363">
        <f>D1706*$E$5</f>
        <v>628.2967799999999</v>
      </c>
    </row>
    <row r="1707" spans="1:5" s="1266" customFormat="1">
      <c r="A1707" s="1311"/>
      <c r="B1707" s="1332"/>
      <c r="C1707" s="1343"/>
      <c r="D1707" s="1338"/>
      <c r="E1707" s="1338"/>
    </row>
    <row r="1708" spans="1:5" s="1266" customFormat="1" ht="30">
      <c r="A1708" s="1311"/>
      <c r="B1708" s="1332" t="s">
        <v>2199</v>
      </c>
      <c r="C1708" s="1343" t="s">
        <v>215</v>
      </c>
      <c r="D1708" s="1338">
        <v>591.05999999999995</v>
      </c>
      <c r="E1708" s="1363">
        <f>D1708*$E$5</f>
        <v>628.2967799999999</v>
      </c>
    </row>
    <row r="1709" spans="1:5" s="1266" customFormat="1">
      <c r="A1709" s="1311"/>
      <c r="B1709" s="1332"/>
      <c r="C1709" s="1343"/>
      <c r="D1709" s="1338"/>
      <c r="E1709" s="1338"/>
    </row>
    <row r="1710" spans="1:5" s="1266" customFormat="1" ht="30">
      <c r="A1710" s="1311"/>
      <c r="B1710" s="1332" t="s">
        <v>2200</v>
      </c>
      <c r="C1710" s="1343" t="s">
        <v>215</v>
      </c>
      <c r="D1710" s="1338">
        <v>591.05999999999995</v>
      </c>
      <c r="E1710" s="1363">
        <f>D1710*$E$5</f>
        <v>628.2967799999999</v>
      </c>
    </row>
    <row r="1711" spans="1:5" s="1266" customFormat="1">
      <c r="A1711" s="1311"/>
      <c r="B1711" s="1332"/>
      <c r="C1711" s="1343"/>
      <c r="D1711" s="1338"/>
      <c r="E1711" s="1338"/>
    </row>
    <row r="1712" spans="1:5" s="1266" customFormat="1" ht="30">
      <c r="A1712" s="1311"/>
      <c r="B1712" s="1332" t="s">
        <v>2201</v>
      </c>
      <c r="C1712" s="1343" t="s">
        <v>215</v>
      </c>
      <c r="D1712" s="1338">
        <v>591.05999999999995</v>
      </c>
      <c r="E1712" s="1363">
        <f>D1712*$E$5</f>
        <v>628.2967799999999</v>
      </c>
    </row>
    <row r="1713" spans="1:5" s="1266" customFormat="1">
      <c r="A1713" s="1311"/>
      <c r="B1713" s="1332"/>
      <c r="C1713" s="1343"/>
      <c r="D1713" s="1338"/>
      <c r="E1713" s="1338"/>
    </row>
    <row r="1714" spans="1:5" s="1266" customFormat="1" ht="30">
      <c r="A1714" s="1311"/>
      <c r="B1714" s="1332" t="s">
        <v>2202</v>
      </c>
      <c r="C1714" s="1343" t="s">
        <v>215</v>
      </c>
      <c r="D1714" s="1338">
        <v>591.05999999999995</v>
      </c>
      <c r="E1714" s="1363">
        <f>D1714*$E$5</f>
        <v>628.2967799999999</v>
      </c>
    </row>
    <row r="1715" spans="1:5" s="1266" customFormat="1">
      <c r="A1715" s="1311"/>
      <c r="B1715" s="1332"/>
      <c r="C1715" s="1343"/>
      <c r="D1715" s="1338"/>
      <c r="E1715" s="1338"/>
    </row>
    <row r="1716" spans="1:5" s="1266" customFormat="1" ht="30">
      <c r="A1716" s="1311"/>
      <c r="B1716" s="1332" t="s">
        <v>2203</v>
      </c>
      <c r="C1716" s="1343" t="s">
        <v>215</v>
      </c>
      <c r="D1716" s="1338">
        <v>591.05999999999995</v>
      </c>
      <c r="E1716" s="1363">
        <f>D1716*$E$5</f>
        <v>628.2967799999999</v>
      </c>
    </row>
    <row r="1717" spans="1:5" s="1266" customFormat="1">
      <c r="A1717" s="1311"/>
      <c r="B1717" s="1332"/>
      <c r="C1717" s="1343"/>
      <c r="D1717" s="1338"/>
      <c r="E1717" s="1338"/>
    </row>
    <row r="1718" spans="1:5" s="1266" customFormat="1" ht="30">
      <c r="A1718" s="1311"/>
      <c r="B1718" s="1332" t="s">
        <v>2204</v>
      </c>
      <c r="C1718" s="1343" t="s">
        <v>215</v>
      </c>
      <c r="D1718" s="1338">
        <v>591.05999999999995</v>
      </c>
      <c r="E1718" s="1363">
        <f>D1718*$E$5</f>
        <v>628.2967799999999</v>
      </c>
    </row>
    <row r="1719" spans="1:5" s="1266" customFormat="1">
      <c r="A1719" s="1311"/>
      <c r="B1719" s="1332"/>
      <c r="C1719" s="1343"/>
      <c r="D1719" s="1338"/>
      <c r="E1719" s="1338"/>
    </row>
    <row r="1720" spans="1:5" s="1266" customFormat="1" ht="30">
      <c r="A1720" s="1311"/>
      <c r="B1720" s="1332" t="s">
        <v>2205</v>
      </c>
      <c r="C1720" s="1343" t="s">
        <v>215</v>
      </c>
      <c r="D1720" s="1338">
        <v>591.05999999999995</v>
      </c>
      <c r="E1720" s="1363">
        <f>D1720*$E$5</f>
        <v>628.2967799999999</v>
      </c>
    </row>
    <row r="1721" spans="1:5" s="1266" customFormat="1">
      <c r="A1721" s="1311"/>
      <c r="B1721" s="1332"/>
      <c r="C1721" s="1343"/>
      <c r="D1721" s="1338"/>
      <c r="E1721" s="1338"/>
    </row>
    <row r="1722" spans="1:5" s="1266" customFormat="1" ht="30">
      <c r="A1722" s="1311"/>
      <c r="B1722" s="1332" t="s">
        <v>2206</v>
      </c>
      <c r="C1722" s="1343" t="s">
        <v>215</v>
      </c>
      <c r="D1722" s="1338">
        <v>591.05999999999995</v>
      </c>
      <c r="E1722" s="1363">
        <f>D1722*$E$5</f>
        <v>628.2967799999999</v>
      </c>
    </row>
    <row r="1723" spans="1:5" s="1266" customFormat="1">
      <c r="A1723" s="1311"/>
      <c r="B1723" s="1332"/>
      <c r="C1723" s="1343"/>
      <c r="D1723" s="1338"/>
      <c r="E1723" s="1338"/>
    </row>
    <row r="1724" spans="1:5" s="1266" customFormat="1" ht="30">
      <c r="A1724" s="1311"/>
      <c r="B1724" s="1332" t="s">
        <v>2207</v>
      </c>
      <c r="C1724" s="1343" t="s">
        <v>215</v>
      </c>
      <c r="D1724" s="1338">
        <v>591.05999999999995</v>
      </c>
      <c r="E1724" s="1363">
        <f>D1724*$E$5</f>
        <v>628.2967799999999</v>
      </c>
    </row>
    <row r="1725" spans="1:5" s="1266" customFormat="1">
      <c r="A1725" s="1311"/>
      <c r="B1725" s="1332"/>
      <c r="C1725" s="1343"/>
      <c r="D1725" s="1338"/>
      <c r="E1725" s="1338"/>
    </row>
    <row r="1726" spans="1:5" s="1266" customFormat="1" ht="30">
      <c r="A1726" s="1311"/>
      <c r="B1726" s="1332" t="s">
        <v>2208</v>
      </c>
      <c r="C1726" s="1343" t="s">
        <v>215</v>
      </c>
      <c r="D1726" s="1338">
        <v>591.05999999999995</v>
      </c>
      <c r="E1726" s="1363">
        <f>D1726*$E$5</f>
        <v>628.2967799999999</v>
      </c>
    </row>
    <row r="1727" spans="1:5" s="1266" customFormat="1">
      <c r="A1727" s="1311"/>
      <c r="B1727" s="1332"/>
      <c r="C1727" s="1343"/>
      <c r="D1727" s="1338"/>
      <c r="E1727" s="1338"/>
    </row>
    <row r="1728" spans="1:5" s="1266" customFormat="1" ht="30">
      <c r="A1728" s="1311"/>
      <c r="B1728" s="1332" t="s">
        <v>2209</v>
      </c>
      <c r="C1728" s="1343" t="s">
        <v>215</v>
      </c>
      <c r="D1728" s="1338">
        <v>591.05999999999995</v>
      </c>
      <c r="E1728" s="1363">
        <f>D1728*$E$5</f>
        <v>628.2967799999999</v>
      </c>
    </row>
    <row r="1729" spans="1:5" s="1266" customFormat="1">
      <c r="A1729" s="1311"/>
      <c r="B1729" s="1332"/>
      <c r="C1729" s="1343"/>
      <c r="D1729" s="1338"/>
      <c r="E1729" s="1338"/>
    </row>
    <row r="1730" spans="1:5" s="1266" customFormat="1" ht="30">
      <c r="A1730" s="1311"/>
      <c r="B1730" s="1332" t="s">
        <v>2210</v>
      </c>
      <c r="C1730" s="1343" t="s">
        <v>215</v>
      </c>
      <c r="D1730" s="1338">
        <v>591.05999999999995</v>
      </c>
      <c r="E1730" s="1363">
        <f>D1730*$E$5</f>
        <v>628.2967799999999</v>
      </c>
    </row>
    <row r="1731" spans="1:5" s="1266" customFormat="1">
      <c r="A1731" s="1311"/>
      <c r="B1731" s="1332"/>
      <c r="C1731" s="1343"/>
      <c r="D1731" s="1338"/>
      <c r="E1731" s="1338"/>
    </row>
    <row r="1732" spans="1:5" s="1266" customFormat="1" ht="30">
      <c r="A1732" s="1311"/>
      <c r="B1732" s="1332" t="s">
        <v>2211</v>
      </c>
      <c r="C1732" s="1343" t="s">
        <v>215</v>
      </c>
      <c r="D1732" s="1338">
        <v>591.05999999999995</v>
      </c>
      <c r="E1732" s="1363">
        <f>D1732*$E$5</f>
        <v>628.2967799999999</v>
      </c>
    </row>
    <row r="1733" spans="1:5" s="1266" customFormat="1">
      <c r="A1733" s="1311"/>
      <c r="B1733" s="1332"/>
      <c r="C1733" s="1343"/>
      <c r="D1733" s="1338"/>
      <c r="E1733" s="1338"/>
    </row>
    <row r="1734" spans="1:5" s="1266" customFormat="1" ht="30">
      <c r="A1734" s="1311"/>
      <c r="B1734" s="1332" t="s">
        <v>2212</v>
      </c>
      <c r="C1734" s="1343" t="s">
        <v>215</v>
      </c>
      <c r="D1734" s="1338">
        <v>591.05999999999995</v>
      </c>
      <c r="E1734" s="1363">
        <f>D1734*$E$5</f>
        <v>628.2967799999999</v>
      </c>
    </row>
    <row r="1735" spans="1:5" s="1266" customFormat="1">
      <c r="A1735" s="1311"/>
      <c r="B1735" s="1332"/>
      <c r="C1735" s="1343"/>
      <c r="D1735" s="1338"/>
      <c r="E1735" s="1338"/>
    </row>
    <row r="1736" spans="1:5" s="1266" customFormat="1" ht="30">
      <c r="A1736" s="1311"/>
      <c r="B1736" s="1332" t="s">
        <v>2213</v>
      </c>
      <c r="C1736" s="1343" t="s">
        <v>215</v>
      </c>
      <c r="D1736" s="1338">
        <v>591.05999999999995</v>
      </c>
      <c r="E1736" s="1363">
        <f>D1736*$E$5</f>
        <v>628.2967799999999</v>
      </c>
    </row>
    <row r="1737" spans="1:5" s="1266" customFormat="1">
      <c r="A1737" s="1311"/>
      <c r="B1737" s="1332"/>
      <c r="C1737" s="1343"/>
      <c r="D1737" s="1338"/>
      <c r="E1737" s="1338"/>
    </row>
    <row r="1738" spans="1:5" s="1266" customFormat="1" ht="30">
      <c r="A1738" s="1311"/>
      <c r="B1738" s="1332" t="s">
        <v>2214</v>
      </c>
      <c r="C1738" s="1343" t="s">
        <v>215</v>
      </c>
      <c r="D1738" s="1338">
        <v>591.05999999999995</v>
      </c>
      <c r="E1738" s="1363">
        <f>D1738*$E$5</f>
        <v>628.2967799999999</v>
      </c>
    </row>
    <row r="1739" spans="1:5" s="1266" customFormat="1">
      <c r="A1739" s="1311"/>
      <c r="B1739" s="1332"/>
      <c r="C1739" s="1343"/>
      <c r="D1739" s="1338"/>
      <c r="E1739" s="1338"/>
    </row>
    <row r="1740" spans="1:5" s="1266" customFormat="1" ht="30">
      <c r="A1740" s="1311"/>
      <c r="B1740" s="1332" t="s">
        <v>2215</v>
      </c>
      <c r="C1740" s="1343" t="s">
        <v>215</v>
      </c>
      <c r="D1740" s="1338">
        <v>591.05999999999995</v>
      </c>
      <c r="E1740" s="1363">
        <f>D1740*$E$5</f>
        <v>628.2967799999999</v>
      </c>
    </row>
    <row r="1741" spans="1:5" s="1266" customFormat="1">
      <c r="A1741" s="1311"/>
      <c r="B1741" s="1332"/>
      <c r="C1741" s="1343"/>
      <c r="D1741" s="1338"/>
      <c r="E1741" s="1338"/>
    </row>
    <row r="1742" spans="1:5" s="1266" customFormat="1" ht="30">
      <c r="A1742" s="1311"/>
      <c r="B1742" s="1332" t="s">
        <v>2216</v>
      </c>
      <c r="C1742" s="1343" t="s">
        <v>215</v>
      </c>
      <c r="D1742" s="1338">
        <v>591.05999999999995</v>
      </c>
      <c r="E1742" s="1363">
        <f>D1742*$E$5</f>
        <v>628.2967799999999</v>
      </c>
    </row>
    <row r="1743" spans="1:5" s="1266" customFormat="1">
      <c r="A1743" s="1311"/>
      <c r="B1743" s="1332"/>
      <c r="C1743" s="1343"/>
      <c r="D1743" s="1338"/>
      <c r="E1743" s="1338"/>
    </row>
    <row r="1744" spans="1:5" s="1266" customFormat="1" ht="30">
      <c r="A1744" s="1311"/>
      <c r="B1744" s="1332" t="s">
        <v>2217</v>
      </c>
      <c r="C1744" s="1343" t="s">
        <v>215</v>
      </c>
      <c r="D1744" s="1338">
        <v>591.05999999999995</v>
      </c>
      <c r="E1744" s="1363">
        <f>D1744*$E$5</f>
        <v>628.2967799999999</v>
      </c>
    </row>
    <row r="1745" spans="1:5" s="1266" customFormat="1">
      <c r="A1745" s="1311"/>
      <c r="B1745" s="1332"/>
      <c r="C1745" s="1343"/>
      <c r="D1745" s="1338"/>
      <c r="E1745" s="1338"/>
    </row>
    <row r="1746" spans="1:5" s="1266" customFormat="1" ht="30">
      <c r="A1746" s="1311"/>
      <c r="B1746" s="1332" t="s">
        <v>2218</v>
      </c>
      <c r="C1746" s="1343" t="s">
        <v>215</v>
      </c>
      <c r="D1746" s="1338">
        <v>591.05999999999995</v>
      </c>
      <c r="E1746" s="1363">
        <f>D1746*$E$5</f>
        <v>628.2967799999999</v>
      </c>
    </row>
    <row r="1747" spans="1:5" s="1266" customFormat="1">
      <c r="A1747" s="1311"/>
      <c r="B1747" s="1332"/>
      <c r="C1747" s="1343"/>
      <c r="D1747" s="1338"/>
      <c r="E1747" s="1338"/>
    </row>
    <row r="1748" spans="1:5" s="1266" customFormat="1" ht="30">
      <c r="A1748" s="1311"/>
      <c r="B1748" s="1332" t="s">
        <v>2219</v>
      </c>
      <c r="C1748" s="1343" t="s">
        <v>215</v>
      </c>
      <c r="D1748" s="1338">
        <v>591.05999999999995</v>
      </c>
      <c r="E1748" s="1363">
        <f>D1748*$E$5</f>
        <v>628.2967799999999</v>
      </c>
    </row>
    <row r="1749" spans="1:5" s="1266" customFormat="1">
      <c r="A1749" s="1311"/>
      <c r="B1749" s="1332"/>
      <c r="C1749" s="1343"/>
      <c r="D1749" s="1338"/>
      <c r="E1749" s="1338"/>
    </row>
    <row r="1750" spans="1:5" s="1266" customFormat="1" ht="30">
      <c r="A1750" s="1311"/>
      <c r="B1750" s="1332" t="s">
        <v>2220</v>
      </c>
      <c r="C1750" s="1343" t="s">
        <v>215</v>
      </c>
      <c r="D1750" s="1338">
        <v>591.05999999999995</v>
      </c>
      <c r="E1750" s="1363">
        <f>D1750*$E$5</f>
        <v>628.2967799999999</v>
      </c>
    </row>
    <row r="1751" spans="1:5" s="1266" customFormat="1">
      <c r="A1751" s="1311"/>
      <c r="B1751" s="1332"/>
      <c r="C1751" s="1343"/>
      <c r="D1751" s="1338"/>
      <c r="E1751" s="1338"/>
    </row>
    <row r="1752" spans="1:5" s="1266" customFormat="1" ht="30">
      <c r="A1752" s="1311"/>
      <c r="B1752" s="1332" t="s">
        <v>2221</v>
      </c>
      <c r="C1752" s="1343" t="s">
        <v>215</v>
      </c>
      <c r="D1752" s="1338">
        <v>591.05999999999995</v>
      </c>
      <c r="E1752" s="1363">
        <f>D1752*$E$5</f>
        <v>628.2967799999999</v>
      </c>
    </row>
    <row r="1753" spans="1:5" s="1266" customFormat="1">
      <c r="A1753" s="1311"/>
      <c r="B1753" s="1332"/>
      <c r="C1753" s="1343"/>
      <c r="D1753" s="1338"/>
      <c r="E1753" s="1338"/>
    </row>
    <row r="1754" spans="1:5" s="1266" customFormat="1" ht="30">
      <c r="A1754" s="1311"/>
      <c r="B1754" s="1332" t="s">
        <v>2222</v>
      </c>
      <c r="C1754" s="1343" t="s">
        <v>215</v>
      </c>
      <c r="D1754" s="1338">
        <v>591.05999999999995</v>
      </c>
      <c r="E1754" s="1363">
        <f>D1754*$E$5</f>
        <v>628.2967799999999</v>
      </c>
    </row>
    <row r="1755" spans="1:5" s="1266" customFormat="1">
      <c r="A1755" s="1311"/>
      <c r="B1755" s="1332"/>
      <c r="C1755" s="1343"/>
      <c r="D1755" s="1338"/>
      <c r="E1755" s="1338"/>
    </row>
    <row r="1756" spans="1:5" s="1266" customFormat="1" ht="30">
      <c r="A1756" s="1311"/>
      <c r="B1756" s="1332" t="s">
        <v>2223</v>
      </c>
      <c r="C1756" s="1343" t="s">
        <v>215</v>
      </c>
      <c r="D1756" s="1338">
        <v>1200</v>
      </c>
      <c r="E1756" s="1363">
        <f>D1756*$E$5</f>
        <v>1275.5999999999999</v>
      </c>
    </row>
    <row r="1757" spans="1:5" s="1266" customFormat="1">
      <c r="A1757" s="1311"/>
      <c r="B1757" s="1332"/>
      <c r="C1757" s="1343"/>
      <c r="D1757" s="1338"/>
      <c r="E1757" s="1338"/>
    </row>
    <row r="1758" spans="1:5" s="1266" customFormat="1" ht="30">
      <c r="A1758" s="1311"/>
      <c r="B1758" s="1332" t="s">
        <v>2224</v>
      </c>
      <c r="C1758" s="1343" t="s">
        <v>215</v>
      </c>
      <c r="D1758" s="1338">
        <v>1300</v>
      </c>
      <c r="E1758" s="1363">
        <f>D1758*$E$5</f>
        <v>1381.8999999999999</v>
      </c>
    </row>
    <row r="1759" spans="1:5" s="1266" customFormat="1">
      <c r="A1759" s="1311"/>
      <c r="B1759" s="1332"/>
      <c r="C1759" s="1343"/>
      <c r="D1759" s="1338"/>
      <c r="E1759" s="1338"/>
    </row>
    <row r="1760" spans="1:5" s="1266" customFormat="1" ht="30">
      <c r="A1760" s="1311"/>
      <c r="B1760" s="1332" t="s">
        <v>2225</v>
      </c>
      <c r="C1760" s="1343" t="s">
        <v>215</v>
      </c>
      <c r="D1760" s="1338">
        <v>1300</v>
      </c>
      <c r="E1760" s="1363">
        <f>D1760*$E$5</f>
        <v>1381.8999999999999</v>
      </c>
    </row>
    <row r="1761" spans="1:5" s="1266" customFormat="1">
      <c r="A1761" s="1311"/>
      <c r="B1761" s="1332"/>
      <c r="C1761" s="1343"/>
      <c r="D1761" s="1338"/>
      <c r="E1761" s="1338"/>
    </row>
    <row r="1762" spans="1:5" s="1266" customFormat="1" ht="30">
      <c r="A1762" s="1311"/>
      <c r="B1762" s="1332" t="s">
        <v>2226</v>
      </c>
      <c r="C1762" s="1343" t="s">
        <v>215</v>
      </c>
      <c r="D1762" s="1338">
        <v>650</v>
      </c>
      <c r="E1762" s="1363">
        <f>D1762*$E$5</f>
        <v>690.94999999999993</v>
      </c>
    </row>
    <row r="1763" spans="1:5" s="1266" customFormat="1">
      <c r="A1763" s="1311"/>
      <c r="B1763" s="1332"/>
      <c r="C1763" s="1343"/>
      <c r="D1763" s="1338"/>
      <c r="E1763" s="1338"/>
    </row>
    <row r="1764" spans="1:5" s="1266" customFormat="1" ht="30">
      <c r="A1764" s="1311"/>
      <c r="B1764" s="1332" t="s">
        <v>2227</v>
      </c>
      <c r="C1764" s="1343" t="s">
        <v>215</v>
      </c>
      <c r="D1764" s="1338">
        <v>750</v>
      </c>
      <c r="E1764" s="1363">
        <f>D1764*$E$5</f>
        <v>797.25</v>
      </c>
    </row>
    <row r="1765" spans="1:5" s="1266" customFormat="1">
      <c r="A1765" s="1311"/>
      <c r="B1765" s="1332"/>
      <c r="C1765" s="1343"/>
      <c r="D1765" s="1338"/>
      <c r="E1765" s="1338"/>
    </row>
    <row r="1766" spans="1:5" s="1266" customFormat="1" ht="30">
      <c r="A1766" s="1311"/>
      <c r="B1766" s="1332" t="s">
        <v>2228</v>
      </c>
      <c r="C1766" s="1343" t="s">
        <v>215</v>
      </c>
      <c r="D1766" s="1338">
        <v>1000</v>
      </c>
      <c r="E1766" s="1363">
        <f>D1766*$E$5</f>
        <v>1063</v>
      </c>
    </row>
    <row r="1767" spans="1:5" s="1266" customFormat="1">
      <c r="A1767" s="1311"/>
      <c r="B1767" s="1332"/>
      <c r="C1767" s="1343"/>
      <c r="D1767" s="1338"/>
      <c r="E1767" s="1338"/>
    </row>
    <row r="1768" spans="1:5" s="1266" customFormat="1" ht="30">
      <c r="A1768" s="1311"/>
      <c r="B1768" s="1332" t="s">
        <v>2229</v>
      </c>
      <c r="C1768" s="1343" t="s">
        <v>215</v>
      </c>
      <c r="D1768" s="1338">
        <v>1050</v>
      </c>
      <c r="E1768" s="1363">
        <f>D1768*$E$5</f>
        <v>1116.1499999999999</v>
      </c>
    </row>
    <row r="1769" spans="1:5" s="1266" customFormat="1">
      <c r="A1769" s="1311"/>
      <c r="B1769" s="1332"/>
      <c r="C1769" s="1343"/>
      <c r="D1769" s="1338"/>
      <c r="E1769" s="1338"/>
    </row>
    <row r="1770" spans="1:5" s="1266" customFormat="1" ht="30">
      <c r="A1770" s="1311"/>
      <c r="B1770" s="1332" t="s">
        <v>2230</v>
      </c>
      <c r="C1770" s="1343" t="s">
        <v>215</v>
      </c>
      <c r="D1770" s="1338">
        <v>1100</v>
      </c>
      <c r="E1770" s="1363">
        <f>D1770*$E$5</f>
        <v>1169.3</v>
      </c>
    </row>
    <row r="1771" spans="1:5" s="1266" customFormat="1">
      <c r="A1771" s="1311"/>
      <c r="B1771" s="1332"/>
      <c r="C1771" s="1343"/>
      <c r="D1771" s="1338"/>
      <c r="E1771" s="1338"/>
    </row>
    <row r="1772" spans="1:5" s="1266" customFormat="1" ht="30">
      <c r="A1772" s="1311"/>
      <c r="B1772" s="1332" t="s">
        <v>2231</v>
      </c>
      <c r="C1772" s="1343" t="s">
        <v>215</v>
      </c>
      <c r="D1772" s="1338">
        <v>1150</v>
      </c>
      <c r="E1772" s="1363">
        <f>D1772*$E$5</f>
        <v>1222.45</v>
      </c>
    </row>
    <row r="1773" spans="1:5" s="1266" customFormat="1">
      <c r="A1773" s="1311"/>
      <c r="B1773" s="1332"/>
      <c r="C1773" s="1343"/>
      <c r="D1773" s="1338"/>
      <c r="E1773" s="1338"/>
    </row>
    <row r="1774" spans="1:5" s="1266" customFormat="1" ht="30">
      <c r="A1774" s="1311"/>
      <c r="B1774" s="1332" t="s">
        <v>2232</v>
      </c>
      <c r="C1774" s="1343" t="s">
        <v>215</v>
      </c>
      <c r="D1774" s="1338">
        <v>1150</v>
      </c>
      <c r="E1774" s="1363">
        <f>D1774*$E$5</f>
        <v>1222.45</v>
      </c>
    </row>
    <row r="1775" spans="1:5" s="1266" customFormat="1">
      <c r="A1775" s="1311"/>
      <c r="B1775" s="1332"/>
      <c r="C1775" s="1343"/>
      <c r="D1775" s="1338"/>
      <c r="E1775" s="1338"/>
    </row>
    <row r="1776" spans="1:5" s="1266" customFormat="1" ht="30">
      <c r="A1776" s="1311"/>
      <c r="B1776" s="1332" t="s">
        <v>2233</v>
      </c>
      <c r="C1776" s="1343" t="s">
        <v>215</v>
      </c>
      <c r="D1776" s="1338">
        <v>1200</v>
      </c>
      <c r="E1776" s="1363">
        <f>D1776*$E$5</f>
        <v>1275.5999999999999</v>
      </c>
    </row>
    <row r="1777" spans="1:5" s="1266" customFormat="1">
      <c r="A1777" s="1311"/>
      <c r="B1777" s="1332"/>
      <c r="C1777" s="1343"/>
      <c r="D1777" s="1338"/>
      <c r="E1777" s="1338"/>
    </row>
    <row r="1778" spans="1:5" s="1266" customFormat="1" ht="30">
      <c r="A1778" s="1311"/>
      <c r="B1778" s="1332" t="s">
        <v>2234</v>
      </c>
      <c r="C1778" s="1343" t="s">
        <v>215</v>
      </c>
      <c r="D1778" s="1338">
        <v>1250</v>
      </c>
      <c r="E1778" s="1363">
        <f>D1778*$E$5</f>
        <v>1328.75</v>
      </c>
    </row>
    <row r="1779" spans="1:5" s="1266" customFormat="1">
      <c r="A1779" s="1311"/>
      <c r="B1779" s="1332"/>
      <c r="C1779" s="1343"/>
      <c r="D1779" s="1338"/>
      <c r="E1779" s="1338"/>
    </row>
    <row r="1780" spans="1:5" s="1266" customFormat="1" ht="30">
      <c r="A1780" s="1311"/>
      <c r="B1780" s="1332" t="s">
        <v>2235</v>
      </c>
      <c r="C1780" s="1343" t="s">
        <v>215</v>
      </c>
      <c r="D1780" s="1338">
        <v>1300</v>
      </c>
      <c r="E1780" s="1363">
        <f>D1780*$E$5</f>
        <v>1381.8999999999999</v>
      </c>
    </row>
    <row r="1781" spans="1:5" s="1266" customFormat="1">
      <c r="A1781" s="1311"/>
      <c r="B1781" s="1332"/>
      <c r="C1781" s="1343"/>
      <c r="D1781" s="1338"/>
      <c r="E1781" s="1338"/>
    </row>
    <row r="1782" spans="1:5" s="1266" customFormat="1" ht="30">
      <c r="A1782" s="1311"/>
      <c r="B1782" s="1332" t="s">
        <v>2236</v>
      </c>
      <c r="C1782" s="1343" t="s">
        <v>215</v>
      </c>
      <c r="D1782" s="1338">
        <v>1400</v>
      </c>
      <c r="E1782" s="1363">
        <f>D1782*$E$5</f>
        <v>1488.1999999999998</v>
      </c>
    </row>
    <row r="1783" spans="1:5" s="1266" customFormat="1">
      <c r="A1783" s="1311"/>
      <c r="B1783" s="1332"/>
      <c r="C1783" s="1343"/>
      <c r="D1783" s="1338"/>
      <c r="E1783" s="1338"/>
    </row>
    <row r="1784" spans="1:5" s="1266" customFormat="1" ht="30">
      <c r="A1784" s="1311"/>
      <c r="B1784" s="1332" t="s">
        <v>2237</v>
      </c>
      <c r="C1784" s="1343" t="s">
        <v>215</v>
      </c>
      <c r="D1784" s="1338">
        <v>1400</v>
      </c>
      <c r="E1784" s="1363">
        <f>D1784*$E$5</f>
        <v>1488.1999999999998</v>
      </c>
    </row>
    <row r="1785" spans="1:5" s="1266" customFormat="1">
      <c r="A1785" s="1311"/>
      <c r="B1785" s="1332"/>
      <c r="C1785" s="1343"/>
      <c r="D1785" s="1338"/>
      <c r="E1785" s="1338"/>
    </row>
    <row r="1786" spans="1:5" s="1266" customFormat="1" ht="30">
      <c r="A1786" s="1311"/>
      <c r="B1786" s="1332" t="s">
        <v>2238</v>
      </c>
      <c r="C1786" s="1343" t="s">
        <v>215</v>
      </c>
      <c r="D1786" s="1338">
        <v>591.05999999999995</v>
      </c>
      <c r="E1786" s="1363">
        <f>D1786*$E$5</f>
        <v>628.2967799999999</v>
      </c>
    </row>
    <row r="1787" spans="1:5" s="1266" customFormat="1">
      <c r="A1787" s="1311"/>
      <c r="B1787" s="1332"/>
      <c r="C1787" s="1343"/>
      <c r="D1787" s="1338"/>
      <c r="E1787" s="1338"/>
    </row>
    <row r="1788" spans="1:5" s="1266" customFormat="1" ht="30">
      <c r="A1788" s="1311"/>
      <c r="B1788" s="1332" t="s">
        <v>2239</v>
      </c>
      <c r="C1788" s="1343" t="s">
        <v>215</v>
      </c>
      <c r="D1788" s="1338">
        <v>591.05999999999995</v>
      </c>
      <c r="E1788" s="1363">
        <f>D1788*$E$5</f>
        <v>628.2967799999999</v>
      </c>
    </row>
    <row r="1789" spans="1:5" s="1266" customFormat="1">
      <c r="A1789" s="1311"/>
      <c r="B1789" s="1332"/>
      <c r="C1789" s="1343"/>
      <c r="D1789" s="1338"/>
      <c r="E1789" s="1338"/>
    </row>
    <row r="1790" spans="1:5" s="1266" customFormat="1" ht="30">
      <c r="A1790" s="1311"/>
      <c r="B1790" s="1332" t="s">
        <v>2240</v>
      </c>
      <c r="C1790" s="1343" t="s">
        <v>215</v>
      </c>
      <c r="D1790" s="1338">
        <v>591.05999999999995</v>
      </c>
      <c r="E1790" s="1363">
        <f>D1790*$E$5</f>
        <v>628.2967799999999</v>
      </c>
    </row>
    <row r="1791" spans="1:5" s="1266" customFormat="1">
      <c r="A1791" s="1311"/>
      <c r="B1791" s="1332"/>
      <c r="C1791" s="1343"/>
      <c r="D1791" s="1338"/>
      <c r="E1791" s="1338"/>
    </row>
    <row r="1792" spans="1:5" s="1266" customFormat="1" ht="30">
      <c r="A1792" s="1311"/>
      <c r="B1792" s="1332" t="s">
        <v>2241</v>
      </c>
      <c r="C1792" s="1343" t="s">
        <v>215</v>
      </c>
      <c r="D1792" s="1338">
        <v>591.05999999999995</v>
      </c>
      <c r="E1792" s="1363">
        <f>D1792*$E$5</f>
        <v>628.2967799999999</v>
      </c>
    </row>
    <row r="1793" spans="1:5" s="1266" customFormat="1">
      <c r="A1793" s="1311"/>
      <c r="B1793" s="1332"/>
      <c r="C1793" s="1343"/>
      <c r="D1793" s="1338"/>
      <c r="E1793" s="1338"/>
    </row>
    <row r="1794" spans="1:5" s="1266" customFormat="1" ht="30">
      <c r="A1794" s="1311"/>
      <c r="B1794" s="1332" t="s">
        <v>2242</v>
      </c>
      <c r="C1794" s="1343" t="s">
        <v>215</v>
      </c>
      <c r="D1794" s="1338">
        <v>591.05999999999995</v>
      </c>
      <c r="E1794" s="1363">
        <f>D1794*$E$5</f>
        <v>628.2967799999999</v>
      </c>
    </row>
    <row r="1795" spans="1:5" s="1266" customFormat="1">
      <c r="A1795" s="1311"/>
      <c r="B1795" s="1332"/>
      <c r="C1795" s="1343"/>
      <c r="D1795" s="1338"/>
      <c r="E1795" s="1338"/>
    </row>
    <row r="1796" spans="1:5" s="1266" customFormat="1" ht="30">
      <c r="A1796" s="1311"/>
      <c r="B1796" s="1332" t="s">
        <v>2243</v>
      </c>
      <c r="C1796" s="1343" t="s">
        <v>215</v>
      </c>
      <c r="D1796" s="1338">
        <v>1550</v>
      </c>
      <c r="E1796" s="1363">
        <f>D1796*$E$5</f>
        <v>1647.6499999999999</v>
      </c>
    </row>
    <row r="1797" spans="1:5" s="1266" customFormat="1">
      <c r="A1797" s="1311"/>
      <c r="B1797" s="1332"/>
      <c r="C1797" s="1343"/>
      <c r="D1797" s="1338"/>
      <c r="E1797" s="1338"/>
    </row>
    <row r="1798" spans="1:5" s="1266" customFormat="1" ht="30">
      <c r="A1798" s="1311"/>
      <c r="B1798" s="1332" t="s">
        <v>2244</v>
      </c>
      <c r="C1798" s="1343" t="s">
        <v>215</v>
      </c>
      <c r="D1798" s="1338">
        <v>2000</v>
      </c>
      <c r="E1798" s="1363">
        <f>D1798*$E$5</f>
        <v>2126</v>
      </c>
    </row>
    <row r="1799" spans="1:5" s="1266" customFormat="1">
      <c r="A1799" s="1311"/>
      <c r="B1799" s="1332"/>
      <c r="C1799" s="1343"/>
      <c r="D1799" s="1338"/>
      <c r="E1799" s="1338"/>
    </row>
    <row r="1800" spans="1:5" s="1266" customFormat="1" ht="30">
      <c r="A1800" s="1311"/>
      <c r="B1800" s="1332" t="s">
        <v>2245</v>
      </c>
      <c r="C1800" s="1343" t="s">
        <v>215</v>
      </c>
      <c r="D1800" s="1338">
        <v>2750</v>
      </c>
      <c r="E1800" s="1363">
        <f>D1800*$E$5</f>
        <v>2923.25</v>
      </c>
    </row>
    <row r="1801" spans="1:5" s="1266" customFormat="1">
      <c r="A1801" s="1311"/>
      <c r="B1801" s="1332"/>
      <c r="C1801" s="1343"/>
      <c r="D1801" s="1338"/>
      <c r="E1801" s="1338"/>
    </row>
    <row r="1802" spans="1:5" s="1266" customFormat="1" ht="45">
      <c r="A1802" s="1311"/>
      <c r="B1802" s="1332" t="s">
        <v>2246</v>
      </c>
      <c r="C1802" s="1343" t="s">
        <v>215</v>
      </c>
      <c r="D1802" s="1338">
        <v>2750</v>
      </c>
      <c r="E1802" s="1363">
        <f>D1802*$E$5</f>
        <v>2923.25</v>
      </c>
    </row>
    <row r="1803" spans="1:5" s="1266" customFormat="1">
      <c r="A1803" s="1311"/>
      <c r="B1803" s="1332"/>
      <c r="C1803" s="1343"/>
      <c r="D1803" s="1338"/>
      <c r="E1803" s="1338"/>
    </row>
    <row r="1804" spans="1:5" s="1266" customFormat="1" ht="45">
      <c r="A1804" s="1311"/>
      <c r="B1804" s="1332" t="s">
        <v>2247</v>
      </c>
      <c r="C1804" s="1343" t="s">
        <v>215</v>
      </c>
      <c r="D1804" s="1338">
        <v>40</v>
      </c>
      <c r="E1804" s="1363">
        <f>D1804*$E$5</f>
        <v>42.519999999999996</v>
      </c>
    </row>
    <row r="1805" spans="1:5" s="1266" customFormat="1">
      <c r="A1805" s="1311"/>
      <c r="B1805" s="1332"/>
      <c r="C1805" s="1343"/>
      <c r="D1805" s="1338"/>
      <c r="E1805" s="1338"/>
    </row>
    <row r="1806" spans="1:5" s="1266" customFormat="1">
      <c r="A1806" s="1311"/>
      <c r="B1806" s="1332" t="s">
        <v>2248</v>
      </c>
      <c r="C1806" s="1343" t="s">
        <v>217</v>
      </c>
      <c r="D1806" s="1338">
        <v>35</v>
      </c>
      <c r="E1806" s="1363">
        <f>D1806*$E$5</f>
        <v>37.204999999999998</v>
      </c>
    </row>
    <row r="1807" spans="1:5" s="1266" customFormat="1">
      <c r="A1807" s="1311"/>
      <c r="B1807" s="1332"/>
      <c r="C1807" s="1343"/>
      <c r="D1807" s="1338"/>
      <c r="E1807" s="1338"/>
    </row>
    <row r="1808" spans="1:5" s="1266" customFormat="1" ht="30">
      <c r="A1808" s="1311"/>
      <c r="B1808" s="1332" t="s">
        <v>2249</v>
      </c>
      <c r="C1808" s="1343" t="s">
        <v>217</v>
      </c>
      <c r="D1808" s="1338">
        <v>40</v>
      </c>
      <c r="E1808" s="1363">
        <f>D1808*$E$5</f>
        <v>42.519999999999996</v>
      </c>
    </row>
    <row r="1809" spans="1:5" s="1266" customFormat="1">
      <c r="A1809" s="1311"/>
      <c r="B1809" s="1332"/>
      <c r="C1809" s="1343"/>
      <c r="D1809" s="1338"/>
      <c r="E1809" s="1338"/>
    </row>
    <row r="1810" spans="1:5" s="1266" customFormat="1">
      <c r="A1810" s="1311"/>
      <c r="B1810" s="1312" t="s">
        <v>2250</v>
      </c>
      <c r="C1810" s="1343"/>
      <c r="D1810" s="1338"/>
      <c r="E1810" s="1338"/>
    </row>
    <row r="1811" spans="1:5" s="1266" customFormat="1">
      <c r="A1811" s="1311"/>
      <c r="B1811" s="1332"/>
      <c r="C1811" s="1343"/>
      <c r="D1811" s="1338"/>
      <c r="E1811" s="1338"/>
    </row>
    <row r="1812" spans="1:5" s="1266" customFormat="1" ht="77.25">
      <c r="A1812" s="1311"/>
      <c r="B1812" s="1331" t="s">
        <v>2251</v>
      </c>
      <c r="C1812" s="1343"/>
      <c r="D1812" s="1338"/>
      <c r="E1812" s="1338"/>
    </row>
    <row r="1813" spans="1:5" s="1266" customFormat="1">
      <c r="A1813" s="1311"/>
      <c r="B1813" s="1332"/>
      <c r="C1813" s="1343"/>
      <c r="D1813" s="1338"/>
      <c r="E1813" s="1338"/>
    </row>
    <row r="1814" spans="1:5" s="1266" customFormat="1">
      <c r="A1814" s="1311"/>
      <c r="B1814" s="1332" t="s">
        <v>2252</v>
      </c>
      <c r="C1814" s="1343" t="s">
        <v>215</v>
      </c>
      <c r="D1814" s="1338">
        <v>1700</v>
      </c>
      <c r="E1814" s="1363">
        <f>D1814*$E$5</f>
        <v>1807.1</v>
      </c>
    </row>
    <row r="1815" spans="1:5" s="1266" customFormat="1">
      <c r="A1815" s="1311"/>
      <c r="B1815" s="1332"/>
      <c r="C1815" s="1343"/>
      <c r="D1815" s="1338"/>
      <c r="E1815" s="1338"/>
    </row>
    <row r="1816" spans="1:5" s="1266" customFormat="1">
      <c r="A1816" s="1311"/>
      <c r="B1816" s="1332" t="s">
        <v>2253</v>
      </c>
      <c r="C1816" s="1343" t="s">
        <v>217</v>
      </c>
      <c r="D1816" s="1338">
        <v>150</v>
      </c>
      <c r="E1816" s="1363">
        <f>D1816*$E$5</f>
        <v>159.44999999999999</v>
      </c>
    </row>
    <row r="1817" spans="1:5" s="1266" customFormat="1">
      <c r="A1817" s="1311"/>
      <c r="B1817" s="1332"/>
      <c r="C1817" s="1343"/>
      <c r="D1817" s="1338"/>
      <c r="E1817" s="1338"/>
    </row>
    <row r="1818" spans="1:5" s="1266" customFormat="1">
      <c r="A1818" s="1311"/>
      <c r="B1818" s="1332" t="s">
        <v>2254</v>
      </c>
      <c r="C1818" s="1343" t="s">
        <v>217</v>
      </c>
      <c r="D1818" s="1338">
        <v>250</v>
      </c>
      <c r="E1818" s="1363">
        <f>D1818*$E$5</f>
        <v>265.75</v>
      </c>
    </row>
    <row r="1819" spans="1:5" s="1266" customFormat="1">
      <c r="A1819" s="1311"/>
      <c r="B1819" s="1332"/>
      <c r="C1819" s="1343"/>
      <c r="D1819" s="1338"/>
      <c r="E1819" s="1338"/>
    </row>
    <row r="1820" spans="1:5" s="1266" customFormat="1">
      <c r="A1820" s="1311"/>
      <c r="B1820" s="1332" t="s">
        <v>2255</v>
      </c>
      <c r="C1820" s="1343" t="s">
        <v>217</v>
      </c>
      <c r="D1820" s="1338">
        <v>250</v>
      </c>
      <c r="E1820" s="1363">
        <f>D1820*$E$5</f>
        <v>265.75</v>
      </c>
    </row>
    <row r="1821" spans="1:5" s="1266" customFormat="1">
      <c r="A1821" s="1311"/>
      <c r="B1821" s="1332"/>
      <c r="C1821" s="1343"/>
      <c r="D1821" s="1338"/>
      <c r="E1821" s="1338"/>
    </row>
    <row r="1822" spans="1:5" s="1266" customFormat="1" ht="30">
      <c r="A1822" s="1311"/>
      <c r="B1822" s="1332" t="s">
        <v>2256</v>
      </c>
      <c r="C1822" s="1343" t="s">
        <v>217</v>
      </c>
      <c r="D1822" s="1338">
        <v>1000</v>
      </c>
      <c r="E1822" s="1363">
        <f>D1822*$E$5</f>
        <v>1063</v>
      </c>
    </row>
    <row r="1823" spans="1:5" s="1266" customFormat="1">
      <c r="A1823" s="1311"/>
      <c r="B1823" s="1332"/>
      <c r="C1823" s="1343"/>
      <c r="D1823" s="1338"/>
      <c r="E1823" s="1338"/>
    </row>
    <row r="1824" spans="1:5" s="1266" customFormat="1" ht="30">
      <c r="A1824" s="1311"/>
      <c r="B1824" s="1332" t="s">
        <v>2257</v>
      </c>
      <c r="C1824" s="1343" t="s">
        <v>217</v>
      </c>
      <c r="D1824" s="1338">
        <v>322.42</v>
      </c>
      <c r="E1824" s="1363">
        <f>D1824*$E$5</f>
        <v>342.73246</v>
      </c>
    </row>
    <row r="1825" spans="1:5" s="1266" customFormat="1">
      <c r="A1825" s="1311"/>
      <c r="B1825" s="1332"/>
      <c r="C1825" s="1343"/>
      <c r="D1825" s="1338"/>
      <c r="E1825" s="1338"/>
    </row>
    <row r="1826" spans="1:5" s="1266" customFormat="1" ht="77.25">
      <c r="A1826" s="1311"/>
      <c r="B1826" s="1331" t="s">
        <v>2258</v>
      </c>
      <c r="C1826" s="1343"/>
      <c r="D1826" s="1338"/>
      <c r="E1826" s="1338"/>
    </row>
    <row r="1827" spans="1:5" s="1266" customFormat="1">
      <c r="A1827" s="1311"/>
      <c r="B1827" s="1332"/>
      <c r="C1827" s="1343"/>
      <c r="D1827" s="1338"/>
      <c r="E1827" s="1338"/>
    </row>
    <row r="1828" spans="1:5" s="1266" customFormat="1">
      <c r="A1828" s="1311"/>
      <c r="B1828" s="1332" t="s">
        <v>2259</v>
      </c>
      <c r="C1828" s="1343" t="s">
        <v>215</v>
      </c>
      <c r="D1828" s="1338">
        <v>2200</v>
      </c>
      <c r="E1828" s="1363">
        <f>D1828*$E$5</f>
        <v>2338.6</v>
      </c>
    </row>
    <row r="1829" spans="1:5" s="1266" customFormat="1">
      <c r="A1829" s="1311"/>
      <c r="B1829" s="1332"/>
      <c r="C1829" s="1343"/>
      <c r="D1829" s="1338"/>
      <c r="E1829" s="1338"/>
    </row>
    <row r="1830" spans="1:5" s="1266" customFormat="1">
      <c r="A1830" s="1311"/>
      <c r="B1830" s="1332" t="s">
        <v>2260</v>
      </c>
      <c r="C1830" s="1343" t="s">
        <v>217</v>
      </c>
      <c r="D1830" s="1338">
        <v>150</v>
      </c>
      <c r="E1830" s="1363">
        <f>D1830*$E$5</f>
        <v>159.44999999999999</v>
      </c>
    </row>
    <row r="1831" spans="1:5" s="1266" customFormat="1">
      <c r="A1831" s="1311"/>
      <c r="B1831" s="1332"/>
      <c r="C1831" s="1343"/>
      <c r="D1831" s="1338"/>
      <c r="E1831" s="1338"/>
    </row>
    <row r="1832" spans="1:5" s="1266" customFormat="1">
      <c r="A1832" s="1311"/>
      <c r="B1832" s="1332" t="s">
        <v>2261</v>
      </c>
      <c r="C1832" s="1343" t="s">
        <v>217</v>
      </c>
      <c r="D1832" s="1338">
        <v>250</v>
      </c>
      <c r="E1832" s="1363">
        <f>D1832*$E$5</f>
        <v>265.75</v>
      </c>
    </row>
    <row r="1833" spans="1:5" s="1266" customFormat="1">
      <c r="A1833" s="1311"/>
      <c r="B1833" s="1332"/>
      <c r="C1833" s="1343"/>
      <c r="D1833" s="1338"/>
      <c r="E1833" s="1338"/>
    </row>
    <row r="1834" spans="1:5" s="1266" customFormat="1">
      <c r="A1834" s="1311"/>
      <c r="B1834" s="1332" t="s">
        <v>2262</v>
      </c>
      <c r="C1834" s="1343" t="s">
        <v>217</v>
      </c>
      <c r="D1834" s="1338">
        <v>250</v>
      </c>
      <c r="E1834" s="1363">
        <f>D1834*$E$5</f>
        <v>265.75</v>
      </c>
    </row>
    <row r="1835" spans="1:5" s="1266" customFormat="1">
      <c r="A1835" s="1311"/>
      <c r="B1835" s="1332"/>
      <c r="C1835" s="1343"/>
      <c r="D1835" s="1338"/>
      <c r="E1835" s="1338"/>
    </row>
    <row r="1836" spans="1:5" s="1266" customFormat="1">
      <c r="A1836" s="1311"/>
      <c r="B1836" s="1332" t="s">
        <v>2263</v>
      </c>
      <c r="C1836" s="1343" t="s">
        <v>217</v>
      </c>
      <c r="D1836" s="1338">
        <v>250</v>
      </c>
      <c r="E1836" s="1363">
        <f>D1836*$E$5</f>
        <v>265.75</v>
      </c>
    </row>
    <row r="1837" spans="1:5" s="1266" customFormat="1">
      <c r="A1837" s="1311"/>
      <c r="B1837" s="1332"/>
      <c r="C1837" s="1343"/>
      <c r="D1837" s="1338"/>
      <c r="E1837" s="1338"/>
    </row>
    <row r="1838" spans="1:5" s="1266" customFormat="1">
      <c r="A1838" s="1311"/>
      <c r="B1838" s="1332" t="s">
        <v>2252</v>
      </c>
      <c r="C1838" s="1343" t="s">
        <v>215</v>
      </c>
      <c r="D1838" s="1338">
        <v>2950</v>
      </c>
      <c r="E1838" s="1363">
        <f>D1838*$E$5</f>
        <v>3135.85</v>
      </c>
    </row>
    <row r="1839" spans="1:5" s="1266" customFormat="1">
      <c r="A1839" s="1311"/>
      <c r="B1839" s="1332"/>
      <c r="C1839" s="1343"/>
      <c r="D1839" s="1338"/>
      <c r="E1839" s="1338"/>
    </row>
    <row r="1840" spans="1:5" s="1266" customFormat="1">
      <c r="A1840" s="1311"/>
      <c r="B1840" s="1332" t="s">
        <v>2253</v>
      </c>
      <c r="C1840" s="1343" t="s">
        <v>217</v>
      </c>
      <c r="D1840" s="1338">
        <v>500</v>
      </c>
      <c r="E1840" s="1363">
        <f>D1840*$E$5</f>
        <v>531.5</v>
      </c>
    </row>
    <row r="1841" spans="1:5" s="1266" customFormat="1">
      <c r="A1841" s="1311"/>
      <c r="B1841" s="1332"/>
      <c r="C1841" s="1343"/>
      <c r="D1841" s="1338"/>
      <c r="E1841" s="1338"/>
    </row>
    <row r="1842" spans="1:5" s="1266" customFormat="1">
      <c r="A1842" s="1311"/>
      <c r="B1842" s="1332" t="s">
        <v>2254</v>
      </c>
      <c r="C1842" s="1343" t="s">
        <v>217</v>
      </c>
      <c r="D1842" s="1338">
        <v>350</v>
      </c>
      <c r="E1842" s="1363">
        <f>D1842*$E$5</f>
        <v>372.04999999999995</v>
      </c>
    </row>
    <row r="1843" spans="1:5" s="1266" customFormat="1">
      <c r="A1843" s="1311"/>
      <c r="B1843" s="1332"/>
      <c r="C1843" s="1343"/>
      <c r="D1843" s="1338"/>
      <c r="E1843" s="1338"/>
    </row>
    <row r="1844" spans="1:5" s="1266" customFormat="1">
      <c r="A1844" s="1311"/>
      <c r="B1844" s="1332" t="s">
        <v>2255</v>
      </c>
      <c r="C1844" s="1343" t="s">
        <v>217</v>
      </c>
      <c r="D1844" s="1338">
        <v>350</v>
      </c>
      <c r="E1844" s="1363">
        <f>D1844*$E$5</f>
        <v>372.04999999999995</v>
      </c>
    </row>
    <row r="1845" spans="1:5" s="1266" customFormat="1">
      <c r="A1845" s="1311"/>
      <c r="B1845" s="1332"/>
      <c r="C1845" s="1343"/>
      <c r="D1845" s="1338"/>
      <c r="E1845" s="1338"/>
    </row>
    <row r="1846" spans="1:5" s="1266" customFormat="1">
      <c r="A1846" s="1311"/>
      <c r="B1846" s="1332" t="s">
        <v>2264</v>
      </c>
      <c r="C1846" s="1343" t="s">
        <v>217</v>
      </c>
      <c r="D1846" s="1338">
        <v>350</v>
      </c>
      <c r="E1846" s="1363">
        <f>D1846*$E$5</f>
        <v>372.04999999999995</v>
      </c>
    </row>
    <row r="1847" spans="1:5" s="1266" customFormat="1">
      <c r="A1847" s="1311"/>
      <c r="B1847" s="1332"/>
      <c r="C1847" s="1343"/>
      <c r="D1847" s="1338"/>
      <c r="E1847" s="1338"/>
    </row>
    <row r="1848" spans="1:5" s="1266" customFormat="1" ht="45">
      <c r="A1848" s="1311"/>
      <c r="B1848" s="1332" t="s">
        <v>2265</v>
      </c>
      <c r="C1848" s="1343" t="s">
        <v>217</v>
      </c>
      <c r="D1848" s="1338">
        <v>1000</v>
      </c>
      <c r="E1848" s="1363">
        <f>D1848*$E$5</f>
        <v>1063</v>
      </c>
    </row>
    <row r="1849" spans="1:5" s="1266" customFormat="1">
      <c r="A1849" s="1311"/>
      <c r="B1849" s="1332"/>
      <c r="C1849" s="1343"/>
      <c r="D1849" s="1338"/>
      <c r="E1849" s="1338"/>
    </row>
    <row r="1850" spans="1:5" s="1266" customFormat="1" ht="30">
      <c r="A1850" s="1311"/>
      <c r="B1850" s="1332" t="s">
        <v>2266</v>
      </c>
      <c r="C1850" s="1343" t="s">
        <v>217</v>
      </c>
      <c r="D1850" s="1338">
        <v>1000</v>
      </c>
      <c r="E1850" s="1363">
        <f>D1850*$E$5</f>
        <v>1063</v>
      </c>
    </row>
    <row r="1851" spans="1:5" s="1266" customFormat="1">
      <c r="A1851" s="1311"/>
      <c r="B1851" s="1332"/>
      <c r="C1851" s="1343"/>
      <c r="D1851" s="1338"/>
      <c r="E1851" s="1338"/>
    </row>
    <row r="1852" spans="1:5" s="1266" customFormat="1" ht="30">
      <c r="A1852" s="1311"/>
      <c r="B1852" s="1332" t="s">
        <v>2267</v>
      </c>
      <c r="C1852" s="1343" t="s">
        <v>217</v>
      </c>
      <c r="D1852" s="1338">
        <v>164.9</v>
      </c>
      <c r="E1852" s="1363">
        <f>D1852*$E$5</f>
        <v>175.28870000000001</v>
      </c>
    </row>
    <row r="1853" spans="1:5" s="1266" customFormat="1">
      <c r="A1853" s="1311"/>
      <c r="B1853" s="1332"/>
      <c r="C1853" s="1343"/>
      <c r="D1853" s="1338"/>
      <c r="E1853" s="1338"/>
    </row>
    <row r="1854" spans="1:5" s="1266" customFormat="1" ht="30">
      <c r="A1854" s="1311"/>
      <c r="B1854" s="1332" t="s">
        <v>2268</v>
      </c>
      <c r="C1854" s="1343" t="s">
        <v>217</v>
      </c>
      <c r="D1854" s="1338">
        <v>322.42</v>
      </c>
      <c r="E1854" s="1363">
        <f>D1854*$E$5</f>
        <v>342.73246</v>
      </c>
    </row>
    <row r="1855" spans="1:5" s="1266" customFormat="1">
      <c r="A1855" s="1311"/>
      <c r="B1855" s="1332"/>
      <c r="C1855" s="1343"/>
      <c r="D1855" s="1338"/>
      <c r="E1855" s="1338"/>
    </row>
    <row r="1856" spans="1:5" s="1266" customFormat="1" ht="30">
      <c r="A1856" s="1311"/>
      <c r="B1856" s="1332" t="s">
        <v>2257</v>
      </c>
      <c r="C1856" s="1343" t="s">
        <v>217</v>
      </c>
      <c r="D1856" s="1338">
        <v>322.42</v>
      </c>
      <c r="E1856" s="1363">
        <f>D1856*$E$5</f>
        <v>342.73246</v>
      </c>
    </row>
    <row r="1857" spans="1:5" s="1266" customFormat="1">
      <c r="A1857" s="1311"/>
      <c r="B1857" s="1332"/>
      <c r="C1857" s="1343"/>
      <c r="D1857" s="1338"/>
      <c r="E1857" s="1338"/>
    </row>
    <row r="1858" spans="1:5" s="1266" customFormat="1" ht="30">
      <c r="A1858" s="1311"/>
      <c r="B1858" s="1332" t="s">
        <v>2269</v>
      </c>
      <c r="C1858" s="1343" t="s">
        <v>217</v>
      </c>
      <c r="D1858" s="1338">
        <v>68.599999999999994</v>
      </c>
      <c r="E1858" s="1363">
        <f>D1858*$E$5</f>
        <v>72.92179999999999</v>
      </c>
    </row>
    <row r="1859" spans="1:5" s="1266" customFormat="1">
      <c r="A1859" s="1311"/>
      <c r="B1859" s="1332"/>
      <c r="C1859" s="1343"/>
      <c r="D1859" s="1338"/>
      <c r="E1859" s="1338"/>
    </row>
    <row r="1860" spans="1:5" s="1266" customFormat="1" ht="102.75">
      <c r="A1860" s="1311"/>
      <c r="B1860" s="1331" t="s">
        <v>2270</v>
      </c>
      <c r="C1860" s="1343"/>
      <c r="D1860" s="1338"/>
      <c r="E1860" s="1338"/>
    </row>
    <row r="1861" spans="1:5" s="1266" customFormat="1">
      <c r="A1861" s="1311"/>
      <c r="B1861" s="1332"/>
      <c r="C1861" s="1343"/>
      <c r="D1861" s="1338"/>
      <c r="E1861" s="1338"/>
    </row>
    <row r="1862" spans="1:5" s="1266" customFormat="1">
      <c r="A1862" s="1311"/>
      <c r="B1862" s="1332" t="s">
        <v>2271</v>
      </c>
      <c r="C1862" s="1343" t="s">
        <v>215</v>
      </c>
      <c r="D1862" s="1338">
        <v>3250</v>
      </c>
      <c r="E1862" s="1363">
        <f>D1862*$E$5</f>
        <v>3454.75</v>
      </c>
    </row>
    <row r="1863" spans="1:5" s="1266" customFormat="1">
      <c r="A1863" s="1311"/>
      <c r="B1863" s="1332"/>
      <c r="C1863" s="1343"/>
      <c r="D1863" s="1338"/>
      <c r="E1863" s="1338"/>
    </row>
    <row r="1864" spans="1:5" s="1266" customFormat="1">
      <c r="A1864" s="1311"/>
      <c r="B1864" s="1332" t="s">
        <v>2272</v>
      </c>
      <c r="C1864" s="1343" t="s">
        <v>217</v>
      </c>
      <c r="D1864" s="1338">
        <v>500</v>
      </c>
      <c r="E1864" s="1363">
        <f>D1864*$E$5</f>
        <v>531.5</v>
      </c>
    </row>
    <row r="1865" spans="1:5" s="1266" customFormat="1">
      <c r="A1865" s="1311"/>
      <c r="B1865" s="1332"/>
      <c r="C1865" s="1343"/>
      <c r="D1865" s="1338"/>
      <c r="E1865" s="1338"/>
    </row>
    <row r="1866" spans="1:5" s="1266" customFormat="1">
      <c r="A1866" s="1311"/>
      <c r="B1866" s="1332" t="s">
        <v>2252</v>
      </c>
      <c r="C1866" s="1343" t="s">
        <v>215</v>
      </c>
      <c r="D1866" s="1338">
        <v>3250</v>
      </c>
      <c r="E1866" s="1363">
        <f>D1866*$E$5</f>
        <v>3454.75</v>
      </c>
    </row>
    <row r="1867" spans="1:5" s="1266" customFormat="1">
      <c r="A1867" s="1311"/>
      <c r="B1867" s="1332"/>
      <c r="C1867" s="1343"/>
      <c r="D1867" s="1338"/>
      <c r="E1867" s="1338"/>
    </row>
    <row r="1868" spans="1:5" s="1266" customFormat="1">
      <c r="A1868" s="1311"/>
      <c r="B1868" s="1332" t="s">
        <v>2253</v>
      </c>
      <c r="C1868" s="1343" t="s">
        <v>217</v>
      </c>
      <c r="D1868" s="1338">
        <v>500</v>
      </c>
      <c r="E1868" s="1363">
        <f>D1868*$E$5</f>
        <v>531.5</v>
      </c>
    </row>
    <row r="1869" spans="1:5" s="1266" customFormat="1">
      <c r="A1869" s="1311"/>
      <c r="B1869" s="1332"/>
      <c r="C1869" s="1343"/>
      <c r="D1869" s="1338"/>
      <c r="E1869" s="1338"/>
    </row>
    <row r="1870" spans="1:5" s="1266" customFormat="1">
      <c r="A1870" s="1311"/>
      <c r="B1870" s="1332" t="s">
        <v>2255</v>
      </c>
      <c r="C1870" s="1343" t="s">
        <v>217</v>
      </c>
      <c r="D1870" s="1338">
        <v>400</v>
      </c>
      <c r="E1870" s="1363">
        <f>D1870*$E$5</f>
        <v>425.2</v>
      </c>
    </row>
    <row r="1871" spans="1:5" s="1266" customFormat="1">
      <c r="A1871" s="1311"/>
      <c r="B1871" s="1332"/>
      <c r="C1871" s="1343"/>
      <c r="D1871" s="1338"/>
      <c r="E1871" s="1338"/>
    </row>
    <row r="1872" spans="1:5" s="1266" customFormat="1">
      <c r="A1872" s="1311"/>
      <c r="B1872" s="1332" t="s">
        <v>2264</v>
      </c>
      <c r="C1872" s="1343" t="s">
        <v>217</v>
      </c>
      <c r="D1872" s="1338">
        <v>400</v>
      </c>
      <c r="E1872" s="1363">
        <f>D1872*$E$5</f>
        <v>425.2</v>
      </c>
    </row>
    <row r="1873" spans="1:5" s="1266" customFormat="1">
      <c r="A1873" s="1311"/>
      <c r="B1873" s="1332"/>
      <c r="C1873" s="1343"/>
      <c r="D1873" s="1338"/>
      <c r="E1873" s="1338"/>
    </row>
    <row r="1874" spans="1:5" s="1266" customFormat="1" ht="45">
      <c r="A1874" s="1311"/>
      <c r="B1874" s="1332" t="s">
        <v>2273</v>
      </c>
      <c r="C1874" s="1343" t="s">
        <v>217</v>
      </c>
      <c r="D1874" s="1338">
        <v>1237.52</v>
      </c>
      <c r="E1874" s="1363">
        <f>D1874*$E$5</f>
        <v>1315.4837599999998</v>
      </c>
    </row>
    <row r="1875" spans="1:5" s="1266" customFormat="1">
      <c r="A1875" s="1311"/>
      <c r="B1875" s="1332"/>
      <c r="C1875" s="1343"/>
      <c r="D1875" s="1338"/>
      <c r="E1875" s="1338"/>
    </row>
    <row r="1876" spans="1:5" s="1266" customFormat="1" ht="30">
      <c r="A1876" s="1311"/>
      <c r="B1876" s="1332" t="s">
        <v>2274</v>
      </c>
      <c r="C1876" s="1343" t="s">
        <v>217</v>
      </c>
      <c r="D1876" s="1338">
        <v>322.42</v>
      </c>
      <c r="E1876" s="1363">
        <f>D1876*$E$5</f>
        <v>342.73246</v>
      </c>
    </row>
    <row r="1877" spans="1:5" s="1266" customFormat="1">
      <c r="A1877" s="1311"/>
      <c r="B1877" s="1332"/>
      <c r="C1877" s="1343"/>
      <c r="D1877" s="1338"/>
      <c r="E1877" s="1338"/>
    </row>
    <row r="1878" spans="1:5" s="1266" customFormat="1">
      <c r="A1878" s="1311"/>
      <c r="B1878" s="1312" t="s">
        <v>2275</v>
      </c>
      <c r="C1878" s="1343"/>
      <c r="D1878" s="1338"/>
      <c r="E1878" s="1338"/>
    </row>
    <row r="1879" spans="1:5" s="1266" customFormat="1">
      <c r="A1879" s="1311"/>
      <c r="B1879" s="1332"/>
      <c r="C1879" s="1343"/>
      <c r="D1879" s="1338"/>
      <c r="E1879" s="1338"/>
    </row>
    <row r="1880" spans="1:5" s="1266" customFormat="1" ht="90">
      <c r="A1880" s="1311"/>
      <c r="B1880" s="1331" t="s">
        <v>3350</v>
      </c>
      <c r="C1880" s="1343"/>
      <c r="D1880" s="1338"/>
      <c r="E1880" s="1338"/>
    </row>
    <row r="1881" spans="1:5" s="1266" customFormat="1">
      <c r="A1881" s="1311"/>
      <c r="B1881" s="1332"/>
      <c r="C1881" s="1343"/>
      <c r="D1881" s="1338"/>
      <c r="E1881" s="1338"/>
    </row>
    <row r="1882" spans="1:5" s="1266" customFormat="1" ht="30">
      <c r="A1882" s="1311"/>
      <c r="B1882" s="1332" t="s">
        <v>2276</v>
      </c>
      <c r="C1882" s="1343" t="s">
        <v>217</v>
      </c>
      <c r="D1882" s="1338">
        <v>1000</v>
      </c>
      <c r="E1882" s="1363">
        <f>D1882*$E$5</f>
        <v>1063</v>
      </c>
    </row>
    <row r="1883" spans="1:5" s="1266" customFormat="1">
      <c r="A1883" s="1311"/>
      <c r="B1883" s="1332"/>
      <c r="C1883" s="1343"/>
      <c r="D1883" s="1338"/>
      <c r="E1883" s="1338"/>
    </row>
    <row r="1884" spans="1:5" s="1266" customFormat="1">
      <c r="A1884" s="1311"/>
      <c r="B1884" s="1312" t="s">
        <v>2277</v>
      </c>
      <c r="C1884" s="1343"/>
      <c r="D1884" s="1338"/>
      <c r="E1884" s="1338"/>
    </row>
    <row r="1885" spans="1:5" s="1266" customFormat="1">
      <c r="A1885" s="1311"/>
      <c r="B1885" s="1332"/>
      <c r="C1885" s="1343"/>
      <c r="D1885" s="1338"/>
      <c r="E1885" s="1338"/>
    </row>
    <row r="1886" spans="1:5" s="1266" customFormat="1" ht="102.75">
      <c r="A1886" s="1311"/>
      <c r="B1886" s="1331" t="s">
        <v>2278</v>
      </c>
      <c r="C1886" s="1343"/>
      <c r="D1886" s="1338"/>
      <c r="E1886" s="1338"/>
    </row>
    <row r="1887" spans="1:5" s="1266" customFormat="1">
      <c r="A1887" s="1311"/>
      <c r="B1887" s="1332"/>
      <c r="C1887" s="1343"/>
      <c r="D1887" s="1338"/>
      <c r="E1887" s="1338"/>
    </row>
    <row r="1888" spans="1:5" s="1266" customFormat="1">
      <c r="A1888" s="1311"/>
      <c r="B1888" s="1332" t="s">
        <v>2279</v>
      </c>
      <c r="C1888" s="1343" t="s">
        <v>1293</v>
      </c>
      <c r="D1888" s="1338">
        <v>2500</v>
      </c>
      <c r="E1888" s="1363">
        <f>D1888*$E$5</f>
        <v>2657.5</v>
      </c>
    </row>
    <row r="1889" spans="1:5" s="1266" customFormat="1">
      <c r="A1889" s="1311"/>
      <c r="B1889" s="1332"/>
      <c r="C1889" s="1343"/>
      <c r="D1889" s="1338"/>
      <c r="E1889" s="1338"/>
    </row>
    <row r="1890" spans="1:5" s="1266" customFormat="1" ht="26.25">
      <c r="A1890" s="1311"/>
      <c r="B1890" s="1312" t="s">
        <v>2280</v>
      </c>
      <c r="C1890" s="1343"/>
      <c r="D1890" s="1338"/>
      <c r="E1890" s="1338"/>
    </row>
    <row r="1891" spans="1:5" s="1266" customFormat="1">
      <c r="A1891" s="1311"/>
      <c r="B1891" s="1332"/>
      <c r="C1891" s="1343"/>
      <c r="D1891" s="1338"/>
      <c r="E1891" s="1338"/>
    </row>
    <row r="1892" spans="1:5" s="1266" customFormat="1" ht="115.5">
      <c r="A1892" s="1311"/>
      <c r="B1892" s="1331" t="s">
        <v>3413</v>
      </c>
      <c r="C1892" s="1343"/>
      <c r="D1892" s="1338"/>
      <c r="E1892" s="1338"/>
    </row>
    <row r="1893" spans="1:5" s="1266" customFormat="1">
      <c r="A1893" s="1311"/>
      <c r="B1893" s="1332"/>
      <c r="C1893" s="1343"/>
      <c r="D1893" s="1338"/>
      <c r="E1893" s="1338"/>
    </row>
    <row r="1894" spans="1:5" s="1266" customFormat="1" ht="45">
      <c r="A1894" s="1311"/>
      <c r="B1894" s="1332" t="s">
        <v>2281</v>
      </c>
      <c r="C1894" s="1343" t="s">
        <v>608</v>
      </c>
      <c r="D1894" s="1338">
        <v>7160000</v>
      </c>
      <c r="E1894" s="1363">
        <f>D1894*$E$5</f>
        <v>7611080</v>
      </c>
    </row>
    <row r="1895" spans="1:5" s="1266" customFormat="1">
      <c r="A1895" s="1311"/>
      <c r="B1895" s="1332"/>
      <c r="C1895" s="1343"/>
      <c r="D1895" s="1338"/>
      <c r="E1895" s="1338"/>
    </row>
    <row r="1896" spans="1:5" s="1266" customFormat="1" ht="30">
      <c r="A1896" s="1311"/>
      <c r="B1896" s="1332" t="s">
        <v>2282</v>
      </c>
      <c r="C1896" s="1343" t="s">
        <v>215</v>
      </c>
      <c r="D1896" s="1338">
        <v>591.05999999999995</v>
      </c>
      <c r="E1896" s="1363">
        <f>D1896*$E$5</f>
        <v>628.2967799999999</v>
      </c>
    </row>
    <row r="1897" spans="1:5" s="1266" customFormat="1">
      <c r="A1897" s="1311"/>
      <c r="B1897" s="1332"/>
      <c r="C1897" s="1343"/>
      <c r="D1897" s="1338"/>
      <c r="E1897" s="1338"/>
    </row>
    <row r="1898" spans="1:5" s="1266" customFormat="1" ht="30">
      <c r="A1898" s="1311"/>
      <c r="B1898" s="1332" t="s">
        <v>2283</v>
      </c>
      <c r="C1898" s="1343" t="s">
        <v>215</v>
      </c>
      <c r="D1898" s="1338">
        <v>591.05999999999995</v>
      </c>
      <c r="E1898" s="1363">
        <f>D1898*$E$5</f>
        <v>628.2967799999999</v>
      </c>
    </row>
    <row r="1899" spans="1:5" s="1266" customFormat="1">
      <c r="A1899" s="1311"/>
      <c r="B1899" s="1332"/>
      <c r="C1899" s="1343"/>
      <c r="D1899" s="1338"/>
      <c r="E1899" s="1338"/>
    </row>
    <row r="1900" spans="1:5" s="1266" customFormat="1" ht="77.25">
      <c r="A1900" s="1311"/>
      <c r="B1900" s="1331" t="s">
        <v>3412</v>
      </c>
      <c r="C1900" s="1343"/>
      <c r="D1900" s="1338"/>
      <c r="E1900" s="1338"/>
    </row>
    <row r="1901" spans="1:5" s="1266" customFormat="1">
      <c r="A1901" s="1311"/>
      <c r="B1901" s="1332"/>
      <c r="C1901" s="1343"/>
      <c r="D1901" s="1338"/>
      <c r="E1901" s="1338"/>
    </row>
    <row r="1902" spans="1:5" s="1266" customFormat="1" ht="30">
      <c r="A1902" s="1311"/>
      <c r="B1902" s="1332" t="s">
        <v>2284</v>
      </c>
      <c r="C1902" s="1343" t="s">
        <v>608</v>
      </c>
      <c r="D1902" s="1338">
        <v>3400000</v>
      </c>
      <c r="E1902" s="1363">
        <f>D1902*$E$5</f>
        <v>3614200</v>
      </c>
    </row>
    <row r="1903" spans="1:5" s="1266" customFormat="1">
      <c r="A1903" s="1311"/>
      <c r="B1903" s="1332"/>
      <c r="C1903" s="1343"/>
      <c r="D1903" s="1338"/>
      <c r="E1903" s="1338"/>
    </row>
    <row r="1904" spans="1:5" s="1266" customFormat="1" ht="30">
      <c r="A1904" s="1311"/>
      <c r="B1904" s="1332" t="s">
        <v>2282</v>
      </c>
      <c r="C1904" s="1343" t="s">
        <v>215</v>
      </c>
      <c r="D1904" s="1338">
        <v>591.05999999999995</v>
      </c>
      <c r="E1904" s="1363">
        <f>D1904*$E$5</f>
        <v>628.2967799999999</v>
      </c>
    </row>
    <row r="1905" spans="1:5" s="1266" customFormat="1">
      <c r="A1905" s="1311"/>
      <c r="B1905" s="1332"/>
      <c r="C1905" s="1343"/>
      <c r="D1905" s="1338"/>
      <c r="E1905" s="1338"/>
    </row>
    <row r="1906" spans="1:5" s="1266" customFormat="1" ht="77.25">
      <c r="A1906" s="1311"/>
      <c r="B1906" s="1331" t="s">
        <v>2285</v>
      </c>
      <c r="C1906" s="1343"/>
      <c r="D1906" s="1338"/>
      <c r="E1906" s="1338"/>
    </row>
    <row r="1907" spans="1:5" s="1266" customFormat="1">
      <c r="A1907" s="1311"/>
      <c r="B1907" s="1332"/>
      <c r="C1907" s="1343"/>
      <c r="D1907" s="1338"/>
      <c r="E1907" s="1338"/>
    </row>
    <row r="1908" spans="1:5" s="1266" customFormat="1" ht="30">
      <c r="A1908" s="1311"/>
      <c r="B1908" s="1332" t="s">
        <v>2286</v>
      </c>
      <c r="C1908" s="1343" t="s">
        <v>608</v>
      </c>
      <c r="D1908" s="1338">
        <v>4600000</v>
      </c>
      <c r="E1908" s="1363">
        <f>D1908*$E$5</f>
        <v>4889800</v>
      </c>
    </row>
    <row r="1909" spans="1:5" s="1266" customFormat="1">
      <c r="A1909" s="1311"/>
      <c r="B1909" s="1332"/>
      <c r="C1909" s="1343"/>
      <c r="D1909" s="1338"/>
      <c r="E1909" s="1338"/>
    </row>
    <row r="1910" spans="1:5" s="1266" customFormat="1">
      <c r="A1910" s="1311"/>
      <c r="B1910" s="1312" t="s">
        <v>2287</v>
      </c>
      <c r="C1910" s="1343"/>
      <c r="D1910" s="1338"/>
      <c r="E1910" s="1338"/>
    </row>
    <row r="1911" spans="1:5" s="1266" customFormat="1">
      <c r="A1911" s="1311"/>
      <c r="B1911" s="1332"/>
      <c r="C1911" s="1343"/>
      <c r="D1911" s="1338"/>
      <c r="E1911" s="1338"/>
    </row>
    <row r="1912" spans="1:5" s="1266" customFormat="1">
      <c r="A1912" s="1311"/>
      <c r="B1912" s="1312" t="s">
        <v>2289</v>
      </c>
      <c r="C1912" s="1343"/>
      <c r="D1912" s="1338"/>
      <c r="E1912" s="1338"/>
    </row>
    <row r="1913" spans="1:5" s="1266" customFormat="1">
      <c r="A1913" s="1311"/>
      <c r="B1913" s="1332"/>
      <c r="C1913" s="1343"/>
      <c r="D1913" s="1338"/>
      <c r="E1913" s="1338"/>
    </row>
    <row r="1914" spans="1:5" s="1266" customFormat="1" ht="39">
      <c r="A1914" s="1311"/>
      <c r="B1914" s="1331" t="s">
        <v>2290</v>
      </c>
      <c r="C1914" s="1343"/>
      <c r="D1914" s="1338"/>
      <c r="E1914" s="1338"/>
    </row>
    <row r="1915" spans="1:5" s="1266" customFormat="1">
      <c r="A1915" s="1311"/>
      <c r="B1915" s="1332"/>
      <c r="C1915" s="1343"/>
      <c r="D1915" s="1338"/>
      <c r="E1915" s="1338"/>
    </row>
    <row r="1916" spans="1:5" s="1266" customFormat="1">
      <c r="A1916" s="1311"/>
      <c r="B1916" s="1332" t="s">
        <v>2291</v>
      </c>
      <c r="C1916" s="1343" t="s">
        <v>1293</v>
      </c>
      <c r="D1916" s="1338">
        <v>900</v>
      </c>
      <c r="E1916" s="1363">
        <f>D1916*$E$5</f>
        <v>956.69999999999993</v>
      </c>
    </row>
    <row r="1917" spans="1:5" s="1266" customFormat="1">
      <c r="A1917" s="1311"/>
      <c r="B1917" s="1332"/>
      <c r="C1917" s="1343"/>
      <c r="D1917" s="1338"/>
      <c r="E1917" s="1338"/>
    </row>
    <row r="1918" spans="1:5" s="1266" customFormat="1" ht="39">
      <c r="A1918" s="1311"/>
      <c r="B1918" s="1331" t="s">
        <v>2292</v>
      </c>
      <c r="C1918" s="1343"/>
      <c r="D1918" s="1338"/>
      <c r="E1918" s="1338"/>
    </row>
    <row r="1919" spans="1:5" s="1266" customFormat="1">
      <c r="A1919" s="1311"/>
      <c r="B1919" s="1332"/>
      <c r="C1919" s="1343"/>
      <c r="D1919" s="1338"/>
      <c r="E1919" s="1338"/>
    </row>
    <row r="1920" spans="1:5" s="1266" customFormat="1">
      <c r="A1920" s="1311"/>
      <c r="B1920" s="1332" t="s">
        <v>2291</v>
      </c>
      <c r="C1920" s="1343" t="s">
        <v>1293</v>
      </c>
      <c r="D1920" s="1338">
        <v>900</v>
      </c>
      <c r="E1920" s="1363">
        <f>D1920*$E$5</f>
        <v>956.69999999999993</v>
      </c>
    </row>
    <row r="1921" spans="1:5" s="1266" customFormat="1">
      <c r="A1921" s="1311"/>
      <c r="B1921" s="1332"/>
      <c r="C1921" s="1343"/>
      <c r="D1921" s="1338"/>
      <c r="E1921" s="1338"/>
    </row>
    <row r="1922" spans="1:5" s="1266" customFormat="1">
      <c r="A1922" s="1311"/>
      <c r="B1922" s="1312" t="s">
        <v>2293</v>
      </c>
      <c r="C1922" s="1343"/>
      <c r="D1922" s="1338"/>
      <c r="E1922" s="1338"/>
    </row>
    <row r="1923" spans="1:5" s="1266" customFormat="1">
      <c r="A1923" s="1311"/>
      <c r="B1923" s="1332"/>
      <c r="C1923" s="1343"/>
      <c r="D1923" s="1338"/>
      <c r="E1923" s="1338"/>
    </row>
    <row r="1924" spans="1:5" s="1266" customFormat="1" ht="51.75">
      <c r="A1924" s="1311"/>
      <c r="B1924" s="1331" t="s">
        <v>2294</v>
      </c>
      <c r="C1924" s="1343"/>
      <c r="D1924" s="1338"/>
      <c r="E1924" s="1338"/>
    </row>
    <row r="1925" spans="1:5" s="1266" customFormat="1">
      <c r="A1925" s="1311"/>
      <c r="B1925" s="1332"/>
      <c r="C1925" s="1343"/>
      <c r="D1925" s="1338"/>
      <c r="E1925" s="1338"/>
    </row>
    <row r="1926" spans="1:5" s="1266" customFormat="1">
      <c r="A1926" s="1311"/>
      <c r="B1926" s="1332" t="s">
        <v>2291</v>
      </c>
      <c r="C1926" s="1343" t="s">
        <v>1293</v>
      </c>
      <c r="D1926" s="1338">
        <v>638.61</v>
      </c>
      <c r="E1926" s="1363">
        <f>D1926*$E$5</f>
        <v>678.84243000000004</v>
      </c>
    </row>
    <row r="1927" spans="1:5" s="1266" customFormat="1">
      <c r="A1927" s="1311"/>
      <c r="B1927" s="1332"/>
      <c r="C1927" s="1343"/>
      <c r="D1927" s="1338"/>
      <c r="E1927" s="1338"/>
    </row>
    <row r="1928" spans="1:5" s="1266" customFormat="1">
      <c r="A1928" s="1311"/>
      <c r="B1928" s="1312" t="s">
        <v>2295</v>
      </c>
      <c r="C1928" s="1343"/>
      <c r="D1928" s="1338"/>
      <c r="E1928" s="1338"/>
    </row>
    <row r="1929" spans="1:5" s="1266" customFormat="1">
      <c r="A1929" s="1311"/>
      <c r="B1929" s="1332"/>
      <c r="C1929" s="1343"/>
      <c r="D1929" s="1338"/>
      <c r="E1929" s="1338"/>
    </row>
    <row r="1930" spans="1:5" s="1266" customFormat="1" ht="39">
      <c r="A1930" s="1311"/>
      <c r="B1930" s="1331" t="s">
        <v>2296</v>
      </c>
      <c r="C1930" s="1343"/>
      <c r="D1930" s="1338"/>
      <c r="E1930" s="1338"/>
    </row>
    <row r="1931" spans="1:5" s="1266" customFormat="1">
      <c r="A1931" s="1311"/>
      <c r="B1931" s="1332"/>
      <c r="C1931" s="1343"/>
      <c r="D1931" s="1338"/>
      <c r="E1931" s="1338"/>
    </row>
    <row r="1932" spans="1:5" s="1266" customFormat="1">
      <c r="A1932" s="1311"/>
      <c r="B1932" s="1332" t="s">
        <v>2291</v>
      </c>
      <c r="C1932" s="1343" t="s">
        <v>1293</v>
      </c>
      <c r="D1932" s="1338">
        <v>375</v>
      </c>
      <c r="E1932" s="1363">
        <f>D1932*$E$5</f>
        <v>398.625</v>
      </c>
    </row>
    <row r="1933" spans="1:5" s="1266" customFormat="1">
      <c r="A1933" s="1311"/>
      <c r="B1933" s="1332"/>
      <c r="C1933" s="1343"/>
      <c r="D1933" s="1338"/>
      <c r="E1933" s="1338"/>
    </row>
    <row r="1934" spans="1:5" s="1266" customFormat="1">
      <c r="A1934" s="1311"/>
      <c r="B1934" s="1312" t="s">
        <v>2297</v>
      </c>
      <c r="C1934" s="1343"/>
      <c r="D1934" s="1338"/>
      <c r="E1934" s="1338"/>
    </row>
    <row r="1935" spans="1:5" s="1266" customFormat="1">
      <c r="A1935" s="1311"/>
      <c r="B1935" s="1332"/>
      <c r="C1935" s="1343"/>
      <c r="D1935" s="1338"/>
      <c r="E1935" s="1338"/>
    </row>
    <row r="1936" spans="1:5" s="1266" customFormat="1" ht="26.25">
      <c r="A1936" s="1311"/>
      <c r="B1936" s="1331" t="s">
        <v>2298</v>
      </c>
      <c r="C1936" s="1343"/>
      <c r="D1936" s="1338"/>
      <c r="E1936" s="1338"/>
    </row>
    <row r="1937" spans="1:5" s="1266" customFormat="1">
      <c r="A1937" s="1311"/>
      <c r="B1937" s="1332"/>
      <c r="C1937" s="1343"/>
      <c r="D1937" s="1338"/>
      <c r="E1937" s="1338"/>
    </row>
    <row r="1938" spans="1:5" s="1266" customFormat="1" ht="45">
      <c r="A1938" s="1311"/>
      <c r="B1938" s="1332" t="s">
        <v>2299</v>
      </c>
      <c r="C1938" s="1343" t="s">
        <v>217</v>
      </c>
      <c r="D1938" s="1338">
        <v>50000</v>
      </c>
      <c r="E1938" s="1363">
        <f>D1938*$E$5</f>
        <v>53150</v>
      </c>
    </row>
    <row r="1939" spans="1:5" s="1266" customFormat="1">
      <c r="A1939" s="1311"/>
      <c r="B1939" s="1332"/>
      <c r="C1939" s="1343"/>
      <c r="D1939" s="1338"/>
      <c r="E1939" s="1338"/>
    </row>
    <row r="1940" spans="1:5" s="1266" customFormat="1" ht="45">
      <c r="A1940" s="1311"/>
      <c r="B1940" s="1332" t="s">
        <v>2300</v>
      </c>
      <c r="C1940" s="1343" t="s">
        <v>217</v>
      </c>
      <c r="D1940" s="1338">
        <v>35000</v>
      </c>
      <c r="E1940" s="1363">
        <f>D1940*$E$5</f>
        <v>37205</v>
      </c>
    </row>
    <row r="1941" spans="1:5" s="1266" customFormat="1">
      <c r="A1941" s="1311"/>
      <c r="B1941" s="1332"/>
      <c r="C1941" s="1343"/>
      <c r="D1941" s="1338"/>
      <c r="E1941" s="1338"/>
    </row>
    <row r="1942" spans="1:5" s="1266" customFormat="1">
      <c r="A1942" s="1311"/>
      <c r="B1942" s="1312" t="s">
        <v>2301</v>
      </c>
      <c r="C1942" s="1343"/>
      <c r="D1942" s="1338"/>
      <c r="E1942" s="1338"/>
    </row>
    <row r="1943" spans="1:5" s="1266" customFormat="1">
      <c r="A1943" s="1311"/>
      <c r="B1943" s="1332"/>
      <c r="C1943" s="1343"/>
      <c r="D1943" s="1338"/>
      <c r="E1943" s="1338"/>
    </row>
    <row r="1944" spans="1:5" s="1266" customFormat="1">
      <c r="A1944" s="1311"/>
      <c r="B1944" s="1331" t="s">
        <v>2302</v>
      </c>
      <c r="C1944" s="1343"/>
      <c r="D1944" s="1338"/>
      <c r="E1944" s="1338"/>
    </row>
    <row r="1945" spans="1:5" s="1266" customFormat="1">
      <c r="A1945" s="1311"/>
      <c r="B1945" s="1332"/>
      <c r="C1945" s="1343"/>
      <c r="D1945" s="1338"/>
      <c r="E1945" s="1338"/>
    </row>
    <row r="1946" spans="1:5" s="1266" customFormat="1" ht="45">
      <c r="A1946" s="1311"/>
      <c r="B1946" s="1332" t="s">
        <v>2303</v>
      </c>
      <c r="C1946" s="1343" t="s">
        <v>215</v>
      </c>
      <c r="D1946" s="1338">
        <v>69.14</v>
      </c>
      <c r="E1946" s="1363">
        <f>D1946*$E$5</f>
        <v>73.495819999999995</v>
      </c>
    </row>
    <row r="1947" spans="1:5" s="1266" customFormat="1">
      <c r="A1947" s="1311"/>
      <c r="B1947" s="1332"/>
      <c r="C1947" s="1343"/>
      <c r="D1947" s="1338"/>
      <c r="E1947" s="1338"/>
    </row>
    <row r="1948" spans="1:5" s="1266" customFormat="1" ht="30">
      <c r="A1948" s="1311"/>
      <c r="B1948" s="1332" t="s">
        <v>2304</v>
      </c>
      <c r="C1948" s="1343" t="s">
        <v>217</v>
      </c>
      <c r="D1948" s="1338">
        <v>660</v>
      </c>
      <c r="E1948" s="1363">
        <f>D1948*$E$5</f>
        <v>701.57999999999993</v>
      </c>
    </row>
    <row r="1949" spans="1:5" s="1266" customFormat="1">
      <c r="A1949" s="1311"/>
      <c r="B1949" s="1332"/>
      <c r="C1949" s="1343"/>
      <c r="D1949" s="1338"/>
      <c r="E1949" s="1338"/>
    </row>
    <row r="1950" spans="1:5" s="1266" customFormat="1">
      <c r="A1950" s="1311"/>
      <c r="B1950" s="1312" t="s">
        <v>2305</v>
      </c>
      <c r="C1950" s="1343"/>
      <c r="D1950" s="1338"/>
      <c r="E1950" s="1338"/>
    </row>
    <row r="1951" spans="1:5" s="1266" customFormat="1">
      <c r="A1951" s="1311"/>
      <c r="B1951" s="1332"/>
      <c r="C1951" s="1343"/>
      <c r="D1951" s="1338"/>
      <c r="E1951" s="1338"/>
    </row>
    <row r="1952" spans="1:5" s="1266" customFormat="1">
      <c r="A1952" s="1311"/>
      <c r="B1952" s="1312" t="s">
        <v>2306</v>
      </c>
      <c r="C1952" s="1343"/>
      <c r="D1952" s="1338"/>
      <c r="E1952" s="1338"/>
    </row>
    <row r="1953" spans="1:5" s="1266" customFormat="1">
      <c r="A1953" s="1311"/>
      <c r="B1953" s="1332"/>
      <c r="C1953" s="1343"/>
      <c r="D1953" s="1338"/>
      <c r="E1953" s="1338"/>
    </row>
    <row r="1954" spans="1:5" s="1266" customFormat="1">
      <c r="A1954" s="1311"/>
      <c r="B1954" s="1331" t="s">
        <v>2307</v>
      </c>
      <c r="C1954" s="1343"/>
      <c r="D1954" s="1338"/>
      <c r="E1954" s="1338"/>
    </row>
    <row r="1955" spans="1:5" s="1266" customFormat="1">
      <c r="A1955" s="1311"/>
      <c r="B1955" s="1332"/>
      <c r="C1955" s="1343"/>
      <c r="D1955" s="1338"/>
      <c r="E1955" s="1338"/>
    </row>
    <row r="1956" spans="1:5" s="1266" customFormat="1">
      <c r="A1956" s="1311"/>
      <c r="B1956" s="1332" t="s">
        <v>2308</v>
      </c>
      <c r="C1956" s="1343" t="s">
        <v>2309</v>
      </c>
      <c r="D1956" s="1338">
        <v>220</v>
      </c>
      <c r="E1956" s="1363">
        <f>D1956*$E$5</f>
        <v>233.85999999999999</v>
      </c>
    </row>
    <row r="1957" spans="1:5" s="1266" customFormat="1">
      <c r="A1957" s="1311"/>
      <c r="B1957" s="1332"/>
      <c r="C1957" s="1343"/>
      <c r="D1957" s="1338"/>
      <c r="E1957" s="1338"/>
    </row>
    <row r="1958" spans="1:5" s="1266" customFormat="1">
      <c r="A1958" s="1311"/>
      <c r="B1958" s="1332" t="s">
        <v>2310</v>
      </c>
      <c r="C1958" s="1343" t="s">
        <v>2309</v>
      </c>
      <c r="D1958" s="1338">
        <v>220</v>
      </c>
      <c r="E1958" s="1363">
        <f>D1958*$E$5</f>
        <v>233.85999999999999</v>
      </c>
    </row>
    <row r="1959" spans="1:5" s="1266" customFormat="1">
      <c r="A1959" s="1311"/>
      <c r="B1959" s="1332"/>
      <c r="C1959" s="1343"/>
      <c r="D1959" s="1338"/>
      <c r="E1959" s="1338"/>
    </row>
    <row r="1960" spans="1:5" s="1266" customFormat="1">
      <c r="A1960" s="1311"/>
      <c r="B1960" s="1332" t="s">
        <v>2311</v>
      </c>
      <c r="C1960" s="1343" t="s">
        <v>2309</v>
      </c>
      <c r="D1960" s="1338">
        <v>220</v>
      </c>
      <c r="E1960" s="1363">
        <f>D1960*$E$5</f>
        <v>233.85999999999999</v>
      </c>
    </row>
    <row r="1961" spans="1:5" s="1266" customFormat="1">
      <c r="A1961" s="1311"/>
      <c r="B1961" s="1332"/>
      <c r="C1961" s="1343"/>
      <c r="D1961" s="1338"/>
      <c r="E1961" s="1338"/>
    </row>
    <row r="1962" spans="1:5" s="1266" customFormat="1">
      <c r="A1962" s="1311"/>
      <c r="B1962" s="1332" t="s">
        <v>2312</v>
      </c>
      <c r="C1962" s="1343" t="s">
        <v>2309</v>
      </c>
      <c r="D1962" s="1338">
        <v>133.6</v>
      </c>
      <c r="E1962" s="1363">
        <f>D1962*$E$5</f>
        <v>142.01679999999999</v>
      </c>
    </row>
    <row r="1963" spans="1:5" s="1266" customFormat="1">
      <c r="A1963" s="1311"/>
      <c r="B1963" s="1332"/>
      <c r="C1963" s="1343"/>
      <c r="D1963" s="1338"/>
      <c r="E1963" s="1338"/>
    </row>
    <row r="1964" spans="1:5" s="1266" customFormat="1">
      <c r="A1964" s="1311"/>
      <c r="B1964" s="1331" t="s">
        <v>2313</v>
      </c>
      <c r="C1964" s="1343"/>
      <c r="D1964" s="1338"/>
      <c r="E1964" s="1338"/>
    </row>
    <row r="1965" spans="1:5" s="1266" customFormat="1">
      <c r="A1965" s="1311"/>
      <c r="B1965" s="1332"/>
      <c r="C1965" s="1343"/>
      <c r="D1965" s="1338"/>
      <c r="E1965" s="1338"/>
    </row>
    <row r="1966" spans="1:5" s="1266" customFormat="1">
      <c r="A1966" s="1311"/>
      <c r="B1966" s="1332" t="s">
        <v>2314</v>
      </c>
      <c r="C1966" s="1343" t="s">
        <v>217</v>
      </c>
      <c r="D1966" s="1338">
        <v>240</v>
      </c>
      <c r="E1966" s="1363">
        <f>D1966*$E$5</f>
        <v>255.11999999999998</v>
      </c>
    </row>
    <row r="1967" spans="1:5" s="1266" customFormat="1">
      <c r="A1967" s="1311"/>
      <c r="B1967" s="1332"/>
      <c r="C1967" s="1343"/>
      <c r="D1967" s="1338"/>
      <c r="E1967" s="1338"/>
    </row>
    <row r="1968" spans="1:5" s="1266" customFormat="1">
      <c r="A1968" s="1311"/>
      <c r="B1968" s="1312" t="s">
        <v>2315</v>
      </c>
      <c r="C1968" s="1343"/>
      <c r="D1968" s="1338"/>
      <c r="E1968" s="1338"/>
    </row>
    <row r="1969" spans="1:5" s="1266" customFormat="1">
      <c r="A1969" s="1311"/>
      <c r="B1969" s="1332"/>
      <c r="C1969" s="1343"/>
      <c r="D1969" s="1338"/>
      <c r="E1969" s="1338"/>
    </row>
    <row r="1970" spans="1:5" s="1266" customFormat="1">
      <c r="A1970" s="1311"/>
      <c r="B1970" s="1331" t="s">
        <v>2316</v>
      </c>
      <c r="C1970" s="1343"/>
      <c r="D1970" s="1338"/>
      <c r="E1970" s="1338"/>
    </row>
    <row r="1971" spans="1:5" s="1266" customFormat="1">
      <c r="A1971" s="1311"/>
      <c r="B1971" s="1332"/>
      <c r="C1971" s="1343"/>
      <c r="D1971" s="1338"/>
      <c r="E1971" s="1338"/>
    </row>
    <row r="1972" spans="1:5" s="1266" customFormat="1">
      <c r="A1972" s="1311"/>
      <c r="B1972" s="1332" t="s">
        <v>2317</v>
      </c>
      <c r="C1972" s="1343" t="s">
        <v>217</v>
      </c>
      <c r="D1972" s="1338">
        <v>443</v>
      </c>
      <c r="E1972" s="1363">
        <f>D1972*$E$5</f>
        <v>470.90899999999999</v>
      </c>
    </row>
    <row r="1973" spans="1:5" s="1266" customFormat="1">
      <c r="A1973" s="1311"/>
      <c r="B1973" s="1332"/>
      <c r="C1973" s="1343"/>
      <c r="D1973" s="1338"/>
      <c r="E1973" s="1338"/>
    </row>
    <row r="1974" spans="1:5" s="1266" customFormat="1">
      <c r="A1974" s="1311"/>
      <c r="B1974" s="1332" t="s">
        <v>2318</v>
      </c>
      <c r="C1974" s="1343" t="s">
        <v>217</v>
      </c>
      <c r="D1974" s="1338">
        <v>488</v>
      </c>
      <c r="E1974" s="1363">
        <f>D1974*$E$5</f>
        <v>518.74400000000003</v>
      </c>
    </row>
    <row r="1975" spans="1:5" s="1266" customFormat="1">
      <c r="A1975" s="1311"/>
      <c r="B1975" s="1332"/>
      <c r="C1975" s="1343"/>
      <c r="D1975" s="1338"/>
      <c r="E1975" s="1338"/>
    </row>
    <row r="1976" spans="1:5" s="1266" customFormat="1">
      <c r="A1976" s="1311"/>
      <c r="B1976" s="1332" t="s">
        <v>2319</v>
      </c>
      <c r="C1976" s="1343" t="s">
        <v>217</v>
      </c>
      <c r="D1976" s="1338">
        <v>444</v>
      </c>
      <c r="E1976" s="1363">
        <f>D1976*$E$5</f>
        <v>471.97199999999998</v>
      </c>
    </row>
    <row r="1977" spans="1:5" s="1266" customFormat="1">
      <c r="A1977" s="1311"/>
      <c r="B1977" s="1332"/>
      <c r="C1977" s="1343"/>
      <c r="D1977" s="1338"/>
      <c r="E1977" s="1338"/>
    </row>
    <row r="1978" spans="1:5" s="1266" customFormat="1" ht="45">
      <c r="A1978" s="1311"/>
      <c r="B1978" s="1332" t="s">
        <v>2320</v>
      </c>
      <c r="C1978" s="1343" t="s">
        <v>2309</v>
      </c>
      <c r="D1978" s="1338">
        <v>909.45</v>
      </c>
      <c r="E1978" s="1363">
        <f>D1978*$E$5</f>
        <v>966.74535000000003</v>
      </c>
    </row>
    <row r="1979" spans="1:5" s="1266" customFormat="1">
      <c r="A1979" s="1311"/>
      <c r="B1979" s="1332"/>
      <c r="C1979" s="1343"/>
      <c r="D1979" s="1338"/>
      <c r="E1979" s="1338"/>
    </row>
    <row r="1980" spans="1:5" s="1266" customFormat="1" ht="45">
      <c r="A1980" s="1311"/>
      <c r="B1980" s="1332" t="s">
        <v>2321</v>
      </c>
      <c r="C1980" s="1343" t="s">
        <v>2309</v>
      </c>
      <c r="D1980" s="1338">
        <v>909.45</v>
      </c>
      <c r="E1980" s="1363">
        <f>D1980*$E$5</f>
        <v>966.74535000000003</v>
      </c>
    </row>
    <row r="1981" spans="1:5" s="1266" customFormat="1">
      <c r="A1981" s="1311"/>
      <c r="B1981" s="1332"/>
      <c r="C1981" s="1343"/>
      <c r="D1981" s="1338"/>
      <c r="E1981" s="1338"/>
    </row>
    <row r="1982" spans="1:5" s="1266" customFormat="1">
      <c r="A1982" s="1311"/>
      <c r="B1982" s="1312" t="s">
        <v>2322</v>
      </c>
      <c r="C1982" s="1343"/>
      <c r="D1982" s="1338"/>
      <c r="E1982" s="1338"/>
    </row>
    <row r="1983" spans="1:5" s="1266" customFormat="1">
      <c r="A1983" s="1311"/>
      <c r="B1983" s="1332"/>
      <c r="C1983" s="1343"/>
      <c r="D1983" s="1338"/>
      <c r="E1983" s="1338"/>
    </row>
    <row r="1984" spans="1:5" s="1266" customFormat="1">
      <c r="A1984" s="1311"/>
      <c r="B1984" s="1331" t="s">
        <v>2323</v>
      </c>
      <c r="C1984" s="1343"/>
      <c r="D1984" s="1338"/>
      <c r="E1984" s="1338"/>
    </row>
    <row r="1985" spans="1:5" s="1266" customFormat="1">
      <c r="A1985" s="1311"/>
      <c r="B1985" s="1332"/>
      <c r="C1985" s="1343"/>
      <c r="D1985" s="1338"/>
      <c r="E1985" s="1338"/>
    </row>
    <row r="1986" spans="1:5" s="1266" customFormat="1" ht="30">
      <c r="A1986" s="1311"/>
      <c r="B1986" s="1332" t="s">
        <v>2324</v>
      </c>
      <c r="C1986" s="1343" t="s">
        <v>217</v>
      </c>
      <c r="D1986" s="1338">
        <v>701</v>
      </c>
      <c r="E1986" s="1363">
        <f>D1986*$E$5</f>
        <v>745.16300000000001</v>
      </c>
    </row>
    <row r="1987" spans="1:5" s="1266" customFormat="1">
      <c r="A1987" s="1311"/>
      <c r="B1987" s="1332"/>
      <c r="C1987" s="1343"/>
      <c r="D1987" s="1338"/>
      <c r="E1987" s="1338"/>
    </row>
    <row r="1988" spans="1:5" s="1266" customFormat="1" ht="45">
      <c r="A1988" s="1311"/>
      <c r="B1988" s="1332" t="s">
        <v>2325</v>
      </c>
      <c r="C1988" s="1343" t="s">
        <v>217</v>
      </c>
      <c r="D1988" s="1338">
        <v>701</v>
      </c>
      <c r="E1988" s="1363">
        <f>D1988*$E$5</f>
        <v>745.16300000000001</v>
      </c>
    </row>
    <row r="1989" spans="1:5" s="1266" customFormat="1">
      <c r="A1989" s="1311"/>
      <c r="B1989" s="1332"/>
      <c r="C1989" s="1343"/>
      <c r="D1989" s="1338"/>
      <c r="E1989" s="1338"/>
    </row>
    <row r="1990" spans="1:5" s="1266" customFormat="1">
      <c r="A1990" s="1311"/>
      <c r="B1990" s="1312" t="s">
        <v>2326</v>
      </c>
      <c r="C1990" s="1343"/>
      <c r="D1990" s="1338"/>
      <c r="E1990" s="1338"/>
    </row>
    <row r="1991" spans="1:5" s="1266" customFormat="1">
      <c r="A1991" s="1311"/>
      <c r="B1991" s="1332"/>
      <c r="C1991" s="1343"/>
      <c r="D1991" s="1338"/>
      <c r="E1991" s="1338"/>
    </row>
    <row r="1992" spans="1:5" s="1266" customFormat="1">
      <c r="A1992" s="1311"/>
      <c r="B1992" s="1331" t="s">
        <v>2327</v>
      </c>
      <c r="C1992" s="1343"/>
      <c r="D1992" s="1338"/>
      <c r="E1992" s="1338"/>
    </row>
    <row r="1993" spans="1:5" s="1266" customFormat="1">
      <c r="A1993" s="1311"/>
      <c r="B1993" s="1332"/>
      <c r="C1993" s="1343"/>
      <c r="D1993" s="1338"/>
      <c r="E1993" s="1338"/>
    </row>
    <row r="1994" spans="1:5" s="1266" customFormat="1" ht="30">
      <c r="A1994" s="1311"/>
      <c r="B1994" s="1332" t="s">
        <v>2328</v>
      </c>
      <c r="C1994" s="1343" t="s">
        <v>217</v>
      </c>
      <c r="D1994" s="1338">
        <v>155.94</v>
      </c>
      <c r="E1994" s="1363">
        <f>D1994*$E$5</f>
        <v>165.76421999999999</v>
      </c>
    </row>
    <row r="1995" spans="1:5" s="1266" customFormat="1">
      <c r="A1995" s="1311"/>
      <c r="B1995" s="1332"/>
      <c r="C1995" s="1343"/>
      <c r="D1995" s="1338"/>
      <c r="E1995" s="1338"/>
    </row>
    <row r="1996" spans="1:5" s="1266" customFormat="1" ht="30">
      <c r="A1996" s="1311"/>
      <c r="B1996" s="1332" t="s">
        <v>2329</v>
      </c>
      <c r="C1996" s="1343" t="s">
        <v>217</v>
      </c>
      <c r="D1996" s="1338">
        <v>342</v>
      </c>
      <c r="E1996" s="1363">
        <f>D1996*$E$5</f>
        <v>363.54599999999999</v>
      </c>
    </row>
    <row r="1997" spans="1:5" s="1266" customFormat="1">
      <c r="A1997" s="1311"/>
      <c r="B1997" s="1332"/>
      <c r="C1997" s="1343"/>
      <c r="D1997" s="1338"/>
      <c r="E1997" s="1338"/>
    </row>
    <row r="1998" spans="1:5" s="1266" customFormat="1">
      <c r="A1998" s="1311"/>
      <c r="B1998" s="1331" t="s">
        <v>2330</v>
      </c>
      <c r="C1998" s="1343"/>
      <c r="D1998" s="1338"/>
      <c r="E1998" s="1338"/>
    </row>
    <row r="1999" spans="1:5" s="1266" customFormat="1">
      <c r="A1999" s="1311"/>
      <c r="B1999" s="1332"/>
      <c r="C1999" s="1343"/>
      <c r="D1999" s="1338"/>
      <c r="E1999" s="1338"/>
    </row>
    <row r="2000" spans="1:5" s="1266" customFormat="1" ht="30">
      <c r="A2000" s="1311"/>
      <c r="B2000" s="1332" t="s">
        <v>2331</v>
      </c>
      <c r="C2000" s="1343" t="s">
        <v>2309</v>
      </c>
      <c r="D2000" s="1338">
        <v>3129</v>
      </c>
      <c r="E2000" s="1363">
        <f>D2000*$E$5</f>
        <v>3326.127</v>
      </c>
    </row>
    <row r="2001" spans="1:5" s="1266" customFormat="1">
      <c r="A2001" s="1311"/>
      <c r="B2001" s="1332"/>
      <c r="C2001" s="1343"/>
      <c r="D2001" s="1338"/>
      <c r="E2001" s="1338"/>
    </row>
    <row r="2002" spans="1:5" s="1266" customFormat="1">
      <c r="A2002" s="1311"/>
      <c r="B2002" s="1312" t="s">
        <v>2332</v>
      </c>
      <c r="C2002" s="1343"/>
      <c r="D2002" s="1338"/>
      <c r="E2002" s="1338"/>
    </row>
    <row r="2003" spans="1:5" s="1266" customFormat="1">
      <c r="A2003" s="1311"/>
      <c r="B2003" s="1332"/>
      <c r="C2003" s="1343"/>
      <c r="D2003" s="1338"/>
      <c r="E2003" s="1338"/>
    </row>
    <row r="2004" spans="1:5" s="1266" customFormat="1">
      <c r="A2004" s="1311"/>
      <c r="B2004" s="1331" t="s">
        <v>2333</v>
      </c>
      <c r="C2004" s="1343"/>
      <c r="D2004" s="1338"/>
      <c r="E2004" s="1338"/>
    </row>
    <row r="2005" spans="1:5" s="1266" customFormat="1">
      <c r="A2005" s="1311"/>
      <c r="B2005" s="1332"/>
      <c r="C2005" s="1343"/>
      <c r="D2005" s="1338"/>
      <c r="E2005" s="1338"/>
    </row>
    <row r="2006" spans="1:5" s="1266" customFormat="1" ht="60">
      <c r="A2006" s="1311"/>
      <c r="B2006" s="1332" t="s">
        <v>2334</v>
      </c>
      <c r="C2006" s="1343" t="s">
        <v>217</v>
      </c>
      <c r="D2006" s="1338">
        <v>7083.34</v>
      </c>
      <c r="E2006" s="1363">
        <f>D2006*$E$5</f>
        <v>7529.5904199999995</v>
      </c>
    </row>
    <row r="2007" spans="1:5" s="1266" customFormat="1">
      <c r="A2007" s="1311"/>
      <c r="B2007" s="1332"/>
      <c r="C2007" s="1343"/>
      <c r="D2007" s="1338"/>
      <c r="E2007" s="1338"/>
    </row>
    <row r="2008" spans="1:5" s="1266" customFormat="1" ht="75">
      <c r="A2008" s="1311"/>
      <c r="B2008" s="1332" t="s">
        <v>2335</v>
      </c>
      <c r="C2008" s="1343" t="s">
        <v>217</v>
      </c>
      <c r="D2008" s="1338">
        <v>4323.13</v>
      </c>
      <c r="E2008" s="1363">
        <f>D2008*$E$5</f>
        <v>4595.4871899999998</v>
      </c>
    </row>
    <row r="2009" spans="1:5" s="1266" customFormat="1">
      <c r="A2009" s="1311"/>
      <c r="B2009" s="1332"/>
      <c r="C2009" s="1343"/>
      <c r="D2009" s="1338"/>
      <c r="E2009" s="1338"/>
    </row>
    <row r="2010" spans="1:5" s="1266" customFormat="1" ht="30">
      <c r="A2010" s="1311"/>
      <c r="B2010" s="1332" t="s">
        <v>2336</v>
      </c>
      <c r="C2010" s="1343" t="s">
        <v>217</v>
      </c>
      <c r="D2010" s="1338">
        <v>4323.13</v>
      </c>
      <c r="E2010" s="1363">
        <f>D2010*$E$5</f>
        <v>4595.4871899999998</v>
      </c>
    </row>
    <row r="2011" spans="1:5" s="1266" customFormat="1">
      <c r="A2011" s="1311"/>
      <c r="B2011" s="1332"/>
      <c r="C2011" s="1343"/>
      <c r="D2011" s="1338"/>
      <c r="E2011" s="1338"/>
    </row>
    <row r="2012" spans="1:5" s="1266" customFormat="1">
      <c r="A2012" s="1311"/>
      <c r="B2012" s="1312" t="s">
        <v>2337</v>
      </c>
      <c r="C2012" s="1343"/>
      <c r="D2012" s="1338"/>
      <c r="E2012" s="1338"/>
    </row>
    <row r="2013" spans="1:5" s="1266" customFormat="1">
      <c r="A2013" s="1311"/>
      <c r="B2013" s="1332"/>
      <c r="C2013" s="1343"/>
      <c r="D2013" s="1338"/>
      <c r="E2013" s="1338"/>
    </row>
    <row r="2014" spans="1:5" s="1266" customFormat="1">
      <c r="A2014" s="1311"/>
      <c r="B2014" s="1331" t="s">
        <v>2338</v>
      </c>
      <c r="C2014" s="1343"/>
      <c r="D2014" s="1338"/>
      <c r="E2014" s="1338"/>
    </row>
    <row r="2015" spans="1:5" s="1266" customFormat="1">
      <c r="A2015" s="1311"/>
      <c r="B2015" s="1332"/>
      <c r="C2015" s="1343"/>
      <c r="D2015" s="1338"/>
      <c r="E2015" s="1338"/>
    </row>
    <row r="2016" spans="1:5" s="1266" customFormat="1" ht="60">
      <c r="A2016" s="1311"/>
      <c r="B2016" s="1332" t="s">
        <v>2339</v>
      </c>
      <c r="C2016" s="1343" t="s">
        <v>217</v>
      </c>
      <c r="D2016" s="1338">
        <v>7773.53</v>
      </c>
      <c r="E2016" s="1363">
        <f>D2016*$E$5</f>
        <v>8263.2623899999999</v>
      </c>
    </row>
    <row r="2017" spans="1:5" s="1266" customFormat="1">
      <c r="A2017" s="1311"/>
      <c r="B2017" s="1332"/>
      <c r="C2017" s="1343"/>
      <c r="D2017" s="1338"/>
      <c r="E2017" s="1338"/>
    </row>
    <row r="2018" spans="1:5" s="1266" customFormat="1">
      <c r="A2018" s="1311"/>
      <c r="B2018" s="1312" t="s">
        <v>2340</v>
      </c>
      <c r="C2018" s="1343"/>
      <c r="D2018" s="1338"/>
      <c r="E2018" s="1338"/>
    </row>
    <row r="2019" spans="1:5" s="1266" customFormat="1">
      <c r="A2019" s="1311"/>
      <c r="B2019" s="1332"/>
      <c r="C2019" s="1343"/>
      <c r="D2019" s="1338"/>
      <c r="E2019" s="1338"/>
    </row>
    <row r="2020" spans="1:5" s="1266" customFormat="1">
      <c r="A2020" s="1311"/>
      <c r="B2020" s="1331" t="s">
        <v>2341</v>
      </c>
      <c r="C2020" s="1343"/>
      <c r="D2020" s="1338"/>
      <c r="E2020" s="1338"/>
    </row>
    <row r="2021" spans="1:5" s="1266" customFormat="1">
      <c r="A2021" s="1311"/>
      <c r="B2021" s="1332"/>
      <c r="C2021" s="1343"/>
      <c r="D2021" s="1338"/>
      <c r="E2021" s="1338"/>
    </row>
    <row r="2022" spans="1:5" s="1266" customFormat="1">
      <c r="A2022" s="1311"/>
      <c r="B2022" s="1332" t="s">
        <v>2342</v>
      </c>
      <c r="C2022" s="1343" t="s">
        <v>217</v>
      </c>
      <c r="D2022" s="1338">
        <v>80</v>
      </c>
      <c r="E2022" s="1363">
        <f>D2022*$E$5</f>
        <v>85.039999999999992</v>
      </c>
    </row>
    <row r="2023" spans="1:5" s="1266" customFormat="1">
      <c r="A2023" s="1311"/>
      <c r="B2023" s="1332"/>
      <c r="C2023" s="1343"/>
      <c r="D2023" s="1338"/>
      <c r="E2023" s="1338"/>
    </row>
    <row r="2024" spans="1:5" s="1266" customFormat="1">
      <c r="A2024" s="1311"/>
      <c r="B2024" s="1332" t="s">
        <v>2343</v>
      </c>
      <c r="C2024" s="1343" t="s">
        <v>217</v>
      </c>
      <c r="D2024" s="1338">
        <v>73.37</v>
      </c>
      <c r="E2024" s="1363">
        <f>D2024*$E$5</f>
        <v>77.992310000000003</v>
      </c>
    </row>
    <row r="2025" spans="1:5" s="1266" customFormat="1">
      <c r="A2025" s="1311"/>
      <c r="B2025" s="1332"/>
      <c r="C2025" s="1343"/>
      <c r="D2025" s="1338"/>
      <c r="E2025" s="1338"/>
    </row>
    <row r="2026" spans="1:5" s="1266" customFormat="1">
      <c r="A2026" s="1311"/>
      <c r="B2026" s="1332" t="s">
        <v>2344</v>
      </c>
      <c r="C2026" s="1343" t="s">
        <v>217</v>
      </c>
      <c r="D2026" s="1338">
        <v>73.37</v>
      </c>
      <c r="E2026" s="1363">
        <f>D2026*$E$5</f>
        <v>77.992310000000003</v>
      </c>
    </row>
    <row r="2027" spans="1:5" s="1266" customFormat="1">
      <c r="A2027" s="1311"/>
      <c r="B2027" s="1332"/>
      <c r="C2027" s="1343"/>
      <c r="D2027" s="1338"/>
      <c r="E2027" s="1338"/>
    </row>
    <row r="2028" spans="1:5" s="1266" customFormat="1">
      <c r="A2028" s="1311"/>
      <c r="B2028" s="1312" t="s">
        <v>2345</v>
      </c>
      <c r="C2028" s="1343"/>
      <c r="D2028" s="1338"/>
      <c r="E2028" s="1338"/>
    </row>
    <row r="2029" spans="1:5" s="1266" customFormat="1">
      <c r="A2029" s="1311"/>
      <c r="B2029" s="1332"/>
      <c r="C2029" s="1343"/>
      <c r="D2029" s="1338"/>
      <c r="E2029" s="1338"/>
    </row>
    <row r="2030" spans="1:5" s="1266" customFormat="1">
      <c r="A2030" s="1311"/>
      <c r="B2030" s="1331" t="s">
        <v>2346</v>
      </c>
      <c r="C2030" s="1343"/>
      <c r="D2030" s="1338"/>
      <c r="E2030" s="1338"/>
    </row>
    <row r="2031" spans="1:5" s="1266" customFormat="1">
      <c r="A2031" s="1311"/>
      <c r="B2031" s="1332"/>
      <c r="C2031" s="1343"/>
      <c r="D2031" s="1338"/>
      <c r="E2031" s="1338"/>
    </row>
    <row r="2032" spans="1:5" s="1266" customFormat="1">
      <c r="A2032" s="1311"/>
      <c r="B2032" s="1332" t="s">
        <v>2347</v>
      </c>
      <c r="C2032" s="1343" t="s">
        <v>217</v>
      </c>
      <c r="D2032" s="1338">
        <v>850</v>
      </c>
      <c r="E2032" s="1363">
        <f>D2032*$E$5</f>
        <v>903.55</v>
      </c>
    </row>
    <row r="2033" spans="1:5" s="1266" customFormat="1">
      <c r="A2033" s="1311"/>
      <c r="B2033" s="1332"/>
      <c r="C2033" s="1343"/>
      <c r="D2033" s="1338"/>
      <c r="E2033" s="1338"/>
    </row>
    <row r="2034" spans="1:5" s="1266" customFormat="1">
      <c r="A2034" s="1311"/>
      <c r="B2034" s="1332" t="s">
        <v>2348</v>
      </c>
      <c r="C2034" s="1343" t="s">
        <v>217</v>
      </c>
      <c r="D2034" s="1338">
        <v>6500</v>
      </c>
      <c r="E2034" s="1363">
        <f>D2034*$E$5</f>
        <v>6909.5</v>
      </c>
    </row>
    <row r="2035" spans="1:5" s="1266" customFormat="1">
      <c r="A2035" s="1311"/>
      <c r="B2035" s="1332"/>
      <c r="C2035" s="1343"/>
      <c r="D2035" s="1338"/>
      <c r="E2035" s="1338"/>
    </row>
    <row r="2036" spans="1:5" s="1266" customFormat="1">
      <c r="A2036" s="1311"/>
      <c r="B2036" s="1332" t="s">
        <v>2349</v>
      </c>
      <c r="C2036" s="1343" t="s">
        <v>217</v>
      </c>
      <c r="D2036" s="1338">
        <v>1600</v>
      </c>
      <c r="E2036" s="1363">
        <f>D2036*$E$5</f>
        <v>1700.8</v>
      </c>
    </row>
    <row r="2037" spans="1:5" s="1266" customFormat="1">
      <c r="A2037" s="1311"/>
      <c r="B2037" s="1332"/>
      <c r="C2037" s="1343"/>
      <c r="D2037" s="1338"/>
      <c r="E2037" s="1338"/>
    </row>
    <row r="2038" spans="1:5" s="1266" customFormat="1" ht="30">
      <c r="A2038" s="1311"/>
      <c r="B2038" s="1332" t="s">
        <v>2350</v>
      </c>
      <c r="C2038" s="1343" t="s">
        <v>217</v>
      </c>
      <c r="D2038" s="1338">
        <v>1600</v>
      </c>
      <c r="E2038" s="1363">
        <f>D2038*$E$5</f>
        <v>1700.8</v>
      </c>
    </row>
    <row r="2039" spans="1:5" s="1266" customFormat="1">
      <c r="A2039" s="1311"/>
      <c r="B2039" s="1332"/>
      <c r="C2039" s="1343"/>
      <c r="D2039" s="1338"/>
      <c r="E2039" s="1338"/>
    </row>
    <row r="2040" spans="1:5" s="1266" customFormat="1">
      <c r="A2040" s="1311"/>
      <c r="B2040" s="1332" t="s">
        <v>2351</v>
      </c>
      <c r="C2040" s="1343" t="s">
        <v>217</v>
      </c>
      <c r="D2040" s="1338">
        <v>174</v>
      </c>
      <c r="E2040" s="1363">
        <f>D2040*$E$5</f>
        <v>184.96199999999999</v>
      </c>
    </row>
    <row r="2041" spans="1:5" s="1266" customFormat="1">
      <c r="A2041" s="1311"/>
      <c r="B2041" s="1332"/>
      <c r="C2041" s="1343"/>
      <c r="D2041" s="1338"/>
      <c r="E2041" s="1338"/>
    </row>
    <row r="2042" spans="1:5" s="1266" customFormat="1">
      <c r="A2042" s="1311"/>
      <c r="B2042" s="1312" t="s">
        <v>2352</v>
      </c>
      <c r="C2042" s="1343"/>
      <c r="D2042" s="1338"/>
      <c r="E2042" s="1338"/>
    </row>
    <row r="2043" spans="1:5" s="1266" customFormat="1">
      <c r="A2043" s="1311"/>
      <c r="B2043" s="1332"/>
      <c r="C2043" s="1343"/>
      <c r="D2043" s="1338"/>
      <c r="E2043" s="1338"/>
    </row>
    <row r="2044" spans="1:5" s="1266" customFormat="1">
      <c r="A2044" s="1311"/>
      <c r="B2044" s="1312" t="s">
        <v>2353</v>
      </c>
      <c r="C2044" s="1343"/>
      <c r="D2044" s="1338"/>
      <c r="E2044" s="1338"/>
    </row>
    <row r="2045" spans="1:5" s="1266" customFormat="1">
      <c r="A2045" s="1311"/>
      <c r="B2045" s="1332"/>
      <c r="C2045" s="1343"/>
      <c r="D2045" s="1338"/>
      <c r="E2045" s="1338"/>
    </row>
    <row r="2046" spans="1:5" s="1266" customFormat="1">
      <c r="A2046" s="1311"/>
      <c r="B2046" s="1331" t="s">
        <v>2354</v>
      </c>
      <c r="C2046" s="1343"/>
      <c r="D2046" s="1338"/>
      <c r="E2046" s="1338"/>
    </row>
    <row r="2047" spans="1:5" s="1266" customFormat="1">
      <c r="A2047" s="1311"/>
      <c r="B2047" s="1332"/>
      <c r="C2047" s="1343"/>
      <c r="D2047" s="1338"/>
      <c r="E2047" s="1338"/>
    </row>
    <row r="2048" spans="1:5" s="1266" customFormat="1" ht="26.25">
      <c r="A2048" s="1311"/>
      <c r="B2048" s="1331" t="s">
        <v>2355</v>
      </c>
      <c r="C2048" s="1343"/>
      <c r="D2048" s="1338"/>
      <c r="E2048" s="1338"/>
    </row>
    <row r="2049" spans="1:5" s="1266" customFormat="1">
      <c r="A2049" s="1311"/>
      <c r="B2049" s="1332"/>
      <c r="C2049" s="1343"/>
      <c r="D2049" s="1338"/>
      <c r="E2049" s="1338"/>
    </row>
    <row r="2050" spans="1:5" s="1266" customFormat="1">
      <c r="A2050" s="1311"/>
      <c r="B2050" s="1332" t="s">
        <v>2356</v>
      </c>
      <c r="C2050" s="1343" t="s">
        <v>1357</v>
      </c>
      <c r="D2050" s="1338">
        <v>50000</v>
      </c>
      <c r="E2050" s="1363">
        <f>D2050*$E$5</f>
        <v>53150</v>
      </c>
    </row>
    <row r="2051" spans="1:5" s="1266" customFormat="1">
      <c r="A2051" s="1311"/>
      <c r="B2051" s="1332"/>
      <c r="C2051" s="1343"/>
      <c r="D2051" s="1338"/>
      <c r="E2051" s="1338"/>
    </row>
    <row r="2052" spans="1:5" s="1266" customFormat="1">
      <c r="A2052" s="1311"/>
      <c r="B2052" s="1332" t="s">
        <v>2357</v>
      </c>
      <c r="C2052" s="1343" t="s">
        <v>1357</v>
      </c>
      <c r="D2052" s="1338">
        <v>50000</v>
      </c>
      <c r="E2052" s="1363">
        <f>D2052*$E$5</f>
        <v>53150</v>
      </c>
    </row>
    <row r="2053" spans="1:5" s="1266" customFormat="1">
      <c r="A2053" s="1311"/>
      <c r="B2053" s="1332"/>
      <c r="C2053" s="1343"/>
      <c r="D2053" s="1338"/>
      <c r="E2053" s="1338"/>
    </row>
    <row r="2054" spans="1:5" s="1266" customFormat="1">
      <c r="A2054" s="1311"/>
      <c r="B2054" s="1332" t="s">
        <v>2358</v>
      </c>
      <c r="C2054" s="1343" t="s">
        <v>1357</v>
      </c>
      <c r="D2054" s="1338">
        <v>50000</v>
      </c>
      <c r="E2054" s="1363">
        <f>D2054*$E$5</f>
        <v>53150</v>
      </c>
    </row>
    <row r="2055" spans="1:5" s="1266" customFormat="1">
      <c r="A2055" s="1311"/>
      <c r="B2055" s="1332"/>
      <c r="C2055" s="1343"/>
      <c r="D2055" s="1338"/>
      <c r="E2055" s="1338"/>
    </row>
    <row r="2056" spans="1:5" s="1266" customFormat="1">
      <c r="A2056" s="1311"/>
      <c r="B2056" s="1332" t="s">
        <v>2359</v>
      </c>
      <c r="C2056" s="1343" t="s">
        <v>1357</v>
      </c>
      <c r="D2056" s="1338">
        <v>50000</v>
      </c>
      <c r="E2056" s="1363">
        <f>D2056*$E$5</f>
        <v>53150</v>
      </c>
    </row>
    <row r="2057" spans="1:5" s="1266" customFormat="1">
      <c r="A2057" s="1311"/>
      <c r="B2057" s="1332"/>
      <c r="C2057" s="1343"/>
      <c r="D2057" s="1338"/>
      <c r="E2057" s="1338"/>
    </row>
    <row r="2058" spans="1:5" s="1266" customFormat="1">
      <c r="A2058" s="1311"/>
      <c r="B2058" s="1331" t="s">
        <v>2360</v>
      </c>
      <c r="C2058" s="1343"/>
      <c r="D2058" s="1338"/>
      <c r="E2058" s="1338"/>
    </row>
    <row r="2059" spans="1:5" s="1266" customFormat="1">
      <c r="A2059" s="1311"/>
      <c r="B2059" s="1332"/>
      <c r="C2059" s="1343"/>
      <c r="D2059" s="1338"/>
      <c r="E2059" s="1338"/>
    </row>
    <row r="2060" spans="1:5" s="1266" customFormat="1">
      <c r="A2060" s="1311"/>
      <c r="B2060" s="1332" t="s">
        <v>2361</v>
      </c>
      <c r="C2060" s="1343" t="s">
        <v>1357</v>
      </c>
      <c r="D2060" s="1338">
        <v>50000</v>
      </c>
      <c r="E2060" s="1363">
        <f>D2060*$E$5</f>
        <v>53150</v>
      </c>
    </row>
    <row r="2061" spans="1:5" s="1266" customFormat="1">
      <c r="A2061" s="1311"/>
      <c r="B2061" s="1332"/>
      <c r="C2061" s="1343"/>
      <c r="D2061" s="1338"/>
      <c r="E2061" s="1338"/>
    </row>
    <row r="2062" spans="1:5" s="1266" customFormat="1">
      <c r="A2062" s="1311"/>
      <c r="B2062" s="1332" t="s">
        <v>2362</v>
      </c>
      <c r="C2062" s="1343" t="s">
        <v>1357</v>
      </c>
      <c r="D2062" s="1338">
        <v>50000</v>
      </c>
      <c r="E2062" s="1363">
        <f>D2062*$E$5</f>
        <v>53150</v>
      </c>
    </row>
    <row r="2063" spans="1:5" s="1266" customFormat="1">
      <c r="A2063" s="1311"/>
      <c r="B2063" s="1332"/>
      <c r="C2063" s="1343"/>
      <c r="D2063" s="1338"/>
      <c r="E2063" s="1338"/>
    </row>
    <row r="2064" spans="1:5" s="1266" customFormat="1">
      <c r="A2064" s="1311"/>
      <c r="B2064" s="1332" t="s">
        <v>2363</v>
      </c>
      <c r="C2064" s="1343" t="s">
        <v>1357</v>
      </c>
      <c r="D2064" s="1338">
        <v>50000</v>
      </c>
      <c r="E2064" s="1363">
        <f>D2064*$E$5</f>
        <v>53150</v>
      </c>
    </row>
    <row r="2065" spans="1:5" s="1266" customFormat="1">
      <c r="A2065" s="1311"/>
      <c r="B2065" s="1332"/>
      <c r="C2065" s="1343"/>
      <c r="D2065" s="1338"/>
      <c r="E2065" s="1338"/>
    </row>
    <row r="2066" spans="1:5" s="1266" customFormat="1">
      <c r="A2066" s="1311"/>
      <c r="B2066" s="1331" t="s">
        <v>2364</v>
      </c>
      <c r="C2066" s="1343"/>
      <c r="D2066" s="1338"/>
      <c r="E2066" s="1338"/>
    </row>
    <row r="2067" spans="1:5" s="1266" customFormat="1">
      <c r="A2067" s="1311"/>
      <c r="B2067" s="1332"/>
      <c r="C2067" s="1343"/>
      <c r="D2067" s="1338"/>
      <c r="E2067" s="1338"/>
    </row>
    <row r="2068" spans="1:5" s="1266" customFormat="1">
      <c r="A2068" s="1311"/>
      <c r="B2068" s="1332" t="s">
        <v>2365</v>
      </c>
      <c r="C2068" s="1343" t="s">
        <v>1357</v>
      </c>
      <c r="D2068" s="1338">
        <v>50000</v>
      </c>
      <c r="E2068" s="1363">
        <f>D2068*$E$5</f>
        <v>53150</v>
      </c>
    </row>
    <row r="2069" spans="1:5" s="1266" customFormat="1">
      <c r="A2069" s="1311"/>
      <c r="B2069" s="1332"/>
      <c r="C2069" s="1343"/>
      <c r="D2069" s="1338"/>
      <c r="E2069" s="1338"/>
    </row>
    <row r="2070" spans="1:5" s="1266" customFormat="1">
      <c r="A2070" s="1311"/>
      <c r="B2070" s="1331" t="s">
        <v>2366</v>
      </c>
      <c r="C2070" s="1343"/>
      <c r="D2070" s="1338"/>
      <c r="E2070" s="1338"/>
    </row>
    <row r="2071" spans="1:5" s="1266" customFormat="1">
      <c r="A2071" s="1311"/>
      <c r="B2071" s="1332"/>
      <c r="C2071" s="1343"/>
      <c r="D2071" s="1338"/>
      <c r="E2071" s="1338"/>
    </row>
    <row r="2072" spans="1:5" s="1266" customFormat="1">
      <c r="A2072" s="1311"/>
      <c r="B2072" s="1332" t="s">
        <v>2367</v>
      </c>
      <c r="C2072" s="1343" t="s">
        <v>1357</v>
      </c>
      <c r="D2072" s="1338">
        <v>50000</v>
      </c>
      <c r="E2072" s="1363">
        <f>D2072*$E$5</f>
        <v>53150</v>
      </c>
    </row>
    <row r="2073" spans="1:5" s="1266" customFormat="1">
      <c r="A2073" s="1311"/>
      <c r="B2073" s="1332"/>
      <c r="C2073" s="1343"/>
      <c r="D2073" s="1338"/>
      <c r="E2073" s="1338"/>
    </row>
    <row r="2074" spans="1:5" s="1266" customFormat="1">
      <c r="A2074" s="1311"/>
      <c r="B2074" s="1331" t="s">
        <v>2368</v>
      </c>
      <c r="C2074" s="1343"/>
      <c r="D2074" s="1338"/>
      <c r="E2074" s="1338"/>
    </row>
    <row r="2075" spans="1:5" s="1266" customFormat="1">
      <c r="A2075" s="1311"/>
      <c r="B2075" s="1332"/>
      <c r="C2075" s="1343"/>
      <c r="D2075" s="1338"/>
      <c r="E2075" s="1338"/>
    </row>
    <row r="2076" spans="1:5" s="1266" customFormat="1">
      <c r="A2076" s="1311"/>
      <c r="B2076" s="1332" t="s">
        <v>2369</v>
      </c>
      <c r="C2076" s="1343" t="s">
        <v>1357</v>
      </c>
      <c r="D2076" s="1338">
        <v>50000</v>
      </c>
      <c r="E2076" s="1363">
        <f>D2076*$E$5</f>
        <v>53150</v>
      </c>
    </row>
    <row r="2077" spans="1:5" s="1266" customFormat="1">
      <c r="A2077" s="1311"/>
      <c r="B2077" s="1332"/>
      <c r="C2077" s="1343"/>
      <c r="D2077" s="1338"/>
      <c r="E2077" s="1338"/>
    </row>
    <row r="2078" spans="1:5" s="1266" customFormat="1" ht="30">
      <c r="A2078" s="1311"/>
      <c r="B2078" s="1332" t="s">
        <v>2370</v>
      </c>
      <c r="C2078" s="1343" t="s">
        <v>1357</v>
      </c>
      <c r="D2078" s="1338">
        <v>50000</v>
      </c>
      <c r="E2078" s="1363">
        <f>D2078*$E$5</f>
        <v>53150</v>
      </c>
    </row>
    <row r="2079" spans="1:5" s="1266" customFormat="1">
      <c r="A2079" s="1311"/>
      <c r="B2079" s="1332"/>
      <c r="C2079" s="1343"/>
      <c r="D2079" s="1338"/>
      <c r="E2079" s="1338"/>
    </row>
    <row r="2080" spans="1:5" s="1266" customFormat="1" ht="30">
      <c r="A2080" s="1311"/>
      <c r="B2080" s="1332" t="s">
        <v>2371</v>
      </c>
      <c r="C2080" s="1343" t="s">
        <v>1357</v>
      </c>
      <c r="D2080" s="1338">
        <v>50000</v>
      </c>
      <c r="E2080" s="1363">
        <f>D2080*$E$5</f>
        <v>53150</v>
      </c>
    </row>
    <row r="2081" spans="1:5" s="1266" customFormat="1">
      <c r="A2081" s="1311"/>
      <c r="B2081" s="1332"/>
      <c r="C2081" s="1343"/>
      <c r="D2081" s="1338"/>
      <c r="E2081" s="1338"/>
    </row>
    <row r="2082" spans="1:5" s="1266" customFormat="1">
      <c r="A2082" s="1311"/>
      <c r="B2082" s="1331" t="s">
        <v>2372</v>
      </c>
      <c r="C2082" s="1343"/>
      <c r="D2082" s="1338"/>
      <c r="E2082" s="1338"/>
    </row>
    <row r="2083" spans="1:5" s="1266" customFormat="1">
      <c r="A2083" s="1311"/>
      <c r="B2083" s="1332"/>
      <c r="C2083" s="1343"/>
      <c r="D2083" s="1338"/>
      <c r="E2083" s="1338"/>
    </row>
    <row r="2084" spans="1:5" s="1266" customFormat="1" ht="26.25">
      <c r="A2084" s="1311"/>
      <c r="B2084" s="1331" t="s">
        <v>2373</v>
      </c>
      <c r="C2084" s="1343"/>
      <c r="D2084" s="1338"/>
      <c r="E2084" s="1338"/>
    </row>
    <row r="2085" spans="1:5" s="1266" customFormat="1">
      <c r="A2085" s="1311"/>
      <c r="B2085" s="1332"/>
      <c r="C2085" s="1343"/>
      <c r="D2085" s="1338"/>
      <c r="E2085" s="1338"/>
    </row>
    <row r="2086" spans="1:5" s="1266" customFormat="1">
      <c r="A2086" s="1311"/>
      <c r="B2086" s="1332" t="s">
        <v>2374</v>
      </c>
      <c r="C2086" s="1343" t="s">
        <v>1357</v>
      </c>
      <c r="D2086" s="1338">
        <v>50000</v>
      </c>
      <c r="E2086" s="1363">
        <f>D2086*$E$5</f>
        <v>53150</v>
      </c>
    </row>
    <row r="2087" spans="1:5" s="1266" customFormat="1">
      <c r="A2087" s="1311"/>
      <c r="B2087" s="1332"/>
      <c r="C2087" s="1343"/>
      <c r="D2087" s="1338"/>
      <c r="E2087" s="1338"/>
    </row>
    <row r="2088" spans="1:5" s="1266" customFormat="1">
      <c r="A2088" s="1311"/>
      <c r="B2088" s="1332" t="s">
        <v>2375</v>
      </c>
      <c r="C2088" s="1343" t="s">
        <v>1357</v>
      </c>
      <c r="D2088" s="1338">
        <v>50000</v>
      </c>
      <c r="E2088" s="1363">
        <f>D2088*$E$5</f>
        <v>53150</v>
      </c>
    </row>
    <row r="2089" spans="1:5" s="1266" customFormat="1">
      <c r="A2089" s="1311"/>
      <c r="B2089" s="1332"/>
      <c r="C2089" s="1343"/>
      <c r="D2089" s="1338"/>
      <c r="E2089" s="1338"/>
    </row>
    <row r="2090" spans="1:5" s="1266" customFormat="1">
      <c r="A2090" s="1311"/>
      <c r="B2090" s="1332" t="s">
        <v>2376</v>
      </c>
      <c r="C2090" s="1343" t="s">
        <v>1357</v>
      </c>
      <c r="D2090" s="1338">
        <v>50000</v>
      </c>
      <c r="E2090" s="1363">
        <f>D2090*$E$5</f>
        <v>53150</v>
      </c>
    </row>
    <row r="2091" spans="1:5" s="1266" customFormat="1">
      <c r="A2091" s="1311"/>
      <c r="B2091" s="1332"/>
      <c r="C2091" s="1343"/>
      <c r="D2091" s="1338"/>
      <c r="E2091" s="1338"/>
    </row>
    <row r="2092" spans="1:5" s="1266" customFormat="1">
      <c r="A2092" s="1311"/>
      <c r="B2092" s="1332" t="s">
        <v>2377</v>
      </c>
      <c r="C2092" s="1343" t="s">
        <v>1357</v>
      </c>
      <c r="D2092" s="1338">
        <v>50000</v>
      </c>
      <c r="E2092" s="1363">
        <f>D2092*$E$5</f>
        <v>53150</v>
      </c>
    </row>
    <row r="2093" spans="1:5" s="1266" customFormat="1">
      <c r="A2093" s="1311"/>
      <c r="B2093" s="1332"/>
      <c r="C2093" s="1343"/>
      <c r="D2093" s="1338"/>
      <c r="E2093" s="1338"/>
    </row>
    <row r="2094" spans="1:5" s="1266" customFormat="1">
      <c r="A2094" s="1311"/>
      <c r="B2094" s="1332" t="s">
        <v>2378</v>
      </c>
      <c r="C2094" s="1343" t="s">
        <v>1357</v>
      </c>
      <c r="D2094" s="1338">
        <v>50000</v>
      </c>
      <c r="E2094" s="1363">
        <f>D2094*$E$5</f>
        <v>53150</v>
      </c>
    </row>
    <row r="2095" spans="1:5" s="1266" customFormat="1">
      <c r="A2095" s="1311"/>
      <c r="B2095" s="1332"/>
      <c r="C2095" s="1343"/>
      <c r="D2095" s="1338"/>
      <c r="E2095" s="1338"/>
    </row>
    <row r="2096" spans="1:5" s="1266" customFormat="1">
      <c r="A2096" s="1311"/>
      <c r="B2096" s="1332" t="s">
        <v>2379</v>
      </c>
      <c r="C2096" s="1343" t="s">
        <v>1357</v>
      </c>
      <c r="D2096" s="1338">
        <v>50000</v>
      </c>
      <c r="E2096" s="1363">
        <f>D2096*$E$5</f>
        <v>53150</v>
      </c>
    </row>
    <row r="2097" spans="1:5" s="1266" customFormat="1">
      <c r="A2097" s="1311"/>
      <c r="B2097" s="1332"/>
      <c r="C2097" s="1343"/>
      <c r="D2097" s="1338"/>
      <c r="E2097" s="1338"/>
    </row>
    <row r="2098" spans="1:5" s="1266" customFormat="1">
      <c r="A2098" s="1311"/>
      <c r="B2098" s="1331" t="s">
        <v>2360</v>
      </c>
      <c r="C2098" s="1343"/>
      <c r="D2098" s="1338"/>
      <c r="E2098" s="1338"/>
    </row>
    <row r="2099" spans="1:5" s="1266" customFormat="1">
      <c r="A2099" s="1311"/>
      <c r="B2099" s="1332"/>
      <c r="C2099" s="1343"/>
      <c r="D2099" s="1338"/>
      <c r="E2099" s="1338"/>
    </row>
    <row r="2100" spans="1:5" s="1266" customFormat="1">
      <c r="A2100" s="1311"/>
      <c r="B2100" s="1332" t="s">
        <v>2380</v>
      </c>
      <c r="C2100" s="1343" t="s">
        <v>1357</v>
      </c>
      <c r="D2100" s="1338">
        <v>50000</v>
      </c>
      <c r="E2100" s="1363">
        <f>D2100*$E$5</f>
        <v>53150</v>
      </c>
    </row>
    <row r="2101" spans="1:5" s="1266" customFormat="1">
      <c r="A2101" s="1311"/>
      <c r="B2101" s="1332"/>
      <c r="C2101" s="1343"/>
      <c r="D2101" s="1338"/>
      <c r="E2101" s="1338"/>
    </row>
    <row r="2102" spans="1:5" s="1266" customFormat="1">
      <c r="A2102" s="1311"/>
      <c r="B2102" s="1332" t="s">
        <v>2381</v>
      </c>
      <c r="C2102" s="1343" t="s">
        <v>1357</v>
      </c>
      <c r="D2102" s="1338">
        <v>50000</v>
      </c>
      <c r="E2102" s="1363">
        <f>D2102*$E$5</f>
        <v>53150</v>
      </c>
    </row>
    <row r="2103" spans="1:5" s="1266" customFormat="1">
      <c r="A2103" s="1311"/>
      <c r="B2103" s="1332"/>
      <c r="C2103" s="1343"/>
      <c r="D2103" s="1338"/>
      <c r="E2103" s="1338"/>
    </row>
    <row r="2104" spans="1:5" s="1266" customFormat="1">
      <c r="A2104" s="1311"/>
      <c r="B2104" s="1332" t="s">
        <v>2382</v>
      </c>
      <c r="C2104" s="1343" t="s">
        <v>1357</v>
      </c>
      <c r="D2104" s="1338">
        <v>50000</v>
      </c>
      <c r="E2104" s="1363">
        <f>D2104*$E$5</f>
        <v>53150</v>
      </c>
    </row>
    <row r="2105" spans="1:5" s="1266" customFormat="1">
      <c r="A2105" s="1311"/>
      <c r="B2105" s="1332"/>
      <c r="C2105" s="1343"/>
      <c r="D2105" s="1338"/>
      <c r="E2105" s="1338"/>
    </row>
    <row r="2106" spans="1:5" s="1266" customFormat="1">
      <c r="A2106" s="1311"/>
      <c r="B2106" s="1332" t="s">
        <v>2383</v>
      </c>
      <c r="C2106" s="1343" t="s">
        <v>1357</v>
      </c>
      <c r="D2106" s="1338">
        <v>50000</v>
      </c>
      <c r="E2106" s="1363">
        <f>D2106*$E$5</f>
        <v>53150</v>
      </c>
    </row>
    <row r="2107" spans="1:5" s="1266" customFormat="1">
      <c r="A2107" s="1311"/>
      <c r="B2107" s="1332"/>
      <c r="C2107" s="1343"/>
      <c r="D2107" s="1338"/>
      <c r="E2107" s="1338"/>
    </row>
    <row r="2108" spans="1:5" s="1266" customFormat="1">
      <c r="A2108" s="1311"/>
      <c r="B2108" s="1332" t="s">
        <v>2384</v>
      </c>
      <c r="C2108" s="1343" t="s">
        <v>1357</v>
      </c>
      <c r="D2108" s="1338">
        <v>50000</v>
      </c>
      <c r="E2108" s="1363">
        <f>D2108*$E$5</f>
        <v>53150</v>
      </c>
    </row>
    <row r="2109" spans="1:5" s="1266" customFormat="1">
      <c r="A2109" s="1311"/>
      <c r="B2109" s="1332"/>
      <c r="C2109" s="1343"/>
      <c r="D2109" s="1338"/>
      <c r="E2109" s="1338"/>
    </row>
    <row r="2110" spans="1:5" s="1266" customFormat="1">
      <c r="A2110" s="1311"/>
      <c r="B2110" s="1332" t="s">
        <v>2385</v>
      </c>
      <c r="C2110" s="1343" t="s">
        <v>1357</v>
      </c>
      <c r="D2110" s="1338">
        <v>50000</v>
      </c>
      <c r="E2110" s="1363">
        <f>D2110*$E$5</f>
        <v>53150</v>
      </c>
    </row>
    <row r="2111" spans="1:5" s="1266" customFormat="1">
      <c r="A2111" s="1311"/>
      <c r="B2111" s="1332"/>
      <c r="C2111" s="1343"/>
      <c r="D2111" s="1338"/>
      <c r="E2111" s="1338"/>
    </row>
    <row r="2112" spans="1:5" s="1266" customFormat="1">
      <c r="A2112" s="1311"/>
      <c r="B2112" s="1331" t="s">
        <v>2386</v>
      </c>
      <c r="C2112" s="1343"/>
      <c r="D2112" s="1338"/>
      <c r="E2112" s="1338"/>
    </row>
    <row r="2113" spans="1:5" s="1266" customFormat="1">
      <c r="A2113" s="1311"/>
      <c r="B2113" s="1332"/>
      <c r="C2113" s="1343"/>
      <c r="D2113" s="1338"/>
      <c r="E2113" s="1338"/>
    </row>
    <row r="2114" spans="1:5" s="1266" customFormat="1">
      <c r="A2114" s="1311"/>
      <c r="B2114" s="1332" t="s">
        <v>2387</v>
      </c>
      <c r="C2114" s="1343" t="s">
        <v>1357</v>
      </c>
      <c r="D2114" s="1338">
        <v>50000</v>
      </c>
      <c r="E2114" s="1363">
        <f>D2114*$E$5</f>
        <v>53150</v>
      </c>
    </row>
    <row r="2115" spans="1:5" s="1266" customFormat="1">
      <c r="A2115" s="1311"/>
      <c r="B2115" s="1332"/>
      <c r="C2115" s="1343"/>
      <c r="D2115" s="1338"/>
      <c r="E2115" s="1338"/>
    </row>
    <row r="2116" spans="1:5" s="1266" customFormat="1" ht="30">
      <c r="A2116" s="1311"/>
      <c r="B2116" s="1332" t="s">
        <v>2388</v>
      </c>
      <c r="C2116" s="1343" t="s">
        <v>1357</v>
      </c>
      <c r="D2116" s="1338">
        <v>50000</v>
      </c>
      <c r="E2116" s="1363">
        <f>D2116*$E$5</f>
        <v>53150</v>
      </c>
    </row>
    <row r="2117" spans="1:5" s="1266" customFormat="1">
      <c r="A2117" s="1311"/>
      <c r="B2117" s="1332"/>
      <c r="C2117" s="1343"/>
      <c r="D2117" s="1338"/>
      <c r="E2117" s="1338"/>
    </row>
    <row r="2118" spans="1:5" s="1266" customFormat="1">
      <c r="A2118" s="1311"/>
      <c r="B2118" s="1312" t="s">
        <v>2389</v>
      </c>
      <c r="C2118" s="1343"/>
      <c r="D2118" s="1338"/>
      <c r="E2118" s="1338"/>
    </row>
    <row r="2119" spans="1:5" s="1266" customFormat="1">
      <c r="A2119" s="1311"/>
      <c r="B2119" s="1332"/>
      <c r="C2119" s="1343"/>
      <c r="D2119" s="1338"/>
      <c r="E2119" s="1338"/>
    </row>
    <row r="2120" spans="1:5" s="1266" customFormat="1">
      <c r="A2120" s="1311"/>
      <c r="B2120" s="1331" t="s">
        <v>2364</v>
      </c>
      <c r="C2120" s="1343"/>
      <c r="D2120" s="1338"/>
      <c r="E2120" s="1338"/>
    </row>
    <row r="2121" spans="1:5" s="1266" customFormat="1">
      <c r="A2121" s="1311"/>
      <c r="B2121" s="1332"/>
      <c r="C2121" s="1343"/>
      <c r="D2121" s="1338"/>
      <c r="E2121" s="1338"/>
    </row>
    <row r="2122" spans="1:5" s="1266" customFormat="1">
      <c r="A2122" s="1311"/>
      <c r="B2122" s="1332" t="s">
        <v>2365</v>
      </c>
      <c r="C2122" s="1343" t="s">
        <v>1357</v>
      </c>
      <c r="D2122" s="1338">
        <v>50000</v>
      </c>
      <c r="E2122" s="1363">
        <f>D2122*$E$5</f>
        <v>53150</v>
      </c>
    </row>
    <row r="2123" spans="1:5" s="1266" customFormat="1">
      <c r="A2123" s="1311"/>
      <c r="B2123" s="1332"/>
      <c r="C2123" s="1343"/>
      <c r="D2123" s="1338"/>
      <c r="E2123" s="1338"/>
    </row>
    <row r="2124" spans="1:5" s="1266" customFormat="1">
      <c r="A2124" s="1311"/>
      <c r="B2124" s="1331" t="s">
        <v>2390</v>
      </c>
      <c r="C2124" s="1343"/>
      <c r="D2124" s="1338"/>
      <c r="E2124" s="1338"/>
    </row>
    <row r="2125" spans="1:5" s="1266" customFormat="1">
      <c r="A2125" s="1311"/>
      <c r="B2125" s="1332"/>
      <c r="C2125" s="1343"/>
      <c r="D2125" s="1338"/>
      <c r="E2125" s="1338"/>
    </row>
    <row r="2126" spans="1:5" s="1266" customFormat="1" ht="30">
      <c r="A2126" s="1311"/>
      <c r="B2126" s="1332" t="s">
        <v>2391</v>
      </c>
      <c r="C2126" s="1343" t="s">
        <v>1357</v>
      </c>
      <c r="D2126" s="1338">
        <v>50000</v>
      </c>
      <c r="E2126" s="1363">
        <f>D2126*$E$5</f>
        <v>53150</v>
      </c>
    </row>
    <row r="2127" spans="1:5" s="1266" customFormat="1">
      <c r="A2127" s="1311"/>
      <c r="B2127" s="1332"/>
      <c r="C2127" s="1343"/>
      <c r="D2127" s="1338"/>
      <c r="E2127" s="1338"/>
    </row>
    <row r="2128" spans="1:5" s="1266" customFormat="1">
      <c r="A2128" s="1311"/>
      <c r="B2128" s="1312" t="s">
        <v>2392</v>
      </c>
      <c r="C2128" s="1343"/>
      <c r="D2128" s="1338"/>
      <c r="E2128" s="1338"/>
    </row>
    <row r="2129" spans="1:5" s="1266" customFormat="1">
      <c r="A2129" s="1311"/>
      <c r="B2129" s="1332"/>
      <c r="C2129" s="1343"/>
      <c r="D2129" s="1338"/>
      <c r="E2129" s="1338"/>
    </row>
    <row r="2130" spans="1:5" s="1266" customFormat="1">
      <c r="A2130" s="1311"/>
      <c r="B2130" s="1312" t="s">
        <v>2393</v>
      </c>
      <c r="C2130" s="1343"/>
      <c r="D2130" s="1338"/>
      <c r="E2130" s="1338"/>
    </row>
    <row r="2131" spans="1:5" s="1266" customFormat="1">
      <c r="A2131" s="1311"/>
      <c r="B2131" s="1332"/>
      <c r="C2131" s="1343"/>
      <c r="D2131" s="1338"/>
      <c r="E2131" s="1338"/>
    </row>
    <row r="2132" spans="1:5" s="1266" customFormat="1" ht="26.25">
      <c r="A2132" s="1311"/>
      <c r="B2132" s="1331" t="s">
        <v>2394</v>
      </c>
      <c r="C2132" s="1343"/>
      <c r="D2132" s="1338"/>
      <c r="E2132" s="1338"/>
    </row>
    <row r="2133" spans="1:5" s="1266" customFormat="1">
      <c r="A2133" s="1311"/>
      <c r="B2133" s="1332"/>
      <c r="C2133" s="1343"/>
      <c r="D2133" s="1338"/>
      <c r="E2133" s="1338"/>
    </row>
    <row r="2134" spans="1:5" s="1266" customFormat="1">
      <c r="A2134" s="1311"/>
      <c r="B2134" s="1332" t="s">
        <v>2395</v>
      </c>
      <c r="C2134" s="1343" t="s">
        <v>1357</v>
      </c>
      <c r="D2134" s="1338">
        <v>50000</v>
      </c>
      <c r="E2134" s="1363">
        <f>D2134*$E$5</f>
        <v>53150</v>
      </c>
    </row>
    <row r="2135" spans="1:5" s="1266" customFormat="1">
      <c r="A2135" s="1311"/>
      <c r="B2135" s="1332"/>
      <c r="C2135" s="1343"/>
      <c r="D2135" s="1338"/>
      <c r="E2135" s="1338"/>
    </row>
    <row r="2136" spans="1:5" s="1266" customFormat="1" ht="26.25">
      <c r="A2136" s="1311"/>
      <c r="B2136" s="1331" t="s">
        <v>2396</v>
      </c>
      <c r="C2136" s="1343"/>
      <c r="D2136" s="1338"/>
      <c r="E2136" s="1338"/>
    </row>
    <row r="2137" spans="1:5" s="1266" customFormat="1">
      <c r="A2137" s="1311"/>
      <c r="B2137" s="1332"/>
      <c r="C2137" s="1343"/>
      <c r="D2137" s="1338"/>
      <c r="E2137" s="1338"/>
    </row>
    <row r="2138" spans="1:5" s="1266" customFormat="1">
      <c r="A2138" s="1311"/>
      <c r="B2138" s="1332" t="s">
        <v>2397</v>
      </c>
      <c r="C2138" s="1343" t="s">
        <v>1357</v>
      </c>
      <c r="D2138" s="1338">
        <v>50000</v>
      </c>
      <c r="E2138" s="1363">
        <f>D2138*$E$5</f>
        <v>53150</v>
      </c>
    </row>
    <row r="2139" spans="1:5" s="1266" customFormat="1">
      <c r="A2139" s="1311"/>
      <c r="B2139" s="1332"/>
      <c r="C2139" s="1343"/>
      <c r="D2139" s="1338"/>
      <c r="E2139" s="1338"/>
    </row>
    <row r="2140" spans="1:5" s="1266" customFormat="1">
      <c r="A2140" s="1311"/>
      <c r="B2140" s="1332" t="s">
        <v>2398</v>
      </c>
      <c r="C2140" s="1343" t="s">
        <v>1357</v>
      </c>
      <c r="D2140" s="1338">
        <v>50000</v>
      </c>
      <c r="E2140" s="1363">
        <f>D2140*$E$5</f>
        <v>53150</v>
      </c>
    </row>
    <row r="2141" spans="1:5" s="1266" customFormat="1">
      <c r="A2141" s="1311"/>
      <c r="B2141" s="1332"/>
      <c r="C2141" s="1343"/>
      <c r="D2141" s="1338"/>
      <c r="E2141" s="1338"/>
    </row>
    <row r="2142" spans="1:5" s="1266" customFormat="1">
      <c r="A2142" s="1311"/>
      <c r="B2142" s="1332" t="s">
        <v>2399</v>
      </c>
      <c r="C2142" s="1343" t="s">
        <v>1357</v>
      </c>
      <c r="D2142" s="1338">
        <v>50000</v>
      </c>
      <c r="E2142" s="1363">
        <f>D2142*$E$5</f>
        <v>53150</v>
      </c>
    </row>
    <row r="2143" spans="1:5" s="1266" customFormat="1">
      <c r="A2143" s="1311"/>
      <c r="B2143" s="1332"/>
      <c r="C2143" s="1343"/>
      <c r="D2143" s="1338"/>
      <c r="E2143" s="1338"/>
    </row>
    <row r="2144" spans="1:5" s="1266" customFormat="1">
      <c r="A2144" s="1311"/>
      <c r="B2144" s="1332" t="s">
        <v>2400</v>
      </c>
      <c r="C2144" s="1343" t="s">
        <v>1357</v>
      </c>
      <c r="D2144" s="1338">
        <v>50000</v>
      </c>
      <c r="E2144" s="1363">
        <f>D2144*$E$5</f>
        <v>53150</v>
      </c>
    </row>
    <row r="2145" spans="1:5" s="1266" customFormat="1">
      <c r="A2145" s="1311"/>
      <c r="B2145" s="1332"/>
      <c r="C2145" s="1343"/>
      <c r="D2145" s="1338"/>
      <c r="E2145" s="1338"/>
    </row>
    <row r="2146" spans="1:5" s="1266" customFormat="1">
      <c r="A2146" s="1311"/>
      <c r="B2146" s="1332" t="s">
        <v>2401</v>
      </c>
      <c r="C2146" s="1343" t="s">
        <v>1357</v>
      </c>
      <c r="D2146" s="1338">
        <v>50000</v>
      </c>
      <c r="E2146" s="1363">
        <f>D2146*$E$5</f>
        <v>53150</v>
      </c>
    </row>
    <row r="2147" spans="1:5" s="1266" customFormat="1">
      <c r="A2147" s="1311"/>
      <c r="B2147" s="1332"/>
      <c r="C2147" s="1343"/>
      <c r="D2147" s="1338"/>
      <c r="E2147" s="1338"/>
    </row>
    <row r="2148" spans="1:5" s="1266" customFormat="1">
      <c r="A2148" s="1311"/>
      <c r="B2148" s="1332" t="s">
        <v>2402</v>
      </c>
      <c r="C2148" s="1343" t="s">
        <v>1357</v>
      </c>
      <c r="D2148" s="1338">
        <v>50000</v>
      </c>
      <c r="E2148" s="1363">
        <f>D2148*$E$5</f>
        <v>53150</v>
      </c>
    </row>
    <row r="2149" spans="1:5" s="1266" customFormat="1">
      <c r="A2149" s="1311"/>
      <c r="B2149" s="1332"/>
      <c r="C2149" s="1343"/>
      <c r="D2149" s="1338"/>
      <c r="E2149" s="1338"/>
    </row>
    <row r="2150" spans="1:5" s="1266" customFormat="1">
      <c r="A2150" s="1311"/>
      <c r="B2150" s="1332" t="s">
        <v>2403</v>
      </c>
      <c r="C2150" s="1343" t="s">
        <v>1357</v>
      </c>
      <c r="D2150" s="1338">
        <v>50000</v>
      </c>
      <c r="E2150" s="1363">
        <f>D2150*$E$5</f>
        <v>53150</v>
      </c>
    </row>
    <row r="2151" spans="1:5" s="1266" customFormat="1">
      <c r="A2151" s="1311"/>
      <c r="B2151" s="1332"/>
      <c r="C2151" s="1343"/>
      <c r="D2151" s="1338"/>
      <c r="E2151" s="1338"/>
    </row>
    <row r="2152" spans="1:5" s="1266" customFormat="1">
      <c r="A2152" s="1311"/>
      <c r="B2152" s="1332" t="s">
        <v>2404</v>
      </c>
      <c r="C2152" s="1343" t="s">
        <v>1357</v>
      </c>
      <c r="D2152" s="1338">
        <v>50000</v>
      </c>
      <c r="E2152" s="1363">
        <f>D2152*$E$5</f>
        <v>53150</v>
      </c>
    </row>
    <row r="2153" spans="1:5" s="1266" customFormat="1">
      <c r="A2153" s="1311"/>
      <c r="B2153" s="1332"/>
      <c r="C2153" s="1343"/>
      <c r="D2153" s="1338"/>
      <c r="E2153" s="1338"/>
    </row>
    <row r="2154" spans="1:5" s="1266" customFormat="1">
      <c r="A2154" s="1311"/>
      <c r="B2154" s="1332" t="s">
        <v>2405</v>
      </c>
      <c r="C2154" s="1343" t="s">
        <v>1357</v>
      </c>
      <c r="D2154" s="1338">
        <v>50000</v>
      </c>
      <c r="E2154" s="1363">
        <f>D2154*$E$5</f>
        <v>53150</v>
      </c>
    </row>
    <row r="2155" spans="1:5" s="1266" customFormat="1">
      <c r="A2155" s="1311"/>
      <c r="B2155" s="1332"/>
      <c r="C2155" s="1343"/>
      <c r="D2155" s="1338"/>
      <c r="E2155" s="1338"/>
    </row>
    <row r="2156" spans="1:5" s="1266" customFormat="1">
      <c r="A2156" s="1311"/>
      <c r="B2156" s="1332" t="s">
        <v>2406</v>
      </c>
      <c r="C2156" s="1343" t="s">
        <v>1357</v>
      </c>
      <c r="D2156" s="1338">
        <v>50000</v>
      </c>
      <c r="E2156" s="1363">
        <f>D2156*$E$5</f>
        <v>53150</v>
      </c>
    </row>
    <row r="2157" spans="1:5" s="1266" customFormat="1">
      <c r="A2157" s="1311"/>
      <c r="B2157" s="1332"/>
      <c r="C2157" s="1343"/>
      <c r="D2157" s="1338"/>
      <c r="E2157" s="1338"/>
    </row>
    <row r="2158" spans="1:5" s="1266" customFormat="1">
      <c r="A2158" s="1311"/>
      <c r="B2158" s="1332" t="s">
        <v>2407</v>
      </c>
      <c r="C2158" s="1343" t="s">
        <v>1357</v>
      </c>
      <c r="D2158" s="1338">
        <v>50000</v>
      </c>
      <c r="E2158" s="1363">
        <f>D2158*$E$5</f>
        <v>53150</v>
      </c>
    </row>
    <row r="2159" spans="1:5" s="1266" customFormat="1">
      <c r="A2159" s="1311"/>
      <c r="B2159" s="1332"/>
      <c r="C2159" s="1343"/>
      <c r="D2159" s="1338"/>
      <c r="E2159" s="1338"/>
    </row>
    <row r="2160" spans="1:5" s="1266" customFormat="1">
      <c r="A2160" s="1311"/>
      <c r="B2160" s="1332" t="s">
        <v>2408</v>
      </c>
      <c r="C2160" s="1343" t="s">
        <v>1357</v>
      </c>
      <c r="D2160" s="1338">
        <v>50000</v>
      </c>
      <c r="E2160" s="1363">
        <f>D2160*$E$5</f>
        <v>53150</v>
      </c>
    </row>
    <row r="2161" spans="1:5" s="1266" customFormat="1">
      <c r="A2161" s="1311"/>
      <c r="B2161" s="1332"/>
      <c r="C2161" s="1343"/>
      <c r="D2161" s="1338"/>
      <c r="E2161" s="1338"/>
    </row>
    <row r="2162" spans="1:5" s="1266" customFormat="1">
      <c r="A2162" s="1311"/>
      <c r="B2162" s="1332" t="s">
        <v>2409</v>
      </c>
      <c r="C2162" s="1343" t="s">
        <v>1357</v>
      </c>
      <c r="D2162" s="1338">
        <v>50000</v>
      </c>
      <c r="E2162" s="1363">
        <f>D2162*$E$5</f>
        <v>53150</v>
      </c>
    </row>
    <row r="2163" spans="1:5" s="1266" customFormat="1">
      <c r="A2163" s="1311"/>
      <c r="B2163" s="1332"/>
      <c r="C2163" s="1343"/>
      <c r="D2163" s="1338"/>
      <c r="E2163" s="1338"/>
    </row>
    <row r="2164" spans="1:5" s="1266" customFormat="1">
      <c r="A2164" s="1311"/>
      <c r="B2164" s="1332" t="s">
        <v>2410</v>
      </c>
      <c r="C2164" s="1343" t="s">
        <v>1357</v>
      </c>
      <c r="D2164" s="1338">
        <v>50000</v>
      </c>
      <c r="E2164" s="1363">
        <f>D2164*$E$5</f>
        <v>53150</v>
      </c>
    </row>
    <row r="2165" spans="1:5" s="1266" customFormat="1">
      <c r="A2165" s="1311"/>
      <c r="B2165" s="1332"/>
      <c r="C2165" s="1343"/>
      <c r="D2165" s="1338"/>
      <c r="E2165" s="1338"/>
    </row>
    <row r="2166" spans="1:5" s="1266" customFormat="1">
      <c r="A2166" s="1311"/>
      <c r="B2166" s="1331" t="s">
        <v>2360</v>
      </c>
      <c r="C2166" s="1343"/>
      <c r="D2166" s="1338"/>
      <c r="E2166" s="1338"/>
    </row>
    <row r="2167" spans="1:5" s="1266" customFormat="1">
      <c r="A2167" s="1311"/>
      <c r="B2167" s="1332"/>
      <c r="C2167" s="1343"/>
      <c r="D2167" s="1338"/>
      <c r="E2167" s="1338"/>
    </row>
    <row r="2168" spans="1:5" s="1266" customFormat="1">
      <c r="A2168" s="1311"/>
      <c r="B2168" s="1332" t="s">
        <v>2411</v>
      </c>
      <c r="C2168" s="1343" t="s">
        <v>1357</v>
      </c>
      <c r="D2168" s="1338">
        <v>50000</v>
      </c>
      <c r="E2168" s="1363">
        <f>D2168*$E$5</f>
        <v>53150</v>
      </c>
    </row>
    <row r="2169" spans="1:5" s="1266" customFormat="1">
      <c r="A2169" s="1311"/>
      <c r="B2169" s="1332"/>
      <c r="C2169" s="1343"/>
      <c r="D2169" s="1338"/>
      <c r="E2169" s="1338"/>
    </row>
    <row r="2170" spans="1:5" s="1266" customFormat="1">
      <c r="A2170" s="1311"/>
      <c r="B2170" s="1332" t="s">
        <v>2412</v>
      </c>
      <c r="C2170" s="1343" t="s">
        <v>1357</v>
      </c>
      <c r="D2170" s="1338">
        <v>50000</v>
      </c>
      <c r="E2170" s="1363">
        <f>D2170*$E$5</f>
        <v>53150</v>
      </c>
    </row>
    <row r="2171" spans="1:5" s="1266" customFormat="1">
      <c r="A2171" s="1311"/>
      <c r="B2171" s="1332"/>
      <c r="C2171" s="1343"/>
      <c r="D2171" s="1338"/>
      <c r="E2171" s="1338"/>
    </row>
    <row r="2172" spans="1:5" s="1266" customFormat="1">
      <c r="A2172" s="1311"/>
      <c r="B2172" s="1332" t="s">
        <v>2413</v>
      </c>
      <c r="C2172" s="1343" t="s">
        <v>1357</v>
      </c>
      <c r="D2172" s="1338">
        <v>50000</v>
      </c>
      <c r="E2172" s="1363">
        <f>D2172*$E$5</f>
        <v>53150</v>
      </c>
    </row>
    <row r="2173" spans="1:5" s="1266" customFormat="1">
      <c r="A2173" s="1311"/>
      <c r="B2173" s="1332"/>
      <c r="C2173" s="1343"/>
      <c r="D2173" s="1338"/>
      <c r="E2173" s="1338"/>
    </row>
    <row r="2174" spans="1:5" s="1266" customFormat="1">
      <c r="A2174" s="1311"/>
      <c r="B2174" s="1332" t="s">
        <v>2414</v>
      </c>
      <c r="C2174" s="1343" t="s">
        <v>1357</v>
      </c>
      <c r="D2174" s="1338">
        <v>50000</v>
      </c>
      <c r="E2174" s="1363">
        <f>D2174*$E$5</f>
        <v>53150</v>
      </c>
    </row>
    <row r="2175" spans="1:5" s="1266" customFormat="1">
      <c r="A2175" s="1311"/>
      <c r="B2175" s="1332"/>
      <c r="C2175" s="1343"/>
      <c r="D2175" s="1338"/>
      <c r="E2175" s="1338"/>
    </row>
    <row r="2176" spans="1:5" s="1266" customFormat="1">
      <c r="A2176" s="1311"/>
      <c r="B2176" s="1332" t="s">
        <v>2415</v>
      </c>
      <c r="C2176" s="1343" t="s">
        <v>1357</v>
      </c>
      <c r="D2176" s="1338">
        <v>50000</v>
      </c>
      <c r="E2176" s="1363">
        <f>D2176*$E$5</f>
        <v>53150</v>
      </c>
    </row>
    <row r="2177" spans="1:5" s="1266" customFormat="1">
      <c r="A2177" s="1311"/>
      <c r="B2177" s="1332"/>
      <c r="C2177" s="1343"/>
      <c r="D2177" s="1338"/>
      <c r="E2177" s="1338"/>
    </row>
    <row r="2178" spans="1:5" s="1266" customFormat="1">
      <c r="A2178" s="1311"/>
      <c r="B2178" s="1332" t="s">
        <v>2416</v>
      </c>
      <c r="C2178" s="1343" t="s">
        <v>1357</v>
      </c>
      <c r="D2178" s="1338">
        <v>50000</v>
      </c>
      <c r="E2178" s="1363">
        <f>D2178*$E$5</f>
        <v>53150</v>
      </c>
    </row>
    <row r="2179" spans="1:5" s="1266" customFormat="1">
      <c r="A2179" s="1311"/>
      <c r="B2179" s="1332"/>
      <c r="C2179" s="1343"/>
      <c r="D2179" s="1338"/>
      <c r="E2179" s="1338"/>
    </row>
    <row r="2180" spans="1:5" s="1266" customFormat="1">
      <c r="A2180" s="1311"/>
      <c r="B2180" s="1332" t="s">
        <v>2417</v>
      </c>
      <c r="C2180" s="1343" t="s">
        <v>1357</v>
      </c>
      <c r="D2180" s="1338">
        <v>50000</v>
      </c>
      <c r="E2180" s="1363">
        <f>D2180*$E$5</f>
        <v>53150</v>
      </c>
    </row>
    <row r="2181" spans="1:5" s="1266" customFormat="1">
      <c r="A2181" s="1311"/>
      <c r="B2181" s="1332"/>
      <c r="C2181" s="1343"/>
      <c r="D2181" s="1338"/>
      <c r="E2181" s="1338"/>
    </row>
    <row r="2182" spans="1:5" s="1266" customFormat="1">
      <c r="A2182" s="1311"/>
      <c r="B2182" s="1332" t="s">
        <v>2418</v>
      </c>
      <c r="C2182" s="1343" t="s">
        <v>1357</v>
      </c>
      <c r="D2182" s="1338">
        <v>50000</v>
      </c>
      <c r="E2182" s="1363">
        <f>D2182*$E$5</f>
        <v>53150</v>
      </c>
    </row>
    <row r="2183" spans="1:5" s="1266" customFormat="1">
      <c r="A2183" s="1311"/>
      <c r="B2183" s="1332"/>
      <c r="C2183" s="1343"/>
      <c r="D2183" s="1338"/>
      <c r="E2183" s="1338"/>
    </row>
    <row r="2184" spans="1:5" s="1266" customFormat="1">
      <c r="A2184" s="1311"/>
      <c r="B2184" s="1332" t="s">
        <v>2419</v>
      </c>
      <c r="C2184" s="1343" t="s">
        <v>1357</v>
      </c>
      <c r="D2184" s="1338">
        <v>50000</v>
      </c>
      <c r="E2184" s="1363">
        <f>D2184*$E$5</f>
        <v>53150</v>
      </c>
    </row>
    <row r="2185" spans="1:5" s="1266" customFormat="1">
      <c r="A2185" s="1311"/>
      <c r="B2185" s="1332"/>
      <c r="C2185" s="1343"/>
      <c r="D2185" s="1338"/>
      <c r="E2185" s="1338"/>
    </row>
    <row r="2186" spans="1:5" s="1266" customFormat="1">
      <c r="A2186" s="1311"/>
      <c r="B2186" s="1332" t="s">
        <v>2420</v>
      </c>
      <c r="C2186" s="1343" t="s">
        <v>1357</v>
      </c>
      <c r="D2186" s="1338">
        <v>50000</v>
      </c>
      <c r="E2186" s="1363">
        <f>D2186*$E$5</f>
        <v>53150</v>
      </c>
    </row>
    <row r="2187" spans="1:5" s="1266" customFormat="1">
      <c r="A2187" s="1311"/>
      <c r="B2187" s="1332"/>
      <c r="C2187" s="1343"/>
      <c r="D2187" s="1338"/>
      <c r="E2187" s="1338"/>
    </row>
    <row r="2188" spans="1:5" s="1266" customFormat="1">
      <c r="A2188" s="1311"/>
      <c r="B2188" s="1331" t="s">
        <v>2421</v>
      </c>
      <c r="C2188" s="1343"/>
      <c r="D2188" s="1338"/>
      <c r="E2188" s="1338"/>
    </row>
    <row r="2189" spans="1:5" s="1266" customFormat="1">
      <c r="A2189" s="1311"/>
      <c r="B2189" s="1332"/>
      <c r="C2189" s="1343"/>
      <c r="D2189" s="1338"/>
      <c r="E2189" s="1338"/>
    </row>
    <row r="2190" spans="1:5" s="1266" customFormat="1">
      <c r="A2190" s="1311"/>
      <c r="B2190" s="1332" t="s">
        <v>2369</v>
      </c>
      <c r="C2190" s="1343" t="s">
        <v>1357</v>
      </c>
      <c r="D2190" s="1338">
        <v>50000</v>
      </c>
      <c r="E2190" s="1363">
        <f>D2190*$E$5</f>
        <v>53150</v>
      </c>
    </row>
    <row r="2191" spans="1:5" s="1266" customFormat="1">
      <c r="A2191" s="1311"/>
      <c r="B2191" s="1332"/>
      <c r="C2191" s="1343"/>
      <c r="D2191" s="1338"/>
      <c r="E2191" s="1338"/>
    </row>
    <row r="2192" spans="1:5" s="1266" customFormat="1">
      <c r="A2192" s="1311"/>
      <c r="B2192" s="1332" t="s">
        <v>2422</v>
      </c>
      <c r="C2192" s="1343" t="s">
        <v>217</v>
      </c>
      <c r="D2192" s="1338">
        <v>650</v>
      </c>
      <c r="E2192" s="1363">
        <f>D2192*$E$5</f>
        <v>690.94999999999993</v>
      </c>
    </row>
    <row r="2193" spans="1:5" s="1266" customFormat="1">
      <c r="A2193" s="1311"/>
      <c r="B2193" s="1332"/>
      <c r="C2193" s="1343"/>
      <c r="D2193" s="1338"/>
      <c r="E2193" s="1338"/>
    </row>
    <row r="2194" spans="1:5" s="1266" customFormat="1" ht="30">
      <c r="A2194" s="1311"/>
      <c r="B2194" s="1332" t="s">
        <v>2423</v>
      </c>
      <c r="C2194" s="1343" t="s">
        <v>217</v>
      </c>
      <c r="D2194" s="1338">
        <v>650</v>
      </c>
      <c r="E2194" s="1363">
        <f>D2194*$E$5</f>
        <v>690.94999999999993</v>
      </c>
    </row>
    <row r="2195" spans="1:5" s="1266" customFormat="1">
      <c r="A2195" s="1311"/>
      <c r="B2195" s="1332"/>
      <c r="C2195" s="1343"/>
      <c r="D2195" s="1338"/>
      <c r="E2195" s="1338"/>
    </row>
    <row r="2196" spans="1:5" s="1266" customFormat="1">
      <c r="A2196" s="1311"/>
      <c r="B2196" s="1312" t="s">
        <v>2424</v>
      </c>
      <c r="C2196" s="1343"/>
      <c r="D2196" s="1338"/>
      <c r="E2196" s="1338"/>
    </row>
    <row r="2197" spans="1:5" s="1266" customFormat="1">
      <c r="A2197" s="1311"/>
      <c r="B2197" s="1332"/>
      <c r="C2197" s="1343"/>
      <c r="D2197" s="1338"/>
      <c r="E2197" s="1338"/>
    </row>
    <row r="2198" spans="1:5" s="1266" customFormat="1">
      <c r="A2198" s="1311"/>
      <c r="B2198" s="1331" t="s">
        <v>2425</v>
      </c>
      <c r="C2198" s="1343"/>
      <c r="D2198" s="1338"/>
      <c r="E2198" s="1338"/>
    </row>
    <row r="2199" spans="1:5" s="1266" customFormat="1">
      <c r="A2199" s="1311"/>
      <c r="B2199" s="1332"/>
      <c r="C2199" s="1343"/>
      <c r="D2199" s="1338"/>
      <c r="E2199" s="1338"/>
    </row>
    <row r="2200" spans="1:5" s="1266" customFormat="1">
      <c r="A2200" s="1311"/>
      <c r="B2200" s="1332" t="s">
        <v>2365</v>
      </c>
      <c r="C2200" s="1343" t="s">
        <v>1357</v>
      </c>
      <c r="D2200" s="1338">
        <v>50000</v>
      </c>
      <c r="E2200" s="1363">
        <f>D2200*$E$5</f>
        <v>53150</v>
      </c>
    </row>
    <row r="2201" spans="1:5" s="1266" customFormat="1">
      <c r="A2201" s="1311"/>
      <c r="B2201" s="1332"/>
      <c r="C2201" s="1343"/>
      <c r="D2201" s="1338"/>
      <c r="E2201" s="1338"/>
    </row>
    <row r="2202" spans="1:5" s="1266" customFormat="1">
      <c r="A2202" s="1311"/>
      <c r="B2202" s="1332" t="s">
        <v>2426</v>
      </c>
      <c r="C2202" s="1343" t="s">
        <v>1357</v>
      </c>
      <c r="D2202" s="1338">
        <v>50000</v>
      </c>
      <c r="E2202" s="1363">
        <f>D2202*$E$5</f>
        <v>53150</v>
      </c>
    </row>
    <row r="2203" spans="1:5" s="1266" customFormat="1">
      <c r="A2203" s="1311"/>
      <c r="B2203" s="1332"/>
      <c r="C2203" s="1343"/>
      <c r="D2203" s="1338"/>
      <c r="E2203" s="1338"/>
    </row>
    <row r="2204" spans="1:5" s="1266" customFormat="1">
      <c r="A2204" s="1311"/>
      <c r="B2204" s="1331" t="s">
        <v>2427</v>
      </c>
      <c r="C2204" s="1343"/>
      <c r="D2204" s="1338"/>
      <c r="E2204" s="1338"/>
    </row>
    <row r="2205" spans="1:5" s="1266" customFormat="1">
      <c r="A2205" s="1311"/>
      <c r="B2205" s="1332"/>
      <c r="C2205" s="1343"/>
      <c r="D2205" s="1338"/>
      <c r="E2205" s="1338"/>
    </row>
    <row r="2206" spans="1:5" s="1266" customFormat="1">
      <c r="A2206" s="1311"/>
      <c r="B2206" s="1332" t="s">
        <v>2369</v>
      </c>
      <c r="C2206" s="1343" t="s">
        <v>1357</v>
      </c>
      <c r="D2206" s="1338">
        <v>50000</v>
      </c>
      <c r="E2206" s="1363">
        <f>D2206*$E$5</f>
        <v>53150</v>
      </c>
    </row>
    <row r="2207" spans="1:5" s="1266" customFormat="1">
      <c r="A2207" s="1311"/>
      <c r="B2207" s="1332"/>
      <c r="C2207" s="1343"/>
      <c r="D2207" s="1338"/>
      <c r="E2207" s="1338"/>
    </row>
    <row r="2208" spans="1:5" s="1266" customFormat="1">
      <c r="A2208" s="1311"/>
      <c r="B2208" s="1312" t="s">
        <v>1663</v>
      </c>
      <c r="C2208" s="1343"/>
      <c r="D2208" s="1338"/>
      <c r="E2208" s="1338"/>
    </row>
    <row r="2209" spans="1:5" s="1266" customFormat="1">
      <c r="A2209" s="1311"/>
      <c r="B2209" s="1332"/>
      <c r="C2209" s="1343"/>
      <c r="D2209" s="1338"/>
      <c r="E2209" s="1338"/>
    </row>
    <row r="2210" spans="1:5" s="1266" customFormat="1" ht="26.25">
      <c r="A2210" s="1311"/>
      <c r="B2210" s="1312" t="s">
        <v>2428</v>
      </c>
      <c r="C2210" s="1343"/>
      <c r="D2210" s="1338"/>
      <c r="E2210" s="1338"/>
    </row>
    <row r="2211" spans="1:5" s="1266" customFormat="1">
      <c r="A2211" s="1311"/>
      <c r="B2211" s="1332"/>
      <c r="C2211" s="1343"/>
      <c r="D2211" s="1338"/>
      <c r="E2211" s="1338"/>
    </row>
    <row r="2212" spans="1:5" s="1266" customFormat="1" ht="39">
      <c r="A2212" s="1311"/>
      <c r="B2212" s="1331" t="s">
        <v>3415</v>
      </c>
      <c r="C2212" s="1343"/>
      <c r="D2212" s="1338"/>
      <c r="E2212" s="1338"/>
    </row>
    <row r="2213" spans="1:5" s="1266" customFormat="1">
      <c r="A2213" s="1311"/>
      <c r="B2213" s="1332"/>
      <c r="C2213" s="1343"/>
      <c r="D2213" s="1338"/>
      <c r="E2213" s="1338"/>
    </row>
    <row r="2214" spans="1:5" s="1266" customFormat="1">
      <c r="A2214" s="1311"/>
      <c r="B2214" s="1332" t="s">
        <v>2429</v>
      </c>
      <c r="C2214" s="1343" t="s">
        <v>215</v>
      </c>
      <c r="D2214" s="1338">
        <v>2000</v>
      </c>
      <c r="E2214" s="1363">
        <f>D2214*$E$5</f>
        <v>2126</v>
      </c>
    </row>
    <row r="2215" spans="1:5" s="1266" customFormat="1">
      <c r="A2215" s="1311"/>
      <c r="B2215" s="1332"/>
      <c r="C2215" s="1343"/>
      <c r="D2215" s="1338"/>
      <c r="E2215" s="1338"/>
    </row>
    <row r="2216" spans="1:5" s="1266" customFormat="1">
      <c r="A2216" s="1311"/>
      <c r="B2216" s="1332" t="s">
        <v>2430</v>
      </c>
      <c r="C2216" s="1343" t="s">
        <v>215</v>
      </c>
      <c r="D2216" s="1338">
        <v>2100</v>
      </c>
      <c r="E2216" s="1363">
        <f>D2216*$E$5</f>
        <v>2232.2999999999997</v>
      </c>
    </row>
    <row r="2217" spans="1:5" s="1266" customFormat="1">
      <c r="A2217" s="1311"/>
      <c r="B2217" s="1332"/>
      <c r="C2217" s="1343"/>
      <c r="D2217" s="1338"/>
      <c r="E2217" s="1338"/>
    </row>
    <row r="2218" spans="1:5" s="1266" customFormat="1">
      <c r="A2218" s="1311"/>
      <c r="B2218" s="1332" t="s">
        <v>2431</v>
      </c>
      <c r="C2218" s="1343" t="s">
        <v>217</v>
      </c>
      <c r="D2218" s="1338">
        <v>200</v>
      </c>
      <c r="E2218" s="1363">
        <f>D2218*$E$5</f>
        <v>212.6</v>
      </c>
    </row>
    <row r="2219" spans="1:5" s="1266" customFormat="1">
      <c r="A2219" s="1311"/>
      <c r="B2219" s="1332"/>
      <c r="C2219" s="1343"/>
      <c r="D2219" s="1338"/>
      <c r="E2219" s="1338"/>
    </row>
    <row r="2220" spans="1:5" s="1266" customFormat="1">
      <c r="A2220" s="1311"/>
      <c r="B2220" s="1332" t="s">
        <v>2432</v>
      </c>
      <c r="C2220" s="1343" t="s">
        <v>217</v>
      </c>
      <c r="D2220" s="1338">
        <v>300</v>
      </c>
      <c r="E2220" s="1363">
        <f>D2220*$E$5</f>
        <v>318.89999999999998</v>
      </c>
    </row>
    <row r="2221" spans="1:5" s="1266" customFormat="1">
      <c r="A2221" s="1311"/>
      <c r="B2221" s="1332"/>
      <c r="C2221" s="1343"/>
      <c r="D2221" s="1338"/>
      <c r="E2221" s="1338"/>
    </row>
    <row r="2222" spans="1:5" s="1266" customFormat="1" ht="26.25">
      <c r="A2222" s="1311"/>
      <c r="B2222" s="1312" t="s">
        <v>2433</v>
      </c>
      <c r="C2222" s="1343"/>
      <c r="D2222" s="1338"/>
      <c r="E2222" s="1338"/>
    </row>
    <row r="2223" spans="1:5" s="1266" customFormat="1">
      <c r="A2223" s="1311"/>
      <c r="B2223" s="1332"/>
      <c r="C2223" s="1343"/>
      <c r="D2223" s="1338"/>
      <c r="E2223" s="1338"/>
    </row>
    <row r="2224" spans="1:5" s="1266" customFormat="1" ht="39">
      <c r="A2224" s="1311"/>
      <c r="B2224" s="1331" t="s">
        <v>3414</v>
      </c>
      <c r="C2224" s="1343"/>
      <c r="D2224" s="1338"/>
      <c r="E2224" s="1338"/>
    </row>
    <row r="2225" spans="1:5" s="1266" customFormat="1">
      <c r="A2225" s="1311"/>
      <c r="B2225" s="1332"/>
      <c r="C2225" s="1343"/>
      <c r="D2225" s="1338"/>
      <c r="E2225" s="1338"/>
    </row>
    <row r="2226" spans="1:5" s="1266" customFormat="1" ht="45">
      <c r="A2226" s="1311"/>
      <c r="B2226" s="1332" t="s">
        <v>2434</v>
      </c>
      <c r="C2226" s="1343" t="s">
        <v>217</v>
      </c>
      <c r="D2226" s="1338">
        <v>6000</v>
      </c>
      <c r="E2226" s="1363">
        <f>D2226*$E$5</f>
        <v>6378</v>
      </c>
    </row>
    <row r="2227" spans="1:5" s="1266" customFormat="1">
      <c r="A2227" s="1311"/>
      <c r="B2227" s="1332"/>
      <c r="C2227" s="1343"/>
      <c r="D2227" s="1338"/>
      <c r="E2227" s="1338"/>
    </row>
    <row r="2228" spans="1:5" s="1266" customFormat="1" ht="45">
      <c r="A2228" s="1311"/>
      <c r="B2228" s="1332" t="s">
        <v>2435</v>
      </c>
      <c r="C2228" s="1343" t="s">
        <v>217</v>
      </c>
      <c r="D2228" s="1338">
        <v>12000</v>
      </c>
      <c r="E2228" s="1363">
        <f>D2228*$E$5</f>
        <v>12756</v>
      </c>
    </row>
    <row r="2229" spans="1:5" s="1266" customFormat="1">
      <c r="A2229" s="1311"/>
      <c r="B2229" s="1332"/>
      <c r="C2229" s="1343"/>
      <c r="D2229" s="1338"/>
      <c r="E2229" s="1338"/>
    </row>
    <row r="2230" spans="1:5" s="1266" customFormat="1" ht="45">
      <c r="A2230" s="1311"/>
      <c r="B2230" s="1332" t="s">
        <v>2436</v>
      </c>
      <c r="C2230" s="1343" t="s">
        <v>217</v>
      </c>
      <c r="D2230" s="1338">
        <v>10850</v>
      </c>
      <c r="E2230" s="1363">
        <f>D2230*$E$5</f>
        <v>11533.55</v>
      </c>
    </row>
    <row r="2231" spans="1:5" s="1266" customFormat="1">
      <c r="A2231" s="1311"/>
      <c r="B2231" s="1332"/>
      <c r="C2231" s="1343"/>
      <c r="D2231" s="1338"/>
      <c r="E2231" s="1338"/>
    </row>
    <row r="2232" spans="1:5" s="1266" customFormat="1" ht="45">
      <c r="A2232" s="1311"/>
      <c r="B2232" s="1332" t="s">
        <v>2437</v>
      </c>
      <c r="C2232" s="1343" t="s">
        <v>217</v>
      </c>
      <c r="D2232" s="1338">
        <v>11000</v>
      </c>
      <c r="E2232" s="1363">
        <f>D2232*$E$5</f>
        <v>11693</v>
      </c>
    </row>
    <row r="2233" spans="1:5" s="1266" customFormat="1">
      <c r="A2233" s="1311"/>
      <c r="B2233" s="1332"/>
      <c r="C2233" s="1343"/>
      <c r="D2233" s="1338"/>
      <c r="E2233" s="1338"/>
    </row>
    <row r="2234" spans="1:5" s="1266" customFormat="1" ht="45">
      <c r="A2234" s="1311"/>
      <c r="B2234" s="1332" t="s">
        <v>2438</v>
      </c>
      <c r="C2234" s="1343" t="s">
        <v>217</v>
      </c>
      <c r="D2234" s="1338">
        <v>5500</v>
      </c>
      <c r="E2234" s="1363">
        <f>D2234*$E$5</f>
        <v>5846.5</v>
      </c>
    </row>
    <row r="2235" spans="1:5" s="1266" customFormat="1">
      <c r="A2235" s="1311"/>
      <c r="B2235" s="1332"/>
      <c r="C2235" s="1343"/>
      <c r="D2235" s="1338"/>
      <c r="E2235" s="1338"/>
    </row>
    <row r="2236" spans="1:5" s="1266" customFormat="1" ht="45">
      <c r="A2236" s="1311"/>
      <c r="B2236" s="1332" t="s">
        <v>2439</v>
      </c>
      <c r="C2236" s="1343" t="s">
        <v>217</v>
      </c>
      <c r="D2236" s="1338">
        <v>12350</v>
      </c>
      <c r="E2236" s="1363">
        <f>D2236*$E$5</f>
        <v>13128.05</v>
      </c>
    </row>
    <row r="2237" spans="1:5" s="1266" customFormat="1">
      <c r="A2237" s="1311"/>
      <c r="B2237" s="1332"/>
      <c r="C2237" s="1343"/>
      <c r="D2237" s="1338"/>
      <c r="E2237" s="1338"/>
    </row>
    <row r="2238" spans="1:5" s="1266" customFormat="1" ht="45">
      <c r="A2238" s="1311"/>
      <c r="B2238" s="1332" t="s">
        <v>2440</v>
      </c>
      <c r="C2238" s="1343" t="s">
        <v>217</v>
      </c>
      <c r="D2238" s="1338">
        <v>6200</v>
      </c>
      <c r="E2238" s="1363">
        <f>D2238*$E$5</f>
        <v>6590.5999999999995</v>
      </c>
    </row>
    <row r="2239" spans="1:5" s="1266" customFormat="1">
      <c r="A2239" s="1311"/>
      <c r="B2239" s="1332"/>
      <c r="C2239" s="1343"/>
      <c r="D2239" s="1338"/>
      <c r="E2239" s="1338"/>
    </row>
    <row r="2240" spans="1:5" s="1266" customFormat="1" ht="45">
      <c r="A2240" s="1311"/>
      <c r="B2240" s="1332" t="s">
        <v>2441</v>
      </c>
      <c r="C2240" s="1343" t="s">
        <v>217</v>
      </c>
      <c r="D2240" s="1338">
        <v>6500</v>
      </c>
      <c r="E2240" s="1363">
        <f>D2240*$E$5</f>
        <v>6909.5</v>
      </c>
    </row>
    <row r="2241" spans="1:5" s="1266" customFormat="1">
      <c r="A2241" s="1311"/>
      <c r="B2241" s="1332"/>
      <c r="C2241" s="1343"/>
      <c r="D2241" s="1338"/>
      <c r="E2241" s="1338"/>
    </row>
    <row r="2242" spans="1:5" s="1266" customFormat="1" ht="45">
      <c r="A2242" s="1311"/>
      <c r="B2242" s="1332" t="s">
        <v>2442</v>
      </c>
      <c r="C2242" s="1343" t="s">
        <v>217</v>
      </c>
      <c r="D2242" s="1338">
        <v>13700</v>
      </c>
      <c r="E2242" s="1363">
        <f>D2242*$E$5</f>
        <v>14563.099999999999</v>
      </c>
    </row>
    <row r="2243" spans="1:5" s="1266" customFormat="1">
      <c r="A2243" s="1311"/>
      <c r="B2243" s="1332"/>
      <c r="C2243" s="1343"/>
      <c r="D2243" s="1338"/>
      <c r="E2243" s="1338"/>
    </row>
    <row r="2244" spans="1:5" s="1266" customFormat="1" ht="45">
      <c r="A2244" s="1311"/>
      <c r="B2244" s="1332" t="s">
        <v>2443</v>
      </c>
      <c r="C2244" s="1343" t="s">
        <v>217</v>
      </c>
      <c r="D2244" s="1338">
        <v>3900</v>
      </c>
      <c r="E2244" s="1363">
        <f>D2244*$E$5</f>
        <v>4145.7</v>
      </c>
    </row>
    <row r="2245" spans="1:5" s="1266" customFormat="1">
      <c r="A2245" s="1311"/>
      <c r="B2245" s="1332"/>
      <c r="C2245" s="1343"/>
      <c r="D2245" s="1338"/>
      <c r="E2245" s="1338"/>
    </row>
    <row r="2246" spans="1:5" s="1266" customFormat="1" ht="45">
      <c r="A2246" s="1311"/>
      <c r="B2246" s="1332" t="s">
        <v>2444</v>
      </c>
      <c r="C2246" s="1343" t="s">
        <v>217</v>
      </c>
      <c r="D2246" s="1338">
        <v>10000</v>
      </c>
      <c r="E2246" s="1363">
        <f>D2246*$E$5</f>
        <v>10630</v>
      </c>
    </row>
    <row r="2247" spans="1:5" s="1266" customFormat="1">
      <c r="A2247" s="1311"/>
      <c r="B2247" s="1332"/>
      <c r="C2247" s="1343"/>
      <c r="D2247" s="1338"/>
      <c r="E2247" s="1338"/>
    </row>
    <row r="2248" spans="1:5" s="1266" customFormat="1" ht="39">
      <c r="A2248" s="1311"/>
      <c r="B2248" s="1331" t="s">
        <v>3351</v>
      </c>
      <c r="C2248" s="1343"/>
      <c r="D2248" s="1338"/>
      <c r="E2248" s="1338"/>
    </row>
    <row r="2249" spans="1:5" s="1266" customFormat="1">
      <c r="A2249" s="1311"/>
      <c r="B2249" s="1332"/>
      <c r="C2249" s="1343"/>
      <c r="D2249" s="1338"/>
      <c r="E2249" s="1338"/>
    </row>
    <row r="2250" spans="1:5" s="1266" customFormat="1">
      <c r="A2250" s="1311"/>
      <c r="B2250" s="1332" t="s">
        <v>2445</v>
      </c>
      <c r="C2250" s="1343" t="s">
        <v>215</v>
      </c>
      <c r="D2250" s="1338">
        <v>3250</v>
      </c>
      <c r="E2250" s="1363">
        <f>D2250*$E$5</f>
        <v>3454.75</v>
      </c>
    </row>
    <row r="2251" spans="1:5" s="1266" customFormat="1">
      <c r="A2251" s="1311"/>
      <c r="B2251" s="1332"/>
      <c r="C2251" s="1343"/>
      <c r="D2251" s="1338"/>
      <c r="E2251" s="1338"/>
    </row>
    <row r="2252" spans="1:5" s="1266" customFormat="1">
      <c r="A2252" s="1311"/>
      <c r="B2252" s="1332" t="s">
        <v>2446</v>
      </c>
      <c r="C2252" s="1343" t="s">
        <v>217</v>
      </c>
      <c r="D2252" s="1338">
        <v>200</v>
      </c>
      <c r="E2252" s="1363">
        <f>D2252*$E$5</f>
        <v>212.6</v>
      </c>
    </row>
    <row r="2253" spans="1:5" s="1266" customFormat="1">
      <c r="A2253" s="1311"/>
      <c r="B2253" s="1332"/>
      <c r="C2253" s="1343"/>
      <c r="D2253" s="1338"/>
      <c r="E2253" s="1338"/>
    </row>
    <row r="2254" spans="1:5" s="1266" customFormat="1">
      <c r="A2254" s="1311"/>
      <c r="B2254" s="1332" t="s">
        <v>2447</v>
      </c>
      <c r="C2254" s="1343" t="s">
        <v>217</v>
      </c>
      <c r="D2254" s="1338">
        <v>300</v>
      </c>
      <c r="E2254" s="1363">
        <f>D2254*$E$5</f>
        <v>318.89999999999998</v>
      </c>
    </row>
    <row r="2255" spans="1:5" s="1266" customFormat="1">
      <c r="A2255" s="1311"/>
      <c r="B2255" s="1332"/>
      <c r="C2255" s="1343"/>
      <c r="D2255" s="1338"/>
      <c r="E2255" s="1338"/>
    </row>
    <row r="2256" spans="1:5" s="1266" customFormat="1" ht="26.25">
      <c r="A2256" s="1311"/>
      <c r="B2256" s="1312" t="s">
        <v>2448</v>
      </c>
      <c r="C2256" s="1343"/>
      <c r="D2256" s="1338"/>
      <c r="E2256" s="1338"/>
    </row>
    <row r="2257" spans="1:5" s="1266" customFormat="1">
      <c r="A2257" s="1311"/>
      <c r="B2257" s="1332"/>
      <c r="C2257" s="1343"/>
      <c r="D2257" s="1338"/>
      <c r="E2257" s="1338"/>
    </row>
    <row r="2258" spans="1:5" s="1266" customFormat="1" ht="26.25">
      <c r="A2258" s="1311"/>
      <c r="B2258" s="1331" t="s">
        <v>3402</v>
      </c>
      <c r="C2258" s="1343"/>
      <c r="D2258" s="1338"/>
      <c r="E2258" s="1338"/>
    </row>
    <row r="2259" spans="1:5" s="1266" customFormat="1">
      <c r="A2259" s="1311"/>
      <c r="B2259" s="1332"/>
      <c r="C2259" s="1343"/>
      <c r="D2259" s="1338"/>
      <c r="E2259" s="1338"/>
    </row>
    <row r="2260" spans="1:5" s="1266" customFormat="1">
      <c r="A2260" s="1311"/>
      <c r="B2260" s="1332" t="s">
        <v>2449</v>
      </c>
      <c r="C2260" s="1343" t="s">
        <v>215</v>
      </c>
      <c r="D2260" s="1338">
        <v>4000</v>
      </c>
      <c r="E2260" s="1363">
        <f>D2260*$E$5</f>
        <v>4252</v>
      </c>
    </row>
    <row r="2261" spans="1:5" s="1266" customFormat="1">
      <c r="A2261" s="1311"/>
      <c r="B2261" s="1332"/>
      <c r="C2261" s="1343"/>
      <c r="D2261" s="1338"/>
      <c r="E2261" s="1338"/>
    </row>
    <row r="2262" spans="1:5" s="1266" customFormat="1">
      <c r="A2262" s="1311"/>
      <c r="B2262" s="1332" t="s">
        <v>2450</v>
      </c>
      <c r="C2262" s="1343" t="s">
        <v>215</v>
      </c>
      <c r="D2262" s="1338">
        <v>4400</v>
      </c>
      <c r="E2262" s="1363">
        <f>D2262*$E$5</f>
        <v>4677.2</v>
      </c>
    </row>
    <row r="2263" spans="1:5" s="1266" customFormat="1">
      <c r="A2263" s="1311"/>
      <c r="B2263" s="1332"/>
      <c r="C2263" s="1343"/>
      <c r="D2263" s="1338"/>
      <c r="E2263" s="1338"/>
    </row>
    <row r="2264" spans="1:5" s="1266" customFormat="1">
      <c r="A2264" s="1311"/>
      <c r="B2264" s="1332" t="s">
        <v>2430</v>
      </c>
      <c r="C2264" s="1343" t="s">
        <v>215</v>
      </c>
      <c r="D2264" s="1338">
        <v>4200</v>
      </c>
      <c r="E2264" s="1363">
        <f>D2264*$E$5</f>
        <v>4464.5999999999995</v>
      </c>
    </row>
    <row r="2265" spans="1:5" s="1266" customFormat="1">
      <c r="A2265" s="1311"/>
      <c r="B2265" s="1332"/>
      <c r="C2265" s="1343"/>
      <c r="D2265" s="1338"/>
      <c r="E2265" s="1338"/>
    </row>
    <row r="2266" spans="1:5" s="1266" customFormat="1">
      <c r="A2266" s="1311"/>
      <c r="B2266" s="1332" t="s">
        <v>2451</v>
      </c>
      <c r="C2266" s="1343" t="s">
        <v>217</v>
      </c>
      <c r="D2266" s="1338">
        <v>200</v>
      </c>
      <c r="E2266" s="1363">
        <f>D2266*$E$5</f>
        <v>212.6</v>
      </c>
    </row>
    <row r="2267" spans="1:5" s="1266" customFormat="1">
      <c r="A2267" s="1311"/>
      <c r="B2267" s="1332"/>
      <c r="C2267" s="1343"/>
      <c r="D2267" s="1338"/>
      <c r="E2267" s="1338"/>
    </row>
    <row r="2268" spans="1:5" s="1266" customFormat="1">
      <c r="A2268" s="1311"/>
      <c r="B2268" s="1332" t="s">
        <v>2452</v>
      </c>
      <c r="C2268" s="1343" t="s">
        <v>217</v>
      </c>
      <c r="D2268" s="1338">
        <v>250</v>
      </c>
      <c r="E2268" s="1363">
        <f>D2268*$E$5</f>
        <v>265.75</v>
      </c>
    </row>
    <row r="2269" spans="1:5" s="1266" customFormat="1">
      <c r="A2269" s="1311"/>
      <c r="B2269" s="1332"/>
      <c r="C2269" s="1343"/>
      <c r="D2269" s="1338"/>
      <c r="E2269" s="1338"/>
    </row>
    <row r="2270" spans="1:5" s="1266" customFormat="1" ht="26.25">
      <c r="A2270" s="1311"/>
      <c r="B2270" s="1312" t="s">
        <v>2453</v>
      </c>
      <c r="C2270" s="1343"/>
      <c r="D2270" s="1338"/>
      <c r="E2270" s="1338"/>
    </row>
    <row r="2271" spans="1:5" s="1266" customFormat="1">
      <c r="A2271" s="1311"/>
      <c r="B2271" s="1332"/>
      <c r="C2271" s="1343"/>
      <c r="D2271" s="1338"/>
      <c r="E2271" s="1338"/>
    </row>
    <row r="2272" spans="1:5" s="1266" customFormat="1" ht="26.25">
      <c r="A2272" s="1311"/>
      <c r="B2272" s="1331" t="s">
        <v>3401</v>
      </c>
      <c r="C2272" s="1343"/>
      <c r="D2272" s="1338"/>
      <c r="E2272" s="1338"/>
    </row>
    <row r="2273" spans="1:5" s="1266" customFormat="1">
      <c r="A2273" s="1311"/>
      <c r="B2273" s="1332"/>
      <c r="C2273" s="1343"/>
      <c r="D2273" s="1338"/>
      <c r="E2273" s="1338"/>
    </row>
    <row r="2274" spans="1:5" s="1266" customFormat="1">
      <c r="A2274" s="1311"/>
      <c r="B2274" s="1332" t="s">
        <v>2445</v>
      </c>
      <c r="C2274" s="1343" t="s">
        <v>215</v>
      </c>
      <c r="D2274" s="1338">
        <v>3500</v>
      </c>
      <c r="E2274" s="1363">
        <f>D2274*$E$5</f>
        <v>3720.5</v>
      </c>
    </row>
    <row r="2275" spans="1:5" s="1266" customFormat="1">
      <c r="A2275" s="1311"/>
      <c r="B2275" s="1332"/>
      <c r="C2275" s="1343"/>
      <c r="D2275" s="1338"/>
      <c r="E2275" s="1338"/>
    </row>
    <row r="2276" spans="1:5" s="1266" customFormat="1">
      <c r="A2276" s="1311"/>
      <c r="B2276" s="1332" t="s">
        <v>2454</v>
      </c>
      <c r="C2276" s="1343" t="s">
        <v>215</v>
      </c>
      <c r="D2276" s="1338">
        <v>3600</v>
      </c>
      <c r="E2276" s="1363">
        <f>D2276*$E$5</f>
        <v>3826.7999999999997</v>
      </c>
    </row>
    <row r="2277" spans="1:5" s="1266" customFormat="1">
      <c r="A2277" s="1311"/>
      <c r="B2277" s="1332"/>
      <c r="C2277" s="1343"/>
      <c r="D2277" s="1338"/>
      <c r="E2277" s="1338"/>
    </row>
    <row r="2278" spans="1:5" s="1266" customFormat="1">
      <c r="A2278" s="1311"/>
      <c r="B2278" s="1332" t="s">
        <v>2455</v>
      </c>
      <c r="C2278" s="1343" t="s">
        <v>217</v>
      </c>
      <c r="D2278" s="1338">
        <v>250</v>
      </c>
      <c r="E2278" s="1363">
        <f>D2278*$E$5</f>
        <v>265.75</v>
      </c>
    </row>
    <row r="2279" spans="1:5" s="1266" customFormat="1">
      <c r="A2279" s="1311"/>
      <c r="B2279" s="1332"/>
      <c r="C2279" s="1343"/>
      <c r="D2279" s="1338"/>
      <c r="E2279" s="1338"/>
    </row>
    <row r="2280" spans="1:5" s="1266" customFormat="1">
      <c r="A2280" s="1311"/>
      <c r="B2280" s="1332" t="s">
        <v>2456</v>
      </c>
      <c r="C2280" s="1343" t="s">
        <v>217</v>
      </c>
      <c r="D2280" s="1338">
        <v>300</v>
      </c>
      <c r="E2280" s="1363">
        <f>D2280*$E$5</f>
        <v>318.89999999999998</v>
      </c>
    </row>
    <row r="2281" spans="1:5" s="1266" customFormat="1">
      <c r="A2281" s="1311"/>
      <c r="B2281" s="1332"/>
      <c r="C2281" s="1343"/>
      <c r="D2281" s="1338"/>
      <c r="E2281" s="1338"/>
    </row>
    <row r="2282" spans="1:5" s="1266" customFormat="1" ht="30">
      <c r="A2282" s="1311"/>
      <c r="B2282" s="1332" t="s">
        <v>3400</v>
      </c>
      <c r="C2282" s="1343" t="s">
        <v>217</v>
      </c>
      <c r="D2282" s="1338">
        <v>13000</v>
      </c>
      <c r="E2282" s="1363">
        <f>D2282*$E$5</f>
        <v>13819</v>
      </c>
    </row>
    <row r="2283" spans="1:5" s="1266" customFormat="1">
      <c r="A2283" s="1311"/>
      <c r="B2283" s="1332"/>
      <c r="C2283" s="1343"/>
      <c r="D2283" s="1338"/>
      <c r="E2283" s="1338"/>
    </row>
    <row r="2284" spans="1:5" s="1266" customFormat="1" ht="30">
      <c r="A2284" s="1311"/>
      <c r="B2284" s="1332" t="s">
        <v>3399</v>
      </c>
      <c r="C2284" s="1343" t="s">
        <v>217</v>
      </c>
      <c r="D2284" s="1338">
        <v>6500</v>
      </c>
      <c r="E2284" s="1363">
        <f>D2284*$E$5</f>
        <v>6909.5</v>
      </c>
    </row>
    <row r="2285" spans="1:5" s="1266" customFormat="1">
      <c r="A2285" s="1311"/>
      <c r="B2285" s="1332"/>
      <c r="C2285" s="1343"/>
      <c r="D2285" s="1338"/>
      <c r="E2285" s="1338"/>
    </row>
    <row r="2286" spans="1:5" s="1266" customFormat="1" ht="30">
      <c r="A2286" s="1311"/>
      <c r="B2286" s="1332" t="s">
        <v>3398</v>
      </c>
      <c r="C2286" s="1343" t="s">
        <v>217</v>
      </c>
      <c r="D2286" s="1338">
        <v>9750</v>
      </c>
      <c r="E2286" s="1363">
        <f>D2286*$E$5</f>
        <v>10364.25</v>
      </c>
    </row>
    <row r="2287" spans="1:5" s="1266" customFormat="1">
      <c r="A2287" s="1311"/>
      <c r="B2287" s="1332"/>
      <c r="C2287" s="1343"/>
      <c r="D2287" s="1338"/>
      <c r="E2287" s="1338"/>
    </row>
    <row r="2288" spans="1:5" s="1266" customFormat="1" ht="30">
      <c r="A2288" s="1311"/>
      <c r="B2288" s="1332" t="s">
        <v>3397</v>
      </c>
      <c r="C2288" s="1343" t="s">
        <v>217</v>
      </c>
      <c r="D2288" s="1338">
        <v>8000</v>
      </c>
      <c r="E2288" s="1363">
        <f>D2288*$E$5</f>
        <v>8504</v>
      </c>
    </row>
    <row r="2289" spans="1:5" s="1266" customFormat="1">
      <c r="A2289" s="1311"/>
      <c r="B2289" s="1332"/>
      <c r="C2289" s="1343"/>
      <c r="D2289" s="1338"/>
      <c r="E2289" s="1338"/>
    </row>
    <row r="2290" spans="1:5" s="1266" customFormat="1" ht="26.25">
      <c r="A2290" s="1311"/>
      <c r="B2290" s="1312" t="s">
        <v>2457</v>
      </c>
      <c r="C2290" s="1343"/>
      <c r="D2290" s="1338"/>
      <c r="E2290" s="1338"/>
    </row>
    <row r="2291" spans="1:5" s="1266" customFormat="1">
      <c r="A2291" s="1311"/>
      <c r="B2291" s="1332"/>
      <c r="C2291" s="1343"/>
      <c r="D2291" s="1338"/>
      <c r="E2291" s="1338"/>
    </row>
    <row r="2292" spans="1:5" s="1266" customFormat="1" ht="39">
      <c r="A2292" s="1311"/>
      <c r="B2292" s="1331" t="s">
        <v>3396</v>
      </c>
      <c r="C2292" s="1343"/>
      <c r="D2292" s="1338"/>
      <c r="E2292" s="1338"/>
    </row>
    <row r="2293" spans="1:5" s="1266" customFormat="1">
      <c r="A2293" s="1311"/>
      <c r="B2293" s="1332"/>
      <c r="C2293" s="1343"/>
      <c r="D2293" s="1338"/>
      <c r="E2293" s="1338"/>
    </row>
    <row r="2294" spans="1:5" s="1266" customFormat="1">
      <c r="A2294" s="1311"/>
      <c r="B2294" s="1332" t="s">
        <v>2458</v>
      </c>
      <c r="C2294" s="1343" t="s">
        <v>215</v>
      </c>
      <c r="D2294" s="1338">
        <v>5500</v>
      </c>
      <c r="E2294" s="1363">
        <f>D2294*$E$5</f>
        <v>5846.5</v>
      </c>
    </row>
    <row r="2295" spans="1:5" s="1266" customFormat="1">
      <c r="A2295" s="1311"/>
      <c r="B2295" s="1332"/>
      <c r="C2295" s="1343"/>
      <c r="D2295" s="1338"/>
      <c r="E2295" s="1338"/>
    </row>
    <row r="2296" spans="1:5" s="1266" customFormat="1">
      <c r="A2296" s="1311"/>
      <c r="B2296" s="1332" t="s">
        <v>2459</v>
      </c>
      <c r="C2296" s="1343" t="s">
        <v>217</v>
      </c>
      <c r="D2296" s="1338">
        <v>300</v>
      </c>
      <c r="E2296" s="1363">
        <f>D2296*$E$5</f>
        <v>318.89999999999998</v>
      </c>
    </row>
    <row r="2297" spans="1:5" s="1266" customFormat="1">
      <c r="A2297" s="1311"/>
      <c r="B2297" s="1332"/>
      <c r="C2297" s="1343"/>
      <c r="D2297" s="1338"/>
      <c r="E2297" s="1338"/>
    </row>
    <row r="2298" spans="1:5" s="1266" customFormat="1" ht="26.25">
      <c r="A2298" s="1311"/>
      <c r="B2298" s="1312" t="s">
        <v>2460</v>
      </c>
      <c r="C2298" s="1343"/>
      <c r="D2298" s="1338"/>
      <c r="E2298" s="1338"/>
    </row>
    <row r="2299" spans="1:5" s="1266" customFormat="1">
      <c r="A2299" s="1311"/>
      <c r="B2299" s="1332"/>
      <c r="C2299" s="1343"/>
      <c r="D2299" s="1338"/>
      <c r="E2299" s="1338"/>
    </row>
    <row r="2300" spans="1:5" s="1266" customFormat="1" ht="77.25">
      <c r="A2300" s="1311"/>
      <c r="B2300" s="1331" t="s">
        <v>3395</v>
      </c>
      <c r="C2300" s="1343"/>
      <c r="D2300" s="1338"/>
      <c r="E2300" s="1338"/>
    </row>
    <row r="2301" spans="1:5" s="1266" customFormat="1">
      <c r="A2301" s="1311"/>
      <c r="B2301" s="1332"/>
      <c r="C2301" s="1343"/>
      <c r="D2301" s="1338"/>
      <c r="E2301" s="1338"/>
    </row>
    <row r="2302" spans="1:5" s="1266" customFormat="1">
      <c r="A2302" s="1311"/>
      <c r="B2302" s="1332" t="s">
        <v>2461</v>
      </c>
      <c r="C2302" s="1343" t="s">
        <v>215</v>
      </c>
      <c r="D2302" s="1338">
        <v>8100</v>
      </c>
      <c r="E2302" s="1363">
        <f>D2302*$E$5</f>
        <v>8610.2999999999993</v>
      </c>
    </row>
    <row r="2303" spans="1:5" s="1266" customFormat="1">
      <c r="A2303" s="1311"/>
      <c r="B2303" s="1332"/>
      <c r="C2303" s="1343"/>
      <c r="D2303" s="1338"/>
      <c r="E2303" s="1338"/>
    </row>
    <row r="2304" spans="1:5" s="1266" customFormat="1">
      <c r="A2304" s="1311"/>
      <c r="B2304" s="1332" t="s">
        <v>2462</v>
      </c>
      <c r="C2304" s="1343" t="s">
        <v>217</v>
      </c>
      <c r="D2304" s="1338">
        <v>250</v>
      </c>
      <c r="E2304" s="1363">
        <f>D2304*$E$5</f>
        <v>265.75</v>
      </c>
    </row>
    <row r="2305" spans="1:5" s="1266" customFormat="1">
      <c r="A2305" s="1311"/>
      <c r="B2305" s="1332"/>
      <c r="C2305" s="1343"/>
      <c r="D2305" s="1338"/>
      <c r="E2305" s="1338"/>
    </row>
    <row r="2306" spans="1:5" s="1266" customFormat="1">
      <c r="A2306" s="1311"/>
      <c r="B2306" s="1332" t="s">
        <v>2463</v>
      </c>
      <c r="C2306" s="1343" t="s">
        <v>217</v>
      </c>
      <c r="D2306" s="1338">
        <v>200</v>
      </c>
      <c r="E2306" s="1363">
        <f>D2306*$E$5</f>
        <v>212.6</v>
      </c>
    </row>
    <row r="2307" spans="1:5" s="1266" customFormat="1">
      <c r="A2307" s="1311"/>
      <c r="B2307" s="1332"/>
      <c r="C2307" s="1343"/>
      <c r="D2307" s="1338"/>
      <c r="E2307" s="1338"/>
    </row>
    <row r="2308" spans="1:5" s="1266" customFormat="1">
      <c r="A2308" s="1311"/>
      <c r="B2308" s="1332" t="s">
        <v>2464</v>
      </c>
      <c r="C2308" s="1343" t="s">
        <v>217</v>
      </c>
      <c r="D2308" s="1338">
        <v>300</v>
      </c>
      <c r="E2308" s="1363">
        <f>D2308*$E$5</f>
        <v>318.89999999999998</v>
      </c>
    </row>
    <row r="2309" spans="1:5" s="1266" customFormat="1">
      <c r="A2309" s="1311"/>
      <c r="B2309" s="1332"/>
      <c r="C2309" s="1343"/>
      <c r="D2309" s="1338"/>
      <c r="E2309" s="1338"/>
    </row>
    <row r="2310" spans="1:5" s="1266" customFormat="1">
      <c r="A2310" s="1311"/>
      <c r="B2310" s="1332" t="s">
        <v>2465</v>
      </c>
      <c r="C2310" s="1343" t="s">
        <v>217</v>
      </c>
      <c r="D2310" s="1338">
        <v>200</v>
      </c>
      <c r="E2310" s="1363">
        <f>D2310*$E$5</f>
        <v>212.6</v>
      </c>
    </row>
    <row r="2311" spans="1:5" s="1266" customFormat="1">
      <c r="A2311" s="1311"/>
      <c r="B2311" s="1332"/>
      <c r="C2311" s="1343"/>
      <c r="D2311" s="1338"/>
      <c r="E2311" s="1338"/>
    </row>
    <row r="2312" spans="1:5" s="1266" customFormat="1" ht="26.25">
      <c r="A2312" s="1311"/>
      <c r="B2312" s="1312" t="s">
        <v>2466</v>
      </c>
      <c r="C2312" s="1343"/>
      <c r="D2312" s="1338"/>
      <c r="E2312" s="1338"/>
    </row>
    <row r="2313" spans="1:5" s="1266" customFormat="1">
      <c r="A2313" s="1311"/>
      <c r="B2313" s="1332"/>
      <c r="C2313" s="1343"/>
      <c r="D2313" s="1338"/>
      <c r="E2313" s="1338"/>
    </row>
    <row r="2314" spans="1:5" s="1266" customFormat="1" ht="39">
      <c r="A2314" s="1311"/>
      <c r="B2314" s="1331" t="s">
        <v>3416</v>
      </c>
      <c r="C2314" s="1343"/>
      <c r="D2314" s="1338"/>
      <c r="E2314" s="1338"/>
    </row>
    <row r="2315" spans="1:5" s="1266" customFormat="1">
      <c r="A2315" s="1311"/>
      <c r="B2315" s="1332"/>
      <c r="C2315" s="1343"/>
      <c r="D2315" s="1338"/>
      <c r="E2315" s="1338"/>
    </row>
    <row r="2316" spans="1:5" s="1266" customFormat="1">
      <c r="A2316" s="1311"/>
      <c r="B2316" s="1332" t="s">
        <v>2467</v>
      </c>
      <c r="C2316" s="1343" t="s">
        <v>215</v>
      </c>
      <c r="D2316" s="1338">
        <v>2510</v>
      </c>
      <c r="E2316" s="1363">
        <f>D2316*$E$5</f>
        <v>2668.1299999999997</v>
      </c>
    </row>
    <row r="2317" spans="1:5" s="1266" customFormat="1">
      <c r="A2317" s="1311"/>
      <c r="B2317" s="1332"/>
      <c r="C2317" s="1343"/>
      <c r="D2317" s="1338"/>
      <c r="E2317" s="1338"/>
    </row>
    <row r="2318" spans="1:5" s="1266" customFormat="1">
      <c r="A2318" s="1311"/>
      <c r="B2318" s="1332" t="s">
        <v>2431</v>
      </c>
      <c r="C2318" s="1343" t="s">
        <v>217</v>
      </c>
      <c r="D2318" s="1338">
        <v>200</v>
      </c>
      <c r="E2318" s="1363">
        <f>D2318*$E$5</f>
        <v>212.6</v>
      </c>
    </row>
    <row r="2319" spans="1:5" s="1266" customFormat="1">
      <c r="A2319" s="1311"/>
      <c r="B2319" s="1332"/>
      <c r="C2319" s="1343"/>
      <c r="D2319" s="1338"/>
      <c r="E2319" s="1338"/>
    </row>
    <row r="2320" spans="1:5" s="1266" customFormat="1">
      <c r="A2320" s="1311"/>
      <c r="B2320" s="1332" t="s">
        <v>2432</v>
      </c>
      <c r="C2320" s="1343" t="s">
        <v>217</v>
      </c>
      <c r="D2320" s="1338">
        <v>300</v>
      </c>
      <c r="E2320" s="1363">
        <f>D2320*$E$5</f>
        <v>318.89999999999998</v>
      </c>
    </row>
    <row r="2321" spans="1:5" s="1266" customFormat="1">
      <c r="A2321" s="1311"/>
      <c r="B2321" s="1332"/>
      <c r="C2321" s="1343"/>
      <c r="D2321" s="1338"/>
      <c r="E2321" s="1338"/>
    </row>
    <row r="2322" spans="1:5" s="1266" customFormat="1" ht="39">
      <c r="A2322" s="1311"/>
      <c r="B2322" s="1331" t="s">
        <v>3417</v>
      </c>
      <c r="C2322" s="1343"/>
      <c r="D2322" s="1338"/>
      <c r="E2322" s="1338"/>
    </row>
    <row r="2323" spans="1:5" s="1266" customFormat="1">
      <c r="A2323" s="1311"/>
      <c r="B2323" s="1332"/>
      <c r="C2323" s="1343"/>
      <c r="D2323" s="1338"/>
      <c r="E2323" s="1338"/>
    </row>
    <row r="2324" spans="1:5" s="1266" customFormat="1">
      <c r="A2324" s="1311"/>
      <c r="B2324" s="1332" t="s">
        <v>2468</v>
      </c>
      <c r="C2324" s="1343" t="s">
        <v>217</v>
      </c>
      <c r="D2324" s="1338">
        <v>3500</v>
      </c>
      <c r="E2324" s="1363">
        <f>D2324*$E$5</f>
        <v>3720.5</v>
      </c>
    </row>
    <row r="2325" spans="1:5" s="1266" customFormat="1">
      <c r="A2325" s="1311"/>
      <c r="B2325" s="1332"/>
      <c r="C2325" s="1343"/>
      <c r="D2325" s="1338"/>
      <c r="E2325" s="1338"/>
    </row>
    <row r="2326" spans="1:5" s="1266" customFormat="1">
      <c r="A2326" s="1311"/>
      <c r="B2326" s="1312" t="s">
        <v>2469</v>
      </c>
      <c r="C2326" s="1343"/>
      <c r="D2326" s="1338"/>
      <c r="E2326" s="1338"/>
    </row>
    <row r="2327" spans="1:5" s="1266" customFormat="1">
      <c r="A2327" s="1311"/>
      <c r="B2327" s="1332"/>
      <c r="C2327" s="1343"/>
      <c r="D2327" s="1338"/>
      <c r="E2327" s="1338"/>
    </row>
    <row r="2328" spans="1:5" s="1266" customFormat="1">
      <c r="A2328" s="1311"/>
      <c r="B2328" s="1312" t="s">
        <v>2470</v>
      </c>
      <c r="C2328" s="1343"/>
      <c r="D2328" s="1338"/>
      <c r="E2328" s="1338"/>
    </row>
    <row r="2329" spans="1:5" s="1266" customFormat="1">
      <c r="A2329" s="1311"/>
      <c r="B2329" s="1332"/>
      <c r="C2329" s="1343"/>
      <c r="D2329" s="1338"/>
      <c r="E2329" s="1338"/>
    </row>
    <row r="2330" spans="1:5" s="1266" customFormat="1">
      <c r="A2330" s="1311"/>
      <c r="B2330" s="1331" t="s">
        <v>2471</v>
      </c>
      <c r="C2330" s="1343"/>
      <c r="D2330" s="1338"/>
      <c r="E2330" s="1338"/>
    </row>
    <row r="2331" spans="1:5" s="1266" customFormat="1">
      <c r="A2331" s="1311"/>
      <c r="B2331" s="1332"/>
      <c r="C2331" s="1343"/>
      <c r="D2331" s="1338"/>
      <c r="E2331" s="1338"/>
    </row>
    <row r="2332" spans="1:5" s="1266" customFormat="1" ht="30">
      <c r="A2332" s="1311"/>
      <c r="B2332" s="1332" t="s">
        <v>2472</v>
      </c>
      <c r="C2332" s="1343" t="s">
        <v>217</v>
      </c>
      <c r="D2332" s="1338">
        <v>1111</v>
      </c>
      <c r="E2332" s="1363">
        <f>D2332*$E$5</f>
        <v>1180.9929999999999</v>
      </c>
    </row>
    <row r="2333" spans="1:5" s="1266" customFormat="1">
      <c r="A2333" s="1311"/>
      <c r="B2333" s="1332"/>
      <c r="C2333" s="1343"/>
      <c r="D2333" s="1338"/>
      <c r="E2333" s="1338"/>
    </row>
    <row r="2334" spans="1:5" s="1266" customFormat="1" ht="30">
      <c r="A2334" s="1311"/>
      <c r="B2334" s="1332" t="s">
        <v>2473</v>
      </c>
      <c r="C2334" s="1343" t="s">
        <v>217</v>
      </c>
      <c r="D2334" s="1338">
        <v>1557.48</v>
      </c>
      <c r="E2334" s="1363">
        <f>D2334*$E$5</f>
        <v>1655.60124</v>
      </c>
    </row>
    <row r="2335" spans="1:5" s="1266" customFormat="1">
      <c r="A2335" s="1311"/>
      <c r="B2335" s="1332"/>
      <c r="C2335" s="1343"/>
      <c r="D2335" s="1338"/>
      <c r="E2335" s="1338"/>
    </row>
    <row r="2336" spans="1:5" s="1266" customFormat="1">
      <c r="A2336" s="1311"/>
      <c r="B2336" s="1331" t="s">
        <v>2474</v>
      </c>
      <c r="C2336" s="1343"/>
      <c r="D2336" s="1338"/>
      <c r="E2336" s="1338"/>
    </row>
    <row r="2337" spans="1:5" s="1266" customFormat="1">
      <c r="A2337" s="1311"/>
      <c r="B2337" s="1332"/>
      <c r="C2337" s="1343"/>
      <c r="D2337" s="1338"/>
      <c r="E2337" s="1338"/>
    </row>
    <row r="2338" spans="1:5" s="1266" customFormat="1" ht="30">
      <c r="A2338" s="1311"/>
      <c r="B2338" s="1332" t="s">
        <v>2472</v>
      </c>
      <c r="C2338" s="1343" t="s">
        <v>217</v>
      </c>
      <c r="D2338" s="1338">
        <v>1111</v>
      </c>
      <c r="E2338" s="1363">
        <f>D2338*$E$5</f>
        <v>1180.9929999999999</v>
      </c>
    </row>
    <row r="2339" spans="1:5" s="1266" customFormat="1">
      <c r="A2339" s="1311"/>
      <c r="B2339" s="1332"/>
      <c r="C2339" s="1343"/>
      <c r="D2339" s="1338"/>
      <c r="E2339" s="1338"/>
    </row>
    <row r="2340" spans="1:5" s="1266" customFormat="1">
      <c r="A2340" s="1311"/>
      <c r="B2340" s="1331" t="s">
        <v>2475</v>
      </c>
      <c r="C2340" s="1343"/>
      <c r="D2340" s="1338"/>
      <c r="E2340" s="1338"/>
    </row>
    <row r="2341" spans="1:5" s="1266" customFormat="1">
      <c r="A2341" s="1311"/>
      <c r="B2341" s="1332"/>
      <c r="C2341" s="1343"/>
      <c r="D2341" s="1338"/>
      <c r="E2341" s="1338"/>
    </row>
    <row r="2342" spans="1:5" s="1266" customFormat="1" ht="30">
      <c r="A2342" s="1311"/>
      <c r="B2342" s="1332" t="s">
        <v>2472</v>
      </c>
      <c r="C2342" s="1343" t="s">
        <v>217</v>
      </c>
      <c r="D2342" s="1338">
        <v>1111</v>
      </c>
      <c r="E2342" s="1363">
        <f>D2342*$E$5</f>
        <v>1180.9929999999999</v>
      </c>
    </row>
    <row r="2343" spans="1:5" s="1266" customFormat="1">
      <c r="A2343" s="1311"/>
      <c r="B2343" s="1332"/>
      <c r="C2343" s="1343"/>
      <c r="D2343" s="1338"/>
      <c r="E2343" s="1338"/>
    </row>
    <row r="2344" spans="1:5" s="1266" customFormat="1" ht="30">
      <c r="A2344" s="1311"/>
      <c r="B2344" s="1332" t="s">
        <v>2473</v>
      </c>
      <c r="C2344" s="1343" t="s">
        <v>217</v>
      </c>
      <c r="D2344" s="1338">
        <v>1557.48</v>
      </c>
      <c r="E2344" s="1363">
        <f>D2344*$E$5</f>
        <v>1655.60124</v>
      </c>
    </row>
    <row r="2345" spans="1:5" s="1266" customFormat="1">
      <c r="A2345" s="1311"/>
      <c r="B2345" s="1332"/>
      <c r="C2345" s="1343"/>
      <c r="D2345" s="1338"/>
      <c r="E2345" s="1338"/>
    </row>
    <row r="2346" spans="1:5" s="1266" customFormat="1" ht="26.25">
      <c r="A2346" s="1311"/>
      <c r="B2346" s="1312" t="s">
        <v>2476</v>
      </c>
      <c r="C2346" s="1343"/>
      <c r="D2346" s="1338"/>
      <c r="E2346" s="1338"/>
    </row>
    <row r="2347" spans="1:5" s="1266" customFormat="1">
      <c r="A2347" s="1311"/>
      <c r="B2347" s="1332"/>
      <c r="C2347" s="1343"/>
      <c r="D2347" s="1338"/>
      <c r="E2347" s="1338"/>
    </row>
    <row r="2348" spans="1:5" s="1266" customFormat="1" ht="102.75">
      <c r="A2348" s="1311"/>
      <c r="B2348" s="1331" t="s">
        <v>3394</v>
      </c>
      <c r="C2348" s="1343"/>
      <c r="D2348" s="1338"/>
      <c r="E2348" s="1338"/>
    </row>
    <row r="2349" spans="1:5" s="1266" customFormat="1">
      <c r="A2349" s="1311"/>
      <c r="B2349" s="1332"/>
      <c r="C2349" s="1343"/>
      <c r="D2349" s="1338"/>
      <c r="E2349" s="1338"/>
    </row>
    <row r="2350" spans="1:5" s="1266" customFormat="1">
      <c r="A2350" s="1311"/>
      <c r="B2350" s="1332" t="s">
        <v>2477</v>
      </c>
      <c r="C2350" s="1343" t="s">
        <v>217</v>
      </c>
      <c r="D2350" s="1338">
        <v>16200</v>
      </c>
      <c r="E2350" s="1363">
        <f>D2350*$E$5</f>
        <v>17220.599999999999</v>
      </c>
    </row>
    <row r="2351" spans="1:5" s="1266" customFormat="1">
      <c r="A2351" s="1311"/>
      <c r="B2351" s="1332"/>
      <c r="C2351" s="1343"/>
      <c r="D2351" s="1338"/>
      <c r="E2351" s="1338"/>
    </row>
    <row r="2352" spans="1:5" s="1266" customFormat="1">
      <c r="A2352" s="1311"/>
      <c r="B2352" s="1332" t="s">
        <v>2478</v>
      </c>
      <c r="C2352" s="1343" t="s">
        <v>217</v>
      </c>
      <c r="D2352" s="1338">
        <v>32400</v>
      </c>
      <c r="E2352" s="1363">
        <f>D2352*$E$5</f>
        <v>34441.199999999997</v>
      </c>
    </row>
    <row r="2353" spans="1:5" s="1266" customFormat="1">
      <c r="A2353" s="1311"/>
      <c r="B2353" s="1332"/>
      <c r="C2353" s="1343"/>
      <c r="D2353" s="1338"/>
      <c r="E2353" s="1338"/>
    </row>
    <row r="2354" spans="1:5" s="1266" customFormat="1" ht="102.75">
      <c r="A2354" s="1311"/>
      <c r="B2354" s="1331" t="s">
        <v>3418</v>
      </c>
      <c r="C2354" s="1343"/>
      <c r="D2354" s="1338"/>
      <c r="E2354" s="1338"/>
    </row>
    <row r="2355" spans="1:5" s="1266" customFormat="1">
      <c r="A2355" s="1311"/>
      <c r="B2355" s="1332"/>
      <c r="C2355" s="1343"/>
      <c r="D2355" s="1338"/>
      <c r="E2355" s="1338"/>
    </row>
    <row r="2356" spans="1:5" s="1266" customFormat="1">
      <c r="A2356" s="1311"/>
      <c r="B2356" s="1332" t="s">
        <v>2479</v>
      </c>
      <c r="C2356" s="1343" t="s">
        <v>217</v>
      </c>
      <c r="D2356" s="1338">
        <v>15360</v>
      </c>
      <c r="E2356" s="1363">
        <f>D2356*$E$5</f>
        <v>16327.679999999998</v>
      </c>
    </row>
    <row r="2357" spans="1:5" s="1266" customFormat="1">
      <c r="A2357" s="1311"/>
      <c r="B2357" s="1332"/>
      <c r="C2357" s="1343"/>
      <c r="D2357" s="1338"/>
      <c r="E2357" s="1338"/>
    </row>
    <row r="2358" spans="1:5" s="1266" customFormat="1">
      <c r="A2358" s="1311"/>
      <c r="B2358" s="1332" t="s">
        <v>2480</v>
      </c>
      <c r="C2358" s="1343" t="s">
        <v>217</v>
      </c>
      <c r="D2358" s="1338">
        <v>15360</v>
      </c>
      <c r="E2358" s="1363">
        <f>D2358*$E$5</f>
        <v>16327.679999999998</v>
      </c>
    </row>
    <row r="2359" spans="1:5" s="1266" customFormat="1">
      <c r="A2359" s="1311"/>
      <c r="B2359" s="1332"/>
      <c r="C2359" s="1343"/>
      <c r="D2359" s="1338"/>
      <c r="E2359" s="1338"/>
    </row>
    <row r="2360" spans="1:5" s="1266" customFormat="1" ht="26.25">
      <c r="A2360" s="1311"/>
      <c r="B2360" s="1312" t="s">
        <v>2481</v>
      </c>
      <c r="C2360" s="1343"/>
      <c r="D2360" s="1338"/>
      <c r="E2360" s="1338"/>
    </row>
    <row r="2361" spans="1:5" s="1266" customFormat="1">
      <c r="A2361" s="1311"/>
      <c r="B2361" s="1332"/>
      <c r="C2361" s="1343"/>
      <c r="D2361" s="1338"/>
      <c r="E2361" s="1338"/>
    </row>
    <row r="2362" spans="1:5" s="1266" customFormat="1" ht="90">
      <c r="A2362" s="1311"/>
      <c r="B2362" s="1331" t="s">
        <v>3393</v>
      </c>
      <c r="C2362" s="1343"/>
      <c r="D2362" s="1338"/>
      <c r="E2362" s="1338"/>
    </row>
    <row r="2363" spans="1:5" s="1266" customFormat="1">
      <c r="A2363" s="1311"/>
      <c r="B2363" s="1332"/>
      <c r="C2363" s="1343"/>
      <c r="D2363" s="1338"/>
      <c r="E2363" s="1338"/>
    </row>
    <row r="2364" spans="1:5" s="1266" customFormat="1" ht="90">
      <c r="A2364" s="1311"/>
      <c r="B2364" s="1332" t="s">
        <v>3352</v>
      </c>
      <c r="C2364" s="1343" t="s">
        <v>217</v>
      </c>
      <c r="D2364" s="1338">
        <v>150000</v>
      </c>
      <c r="E2364" s="1363">
        <f>D2364*$E$5</f>
        <v>159450</v>
      </c>
    </row>
    <row r="2365" spans="1:5" s="1266" customFormat="1">
      <c r="A2365" s="1311"/>
      <c r="B2365" s="1332"/>
      <c r="C2365" s="1343"/>
      <c r="D2365" s="1338"/>
      <c r="E2365" s="1338"/>
    </row>
    <row r="2366" spans="1:5" s="1266" customFormat="1" ht="75">
      <c r="A2366" s="1311"/>
      <c r="B2366" s="1332" t="s">
        <v>3392</v>
      </c>
      <c r="C2366" s="1343" t="s">
        <v>217</v>
      </c>
      <c r="D2366" s="1338">
        <v>150000</v>
      </c>
      <c r="E2366" s="1363">
        <f>D2366*$E$5</f>
        <v>159450</v>
      </c>
    </row>
    <row r="2367" spans="1:5" s="1266" customFormat="1">
      <c r="A2367" s="1311"/>
      <c r="B2367" s="1332"/>
      <c r="C2367" s="1343"/>
      <c r="D2367" s="1338"/>
      <c r="E2367" s="1338"/>
    </row>
    <row r="2368" spans="1:5" s="1266" customFormat="1">
      <c r="A2368" s="1311"/>
      <c r="B2368" s="1312" t="s">
        <v>2482</v>
      </c>
      <c r="C2368" s="1343"/>
      <c r="D2368" s="1338"/>
      <c r="E2368" s="1338"/>
    </row>
    <row r="2369" spans="1:5" s="1266" customFormat="1">
      <c r="A2369" s="1311"/>
      <c r="B2369" s="1332"/>
      <c r="C2369" s="1343"/>
      <c r="D2369" s="1338"/>
      <c r="E2369" s="1338"/>
    </row>
    <row r="2370" spans="1:5" s="1266" customFormat="1" ht="51.75">
      <c r="A2370" s="1311"/>
      <c r="B2370" s="1331" t="s">
        <v>2483</v>
      </c>
      <c r="C2370" s="1343"/>
      <c r="D2370" s="1338"/>
      <c r="E2370" s="1338"/>
    </row>
    <row r="2371" spans="1:5" s="1266" customFormat="1">
      <c r="A2371" s="1311"/>
      <c r="B2371" s="1332"/>
      <c r="C2371" s="1343"/>
      <c r="D2371" s="1338"/>
      <c r="E2371" s="1338"/>
    </row>
    <row r="2372" spans="1:5" s="1266" customFormat="1" ht="45">
      <c r="A2372" s="1311"/>
      <c r="B2372" s="1332" t="s">
        <v>2484</v>
      </c>
      <c r="C2372" s="1343" t="s">
        <v>217</v>
      </c>
      <c r="D2372" s="1338">
        <v>14193.02</v>
      </c>
      <c r="E2372" s="1363">
        <f>D2372*$E$5</f>
        <v>15087.180259999999</v>
      </c>
    </row>
    <row r="2373" spans="1:5" s="1266" customFormat="1">
      <c r="A2373" s="1311"/>
      <c r="B2373" s="1332"/>
      <c r="C2373" s="1343"/>
      <c r="D2373" s="1338"/>
      <c r="E2373" s="1338"/>
    </row>
    <row r="2374" spans="1:5" s="1266" customFormat="1">
      <c r="A2374" s="1311"/>
      <c r="B2374" s="1312" t="s">
        <v>2485</v>
      </c>
      <c r="C2374" s="1343"/>
      <c r="D2374" s="1338"/>
      <c r="E2374" s="1338"/>
    </row>
    <row r="2375" spans="1:5" s="1266" customFormat="1">
      <c r="A2375" s="1311"/>
      <c r="B2375" s="1332"/>
      <c r="C2375" s="1343"/>
      <c r="D2375" s="1338"/>
      <c r="E2375" s="1338"/>
    </row>
    <row r="2376" spans="1:5" s="1266" customFormat="1" ht="115.5">
      <c r="A2376" s="1311"/>
      <c r="B2376" s="1331" t="s">
        <v>3353</v>
      </c>
      <c r="C2376" s="1343"/>
      <c r="D2376" s="1338"/>
      <c r="E2376" s="1338"/>
    </row>
    <row r="2377" spans="1:5" s="1266" customFormat="1">
      <c r="A2377" s="1311"/>
      <c r="B2377" s="1332"/>
      <c r="C2377" s="1343"/>
      <c r="D2377" s="1338"/>
      <c r="E2377" s="1338"/>
    </row>
    <row r="2378" spans="1:5" s="1266" customFormat="1" ht="30">
      <c r="A2378" s="1311"/>
      <c r="B2378" s="1332" t="s">
        <v>2486</v>
      </c>
      <c r="C2378" s="1343" t="s">
        <v>217</v>
      </c>
      <c r="D2378" s="1338">
        <v>18000</v>
      </c>
      <c r="E2378" s="1363">
        <f>D2378*$E$5</f>
        <v>19134</v>
      </c>
    </row>
    <row r="2379" spans="1:5" s="1266" customFormat="1">
      <c r="A2379" s="1311"/>
      <c r="B2379" s="1332"/>
      <c r="C2379" s="1343"/>
      <c r="D2379" s="1338"/>
      <c r="E2379" s="1338"/>
    </row>
    <row r="2380" spans="1:5" s="1266" customFormat="1" ht="26.25">
      <c r="A2380" s="1311"/>
      <c r="B2380" s="1312" t="s">
        <v>2487</v>
      </c>
      <c r="C2380" s="1343"/>
      <c r="D2380" s="1338"/>
      <c r="E2380" s="1338"/>
    </row>
    <row r="2381" spans="1:5" s="1266" customFormat="1">
      <c r="A2381" s="1311"/>
      <c r="B2381" s="1332"/>
      <c r="C2381" s="1343"/>
      <c r="D2381" s="1338"/>
      <c r="E2381" s="1338"/>
    </row>
    <row r="2382" spans="1:5" s="1266" customFormat="1" ht="90">
      <c r="A2382" s="1311"/>
      <c r="B2382" s="1331" t="s">
        <v>3354</v>
      </c>
      <c r="C2382" s="1343"/>
      <c r="D2382" s="1338"/>
      <c r="E2382" s="1338"/>
    </row>
    <row r="2383" spans="1:5" s="1266" customFormat="1">
      <c r="A2383" s="1311"/>
      <c r="B2383" s="1332"/>
      <c r="C2383" s="1343"/>
      <c r="D2383" s="1338"/>
      <c r="E2383" s="1338"/>
    </row>
    <row r="2384" spans="1:5" s="1266" customFormat="1" ht="30">
      <c r="A2384" s="1311"/>
      <c r="B2384" s="1332" t="s">
        <v>3355</v>
      </c>
      <c r="C2384" s="1343" t="s">
        <v>217</v>
      </c>
      <c r="D2384" s="1338">
        <v>46750</v>
      </c>
      <c r="E2384" s="1363">
        <f>D2384*$E$5</f>
        <v>49695.25</v>
      </c>
    </row>
    <row r="2385" spans="1:5" s="1266" customFormat="1">
      <c r="A2385" s="1311"/>
      <c r="B2385" s="1332"/>
      <c r="C2385" s="1343"/>
      <c r="D2385" s="1338"/>
      <c r="E2385" s="1338"/>
    </row>
    <row r="2386" spans="1:5" s="1266" customFormat="1" ht="30">
      <c r="A2386" s="1311"/>
      <c r="B2386" s="1332" t="s">
        <v>3356</v>
      </c>
      <c r="C2386" s="1343" t="s">
        <v>217</v>
      </c>
      <c r="D2386" s="1338">
        <v>61290</v>
      </c>
      <c r="E2386" s="1363">
        <f>D2386*$E$5</f>
        <v>65151.27</v>
      </c>
    </row>
    <row r="2387" spans="1:5" s="1266" customFormat="1">
      <c r="A2387" s="1311"/>
      <c r="B2387" s="1332"/>
      <c r="C2387" s="1343"/>
      <c r="D2387" s="1338"/>
      <c r="E2387" s="1338"/>
    </row>
    <row r="2388" spans="1:5" s="1266" customFormat="1" ht="30">
      <c r="A2388" s="1311"/>
      <c r="B2388" s="1332" t="s">
        <v>3357</v>
      </c>
      <c r="C2388" s="1343" t="s">
        <v>217</v>
      </c>
      <c r="D2388" s="1338">
        <v>56700</v>
      </c>
      <c r="E2388" s="1363">
        <f>D2388*$E$5</f>
        <v>60272.1</v>
      </c>
    </row>
    <row r="2389" spans="1:5" s="1266" customFormat="1">
      <c r="A2389" s="1311"/>
      <c r="B2389" s="1332"/>
      <c r="C2389" s="1343"/>
      <c r="D2389" s="1338"/>
      <c r="E2389" s="1338"/>
    </row>
    <row r="2390" spans="1:5" s="1266" customFormat="1" ht="30">
      <c r="A2390" s="1311"/>
      <c r="B2390" s="1332" t="s">
        <v>3358</v>
      </c>
      <c r="C2390" s="1343" t="s">
        <v>217</v>
      </c>
      <c r="D2390" s="1338">
        <v>56470</v>
      </c>
      <c r="E2390" s="1363">
        <f>D2390*$E$5</f>
        <v>60027.609999999993</v>
      </c>
    </row>
    <row r="2391" spans="1:5" s="1266" customFormat="1">
      <c r="A2391" s="1311"/>
      <c r="B2391" s="1332"/>
      <c r="C2391" s="1343"/>
      <c r="D2391" s="1338"/>
      <c r="E2391" s="1338"/>
    </row>
    <row r="2392" spans="1:5" s="1266" customFormat="1" ht="30">
      <c r="A2392" s="1311"/>
      <c r="B2392" s="1332" t="s">
        <v>3359</v>
      </c>
      <c r="C2392" s="1343" t="s">
        <v>217</v>
      </c>
      <c r="D2392" s="1338">
        <v>72090</v>
      </c>
      <c r="E2392" s="1363">
        <f>D2392*$E$5</f>
        <v>76631.67</v>
      </c>
    </row>
    <row r="2393" spans="1:5" s="1266" customFormat="1">
      <c r="A2393" s="1311"/>
      <c r="B2393" s="1332"/>
      <c r="C2393" s="1343"/>
      <c r="D2393" s="1338"/>
      <c r="E2393" s="1338"/>
    </row>
    <row r="2394" spans="1:5" s="1266" customFormat="1" ht="30">
      <c r="A2394" s="1311"/>
      <c r="B2394" s="1332" t="s">
        <v>3360</v>
      </c>
      <c r="C2394" s="1343" t="s">
        <v>217</v>
      </c>
      <c r="D2394" s="1338">
        <v>72700</v>
      </c>
      <c r="E2394" s="1363">
        <f>D2394*$E$5</f>
        <v>77280.099999999991</v>
      </c>
    </row>
    <row r="2395" spans="1:5" s="1266" customFormat="1">
      <c r="A2395" s="1311"/>
      <c r="B2395" s="1332"/>
      <c r="C2395" s="1343"/>
      <c r="D2395" s="1338"/>
      <c r="E2395" s="1338"/>
    </row>
    <row r="2396" spans="1:5" s="1266" customFormat="1" ht="30">
      <c r="A2396" s="1311"/>
      <c r="B2396" s="1332" t="s">
        <v>3361</v>
      </c>
      <c r="C2396" s="1343" t="s">
        <v>217</v>
      </c>
      <c r="D2396" s="1338">
        <v>42990</v>
      </c>
      <c r="E2396" s="1363">
        <f>D2396*$E$5</f>
        <v>45698.369999999995</v>
      </c>
    </row>
    <row r="2397" spans="1:5" s="1266" customFormat="1">
      <c r="A2397" s="1311"/>
      <c r="B2397" s="1332"/>
      <c r="C2397" s="1343"/>
      <c r="D2397" s="1338"/>
      <c r="E2397" s="1338"/>
    </row>
    <row r="2398" spans="1:5" s="1266" customFormat="1" ht="30">
      <c r="A2398" s="1311"/>
      <c r="B2398" s="1332" t="s">
        <v>3362</v>
      </c>
      <c r="C2398" s="1343" t="s">
        <v>217</v>
      </c>
      <c r="D2398" s="1338">
        <v>42040</v>
      </c>
      <c r="E2398" s="1363">
        <f>D2398*$E$5</f>
        <v>44688.52</v>
      </c>
    </row>
    <row r="2399" spans="1:5" s="1266" customFormat="1">
      <c r="A2399" s="1311"/>
      <c r="B2399" s="1332"/>
      <c r="C2399" s="1343"/>
      <c r="D2399" s="1338"/>
      <c r="E2399" s="1338"/>
    </row>
    <row r="2400" spans="1:5" s="1266" customFormat="1" ht="30">
      <c r="A2400" s="1311"/>
      <c r="B2400" s="1332" t="s">
        <v>3363</v>
      </c>
      <c r="C2400" s="1343" t="s">
        <v>217</v>
      </c>
      <c r="D2400" s="1338">
        <v>90270</v>
      </c>
      <c r="E2400" s="1363">
        <f>D2400*$E$5</f>
        <v>95957.01</v>
      </c>
    </row>
    <row r="2401" spans="1:5" s="1266" customFormat="1">
      <c r="A2401" s="1311"/>
      <c r="B2401" s="1332"/>
      <c r="C2401" s="1343"/>
      <c r="D2401" s="1338"/>
      <c r="E2401" s="1338"/>
    </row>
    <row r="2402" spans="1:5" s="1266" customFormat="1" ht="30">
      <c r="A2402" s="1311"/>
      <c r="B2402" s="1332" t="s">
        <v>3367</v>
      </c>
      <c r="C2402" s="1343" t="s">
        <v>217</v>
      </c>
      <c r="D2402" s="1338">
        <v>50280</v>
      </c>
      <c r="E2402" s="1363">
        <f>D2402*$E$5</f>
        <v>53447.64</v>
      </c>
    </row>
    <row r="2403" spans="1:5" s="1266" customFormat="1">
      <c r="A2403" s="1311"/>
      <c r="B2403" s="1332"/>
      <c r="C2403" s="1343"/>
      <c r="D2403" s="1338"/>
      <c r="E2403" s="1338"/>
    </row>
    <row r="2404" spans="1:5" s="1266" customFormat="1" ht="30">
      <c r="A2404" s="1311"/>
      <c r="B2404" s="1332" t="s">
        <v>3368</v>
      </c>
      <c r="C2404" s="1343" t="s">
        <v>217</v>
      </c>
      <c r="D2404" s="1338">
        <v>51030</v>
      </c>
      <c r="E2404" s="1363">
        <f>D2404*$E$5</f>
        <v>54244.89</v>
      </c>
    </row>
    <row r="2405" spans="1:5" s="1266" customFormat="1">
      <c r="A2405" s="1311"/>
      <c r="B2405" s="1332"/>
      <c r="C2405" s="1343"/>
      <c r="D2405" s="1338"/>
      <c r="E2405" s="1338"/>
    </row>
    <row r="2406" spans="1:5" s="1266" customFormat="1" ht="30">
      <c r="A2406" s="1311"/>
      <c r="B2406" s="1332" t="s">
        <v>3369</v>
      </c>
      <c r="C2406" s="1343" t="s">
        <v>217</v>
      </c>
      <c r="D2406" s="1338">
        <v>58266</v>
      </c>
      <c r="E2406" s="1363">
        <f>D2406*$E$5</f>
        <v>61936.757999999994</v>
      </c>
    </row>
    <row r="2407" spans="1:5" s="1266" customFormat="1">
      <c r="A2407" s="1311"/>
      <c r="B2407" s="1332"/>
      <c r="C2407" s="1343"/>
      <c r="D2407" s="1338"/>
      <c r="E2407" s="1338"/>
    </row>
    <row r="2408" spans="1:5" s="1266" customFormat="1" ht="30">
      <c r="A2408" s="1311"/>
      <c r="B2408" s="1332" t="s">
        <v>3370</v>
      </c>
      <c r="C2408" s="1343" t="s">
        <v>217</v>
      </c>
      <c r="D2408" s="1338">
        <v>82890</v>
      </c>
      <c r="E2408" s="1363">
        <f>D2408*$E$5</f>
        <v>88112.069999999992</v>
      </c>
    </row>
    <row r="2409" spans="1:5" s="1266" customFormat="1">
      <c r="A2409" s="1311"/>
      <c r="B2409" s="1332"/>
      <c r="C2409" s="1343"/>
      <c r="D2409" s="1338"/>
      <c r="E2409" s="1338"/>
    </row>
    <row r="2410" spans="1:5" s="1266" customFormat="1" ht="30">
      <c r="A2410" s="1311"/>
      <c r="B2410" s="1332" t="s">
        <v>3371</v>
      </c>
      <c r="C2410" s="1343" t="s">
        <v>217</v>
      </c>
      <c r="D2410" s="1338">
        <v>170580</v>
      </c>
      <c r="E2410" s="1363">
        <f>D2410*$E$5</f>
        <v>181326.53999999998</v>
      </c>
    </row>
    <row r="2411" spans="1:5" s="1266" customFormat="1">
      <c r="A2411" s="1311"/>
      <c r="B2411" s="1332"/>
      <c r="C2411" s="1343"/>
      <c r="D2411" s="1338"/>
      <c r="E2411" s="1338"/>
    </row>
    <row r="2412" spans="1:5" s="1266" customFormat="1" ht="30">
      <c r="A2412" s="1311"/>
      <c r="B2412" s="1332" t="s">
        <v>3372</v>
      </c>
      <c r="C2412" s="1343" t="s">
        <v>217</v>
      </c>
      <c r="D2412" s="1338">
        <v>114300</v>
      </c>
      <c r="E2412" s="1363">
        <f>D2412*$E$5</f>
        <v>121500.9</v>
      </c>
    </row>
    <row r="2413" spans="1:5" s="1266" customFormat="1">
      <c r="A2413" s="1311"/>
      <c r="B2413" s="1332"/>
      <c r="C2413" s="1343"/>
      <c r="D2413" s="1338"/>
      <c r="E2413" s="1338"/>
    </row>
    <row r="2414" spans="1:5" s="1266" customFormat="1" ht="30">
      <c r="A2414" s="1311"/>
      <c r="B2414" s="1332" t="s">
        <v>3373</v>
      </c>
      <c r="C2414" s="1343" t="s">
        <v>217</v>
      </c>
      <c r="D2414" s="1338">
        <v>141440</v>
      </c>
      <c r="E2414" s="1363">
        <f>D2414*$E$5</f>
        <v>150350.72</v>
      </c>
    </row>
    <row r="2415" spans="1:5" s="1266" customFormat="1">
      <c r="A2415" s="1311"/>
      <c r="B2415" s="1332"/>
      <c r="C2415" s="1343"/>
      <c r="D2415" s="1338"/>
      <c r="E2415" s="1338"/>
    </row>
    <row r="2416" spans="1:5" s="1266" customFormat="1" ht="30">
      <c r="A2416" s="1311"/>
      <c r="B2416" s="1332" t="s">
        <v>3366</v>
      </c>
      <c r="C2416" s="1343" t="s">
        <v>217</v>
      </c>
      <c r="D2416" s="1338">
        <v>63540</v>
      </c>
      <c r="E2416" s="1363">
        <f>D2416*$E$5</f>
        <v>67543.01999999999</v>
      </c>
    </row>
    <row r="2417" spans="1:5" s="1266" customFormat="1">
      <c r="A2417" s="1311"/>
      <c r="B2417" s="1332"/>
      <c r="C2417" s="1343"/>
      <c r="D2417" s="1338"/>
      <c r="E2417" s="1338"/>
    </row>
    <row r="2418" spans="1:5" s="1266" customFormat="1" ht="102.75">
      <c r="A2418" s="1311"/>
      <c r="B2418" s="1331" t="s">
        <v>3364</v>
      </c>
      <c r="C2418" s="1343"/>
      <c r="D2418" s="1338"/>
      <c r="E2418" s="1338"/>
    </row>
    <row r="2419" spans="1:5" s="1266" customFormat="1">
      <c r="A2419" s="1311"/>
      <c r="B2419" s="1332"/>
      <c r="C2419" s="1343"/>
      <c r="D2419" s="1338"/>
      <c r="E2419" s="1338"/>
    </row>
    <row r="2420" spans="1:5" s="1266" customFormat="1" ht="30">
      <c r="A2420" s="1311"/>
      <c r="B2420" s="1332" t="s">
        <v>3365</v>
      </c>
      <c r="C2420" s="1343" t="s">
        <v>217</v>
      </c>
      <c r="D2420" s="1338">
        <v>60690</v>
      </c>
      <c r="E2420" s="1363">
        <f>D2420*$E$5</f>
        <v>64513.469999999994</v>
      </c>
    </row>
    <row r="2421" spans="1:5" s="1266" customFormat="1">
      <c r="A2421" s="1311"/>
      <c r="B2421" s="1332"/>
      <c r="C2421" s="1343"/>
      <c r="D2421" s="1338"/>
      <c r="E2421" s="1338"/>
    </row>
    <row r="2422" spans="1:5" s="1266" customFormat="1" ht="102.75">
      <c r="A2422" s="1311"/>
      <c r="B2422" s="1331" t="s">
        <v>3374</v>
      </c>
      <c r="C2422" s="1343"/>
      <c r="D2422" s="1338"/>
      <c r="E2422" s="1338"/>
    </row>
    <row r="2423" spans="1:5" s="1266" customFormat="1">
      <c r="A2423" s="1311"/>
      <c r="B2423" s="1332"/>
      <c r="C2423" s="1343"/>
      <c r="D2423" s="1338"/>
      <c r="E2423" s="1338"/>
    </row>
    <row r="2424" spans="1:5" s="1266" customFormat="1" ht="30">
      <c r="A2424" s="1311"/>
      <c r="B2424" s="1332" t="s">
        <v>3375</v>
      </c>
      <c r="C2424" s="1343" t="s">
        <v>217</v>
      </c>
      <c r="D2424" s="1338">
        <v>71950</v>
      </c>
      <c r="E2424" s="1363">
        <f>D2424*$E$5</f>
        <v>76482.849999999991</v>
      </c>
    </row>
    <row r="2425" spans="1:5" s="1266" customFormat="1">
      <c r="A2425" s="1311"/>
      <c r="B2425" s="1332"/>
      <c r="C2425" s="1343"/>
      <c r="D2425" s="1338"/>
      <c r="E2425" s="1338"/>
    </row>
    <row r="2426" spans="1:5" s="1266" customFormat="1" ht="30">
      <c r="A2426" s="1311"/>
      <c r="B2426" s="1332" t="s">
        <v>3376</v>
      </c>
      <c r="C2426" s="1343" t="s">
        <v>217</v>
      </c>
      <c r="D2426" s="1338">
        <v>118800</v>
      </c>
      <c r="E2426" s="1363">
        <f>D2426*$E$5</f>
        <v>126284.4</v>
      </c>
    </row>
    <row r="2427" spans="1:5" s="1266" customFormat="1">
      <c r="A2427" s="1311"/>
      <c r="B2427" s="1332"/>
      <c r="C2427" s="1343"/>
      <c r="D2427" s="1338"/>
      <c r="E2427" s="1338"/>
    </row>
    <row r="2428" spans="1:5" s="1266" customFormat="1" ht="30">
      <c r="A2428" s="1311"/>
      <c r="B2428" s="1332" t="s">
        <v>3377</v>
      </c>
      <c r="C2428" s="1343" t="s">
        <v>217</v>
      </c>
      <c r="D2428" s="1338">
        <v>196450</v>
      </c>
      <c r="E2428" s="1363">
        <f>D2428*$E$5</f>
        <v>208826.34999999998</v>
      </c>
    </row>
    <row r="2429" spans="1:5" s="1266" customFormat="1">
      <c r="A2429" s="1311"/>
      <c r="B2429" s="1332"/>
      <c r="C2429" s="1343"/>
      <c r="D2429" s="1338"/>
      <c r="E2429" s="1338"/>
    </row>
    <row r="2430" spans="1:5" s="1266" customFormat="1" ht="30">
      <c r="A2430" s="1311"/>
      <c r="B2430" s="1332" t="s">
        <v>3378</v>
      </c>
      <c r="C2430" s="1343" t="s">
        <v>217</v>
      </c>
      <c r="D2430" s="1338">
        <v>154850</v>
      </c>
      <c r="E2430" s="1363">
        <f>D2430*$E$5</f>
        <v>164605.54999999999</v>
      </c>
    </row>
    <row r="2431" spans="1:5" s="1266" customFormat="1">
      <c r="A2431" s="1311"/>
      <c r="B2431" s="1332"/>
      <c r="C2431" s="1343"/>
      <c r="D2431" s="1338"/>
      <c r="E2431" s="1338"/>
    </row>
    <row r="2432" spans="1:5" s="1266" customFormat="1" ht="30">
      <c r="A2432" s="1311"/>
      <c r="B2432" s="1332" t="s">
        <v>3391</v>
      </c>
      <c r="C2432" s="1343" t="s">
        <v>217</v>
      </c>
      <c r="D2432" s="1338">
        <v>68360</v>
      </c>
      <c r="E2432" s="1363">
        <f>D2432*$E$5</f>
        <v>72666.679999999993</v>
      </c>
    </row>
    <row r="2433" spans="1:5" s="1266" customFormat="1">
      <c r="A2433" s="1311"/>
      <c r="B2433" s="1332"/>
      <c r="C2433" s="1343"/>
      <c r="D2433" s="1338"/>
      <c r="E2433" s="1338"/>
    </row>
    <row r="2434" spans="1:5" s="1266" customFormat="1" ht="30">
      <c r="A2434" s="1311"/>
      <c r="B2434" s="1332" t="s">
        <v>3379</v>
      </c>
      <c r="C2434" s="1343" t="s">
        <v>217</v>
      </c>
      <c r="D2434" s="1338">
        <v>149440</v>
      </c>
      <c r="E2434" s="1363">
        <f>D2434*$E$5</f>
        <v>158854.72</v>
      </c>
    </row>
    <row r="2435" spans="1:5" s="1266" customFormat="1">
      <c r="A2435" s="1311"/>
      <c r="B2435" s="1332"/>
      <c r="C2435" s="1343"/>
      <c r="D2435" s="1338"/>
      <c r="E2435" s="1338"/>
    </row>
    <row r="2436" spans="1:5" s="1266" customFormat="1" ht="30">
      <c r="A2436" s="1311"/>
      <c r="B2436" s="1332" t="s">
        <v>3380</v>
      </c>
      <c r="C2436" s="1343" t="s">
        <v>217</v>
      </c>
      <c r="D2436" s="1338">
        <v>67510</v>
      </c>
      <c r="E2436" s="1363">
        <f>D2436*$E$5</f>
        <v>71763.12999999999</v>
      </c>
    </row>
    <row r="2437" spans="1:5" s="1266" customFormat="1">
      <c r="A2437" s="1311"/>
      <c r="B2437" s="1332"/>
      <c r="C2437" s="1343"/>
      <c r="D2437" s="1338"/>
      <c r="E2437" s="1338"/>
    </row>
    <row r="2438" spans="1:5" s="1266" customFormat="1" ht="30">
      <c r="A2438" s="1311"/>
      <c r="B2438" s="1332" t="s">
        <v>3381</v>
      </c>
      <c r="C2438" s="1343" t="s">
        <v>217</v>
      </c>
      <c r="D2438" s="1338">
        <v>70580</v>
      </c>
      <c r="E2438" s="1363">
        <f>D2438*$E$5</f>
        <v>75026.539999999994</v>
      </c>
    </row>
    <row r="2439" spans="1:5" s="1266" customFormat="1">
      <c r="A2439" s="1311"/>
      <c r="B2439" s="1332"/>
      <c r="C2439" s="1343"/>
      <c r="D2439" s="1338"/>
      <c r="E2439" s="1338"/>
    </row>
    <row r="2440" spans="1:5" s="1266" customFormat="1" ht="30">
      <c r="A2440" s="1311"/>
      <c r="B2440" s="1332" t="s">
        <v>3382</v>
      </c>
      <c r="C2440" s="1343" t="s">
        <v>217</v>
      </c>
      <c r="D2440" s="1338">
        <v>60040</v>
      </c>
      <c r="E2440" s="1363">
        <f>D2440*$E$5</f>
        <v>63822.52</v>
      </c>
    </row>
    <row r="2441" spans="1:5" s="1266" customFormat="1">
      <c r="A2441" s="1311"/>
      <c r="B2441" s="1332"/>
      <c r="C2441" s="1343"/>
      <c r="D2441" s="1338"/>
      <c r="E2441" s="1338"/>
    </row>
    <row r="2442" spans="1:5" s="1266" customFormat="1" ht="30">
      <c r="A2442" s="1311"/>
      <c r="B2442" s="1332" t="s">
        <v>3390</v>
      </c>
      <c r="C2442" s="1343" t="s">
        <v>217</v>
      </c>
      <c r="D2442" s="1338">
        <v>59900</v>
      </c>
      <c r="E2442" s="1363">
        <f>D2442*$E$5</f>
        <v>63673.7</v>
      </c>
    </row>
    <row r="2443" spans="1:5" s="1266" customFormat="1">
      <c r="A2443" s="1311"/>
      <c r="B2443" s="1332"/>
      <c r="C2443" s="1343"/>
      <c r="D2443" s="1338"/>
      <c r="E2443" s="1338"/>
    </row>
    <row r="2444" spans="1:5" s="1266" customFormat="1" ht="30">
      <c r="A2444" s="1311"/>
      <c r="B2444" s="1332" t="s">
        <v>3389</v>
      </c>
      <c r="C2444" s="1343" t="s">
        <v>217</v>
      </c>
      <c r="D2444" s="1338">
        <v>68690</v>
      </c>
      <c r="E2444" s="1363">
        <f>D2444*$E$5</f>
        <v>73017.47</v>
      </c>
    </row>
    <row r="2445" spans="1:5" s="1266" customFormat="1">
      <c r="A2445" s="1311"/>
      <c r="B2445" s="1332"/>
      <c r="C2445" s="1343"/>
      <c r="D2445" s="1338"/>
      <c r="E2445" s="1338"/>
    </row>
    <row r="2446" spans="1:5" s="1266" customFormat="1" ht="30">
      <c r="A2446" s="1311"/>
      <c r="B2446" s="1332" t="s">
        <v>3388</v>
      </c>
      <c r="C2446" s="1343" t="s">
        <v>217</v>
      </c>
      <c r="D2446" s="1338">
        <v>157170</v>
      </c>
      <c r="E2446" s="1363">
        <f>D2446*$E$5</f>
        <v>167071.71</v>
      </c>
    </row>
    <row r="2447" spans="1:5" s="1266" customFormat="1">
      <c r="A2447" s="1311"/>
      <c r="B2447" s="1332"/>
      <c r="C2447" s="1343"/>
      <c r="D2447" s="1338"/>
      <c r="E2447" s="1338"/>
    </row>
    <row r="2448" spans="1:5" s="1266" customFormat="1" ht="30">
      <c r="A2448" s="1311"/>
      <c r="B2448" s="1332" t="s">
        <v>3387</v>
      </c>
      <c r="C2448" s="1343" t="s">
        <v>217</v>
      </c>
      <c r="D2448" s="1338">
        <v>69880</v>
      </c>
      <c r="E2448" s="1363">
        <f>D2448*$E$5</f>
        <v>74282.44</v>
      </c>
    </row>
    <row r="2449" spans="1:5" s="1266" customFormat="1">
      <c r="A2449" s="1311"/>
      <c r="B2449" s="1332"/>
      <c r="C2449" s="1343"/>
      <c r="D2449" s="1338"/>
      <c r="E2449" s="1338"/>
    </row>
    <row r="2450" spans="1:5" s="1266" customFormat="1" ht="30">
      <c r="A2450" s="1311"/>
      <c r="B2450" s="1332" t="s">
        <v>3386</v>
      </c>
      <c r="C2450" s="1343" t="s">
        <v>217</v>
      </c>
      <c r="D2450" s="1338">
        <v>69170</v>
      </c>
      <c r="E2450" s="1363">
        <f>D2450*$E$5</f>
        <v>73527.709999999992</v>
      </c>
    </row>
    <row r="2451" spans="1:5" s="1266" customFormat="1">
      <c r="A2451" s="1311"/>
      <c r="B2451" s="1332"/>
      <c r="C2451" s="1343"/>
      <c r="D2451" s="1338"/>
      <c r="E2451" s="1338"/>
    </row>
    <row r="2452" spans="1:5" s="1266" customFormat="1" ht="102.75">
      <c r="A2452" s="1311"/>
      <c r="B2452" s="1331" t="s">
        <v>3385</v>
      </c>
      <c r="C2452" s="1343"/>
      <c r="D2452" s="1338"/>
      <c r="E2452" s="1338"/>
    </row>
    <row r="2453" spans="1:5" s="1266" customFormat="1">
      <c r="A2453" s="1311"/>
      <c r="B2453" s="1332"/>
      <c r="C2453" s="1343"/>
      <c r="D2453" s="1338"/>
      <c r="E2453" s="1338"/>
    </row>
    <row r="2454" spans="1:5" s="1266" customFormat="1" ht="30">
      <c r="A2454" s="1311"/>
      <c r="B2454" s="1332" t="s">
        <v>3383</v>
      </c>
      <c r="C2454" s="1343" t="s">
        <v>217</v>
      </c>
      <c r="D2454" s="1338">
        <v>62750</v>
      </c>
      <c r="E2454" s="1363">
        <f>D2454*$E$5</f>
        <v>66703.25</v>
      </c>
    </row>
    <row r="2455" spans="1:5" s="1266" customFormat="1">
      <c r="A2455" s="1311"/>
      <c r="B2455" s="1332"/>
      <c r="C2455" s="1343"/>
      <c r="D2455" s="1338"/>
      <c r="E2455" s="1338"/>
    </row>
    <row r="2456" spans="1:5" s="1266" customFormat="1" ht="30">
      <c r="A2456" s="1311"/>
      <c r="B2456" s="1332" t="s">
        <v>3384</v>
      </c>
      <c r="C2456" s="1343" t="s">
        <v>217</v>
      </c>
      <c r="D2456" s="1338">
        <v>65560</v>
      </c>
      <c r="E2456" s="1363">
        <f>D2456*$E$5</f>
        <v>69690.28</v>
      </c>
    </row>
    <row r="2457" spans="1:5" s="1266" customFormat="1">
      <c r="A2457" s="1311"/>
      <c r="B2457" s="1332"/>
      <c r="C2457" s="1343"/>
      <c r="D2457" s="1338"/>
      <c r="E2457" s="1338"/>
    </row>
    <row r="2458" spans="1:5" s="1266" customFormat="1">
      <c r="A2458" s="1311"/>
      <c r="B2458" s="1312" t="s">
        <v>2488</v>
      </c>
      <c r="C2458" s="1343"/>
      <c r="D2458" s="1338"/>
      <c r="E2458" s="1338"/>
    </row>
    <row r="2459" spans="1:5" s="1266" customFormat="1">
      <c r="A2459" s="1311"/>
      <c r="B2459" s="1332"/>
      <c r="C2459" s="1343"/>
      <c r="D2459" s="1338"/>
      <c r="E2459" s="1338"/>
    </row>
    <row r="2460" spans="1:5" s="1266" customFormat="1" ht="90">
      <c r="A2460" s="1311"/>
      <c r="B2460" s="1331" t="s">
        <v>3419</v>
      </c>
      <c r="C2460" s="1343"/>
      <c r="D2460" s="1338"/>
      <c r="E2460" s="1338"/>
    </row>
    <row r="2461" spans="1:5" s="1266" customFormat="1">
      <c r="A2461" s="1311"/>
      <c r="B2461" s="1332"/>
      <c r="C2461" s="1343"/>
      <c r="D2461" s="1338"/>
      <c r="E2461" s="1338"/>
    </row>
    <row r="2462" spans="1:5" s="1266" customFormat="1" ht="60">
      <c r="A2462" s="1311"/>
      <c r="B2462" s="1332" t="s">
        <v>2489</v>
      </c>
      <c r="C2462" s="1343" t="s">
        <v>217</v>
      </c>
      <c r="D2462" s="1338">
        <v>145530</v>
      </c>
      <c r="E2462" s="1363">
        <f>D2462*$E$5</f>
        <v>154698.38999999998</v>
      </c>
    </row>
    <row r="2463" spans="1:5" s="1266" customFormat="1">
      <c r="A2463" s="1311"/>
      <c r="B2463" s="1332"/>
      <c r="C2463" s="1343"/>
      <c r="D2463" s="1338"/>
      <c r="E2463" s="1338"/>
    </row>
    <row r="2464" spans="1:5" s="1266" customFormat="1" ht="90">
      <c r="A2464" s="1311"/>
      <c r="B2464" s="1331" t="s">
        <v>3420</v>
      </c>
      <c r="C2464" s="1343"/>
      <c r="D2464" s="1338"/>
      <c r="E2464" s="1338"/>
    </row>
    <row r="2465" spans="1:5" s="1266" customFormat="1">
      <c r="A2465" s="1311"/>
      <c r="B2465" s="1332"/>
      <c r="C2465" s="1343"/>
      <c r="D2465" s="1338"/>
      <c r="E2465" s="1338"/>
    </row>
    <row r="2466" spans="1:5" s="1266" customFormat="1" ht="30">
      <c r="A2466" s="1311"/>
      <c r="B2466" s="1332" t="s">
        <v>3421</v>
      </c>
      <c r="C2466" s="1343" t="s">
        <v>217</v>
      </c>
      <c r="D2466" s="1338">
        <v>381600</v>
      </c>
      <c r="E2466" s="1363">
        <f>D2466*$E$5</f>
        <v>405640.8</v>
      </c>
    </row>
    <row r="2467" spans="1:5" s="1266" customFormat="1">
      <c r="A2467" s="1311"/>
      <c r="B2467" s="1332"/>
      <c r="C2467" s="1343"/>
      <c r="D2467" s="1338"/>
      <c r="E2467" s="1338"/>
    </row>
    <row r="2468" spans="1:5" s="1266" customFormat="1" ht="90">
      <c r="A2468" s="1311"/>
      <c r="B2468" s="1331" t="s">
        <v>3422</v>
      </c>
      <c r="C2468" s="1343"/>
      <c r="D2468" s="1338"/>
      <c r="E2468" s="1338"/>
    </row>
    <row r="2469" spans="1:5" s="1266" customFormat="1">
      <c r="A2469" s="1311"/>
      <c r="B2469" s="1332"/>
      <c r="C2469" s="1343"/>
      <c r="D2469" s="1338"/>
      <c r="E2469" s="1338"/>
    </row>
    <row r="2470" spans="1:5" s="1266" customFormat="1" ht="30">
      <c r="A2470" s="1311"/>
      <c r="B2470" s="1332" t="s">
        <v>3423</v>
      </c>
      <c r="C2470" s="1343" t="s">
        <v>217</v>
      </c>
      <c r="D2470" s="1338">
        <v>60970</v>
      </c>
      <c r="E2470" s="1363">
        <f>D2470*$E$5</f>
        <v>64811.109999999993</v>
      </c>
    </row>
    <row r="2471" spans="1:5" s="1266" customFormat="1">
      <c r="A2471" s="1311"/>
      <c r="B2471" s="1332"/>
      <c r="C2471" s="1343"/>
      <c r="D2471" s="1338"/>
      <c r="E2471" s="1338"/>
    </row>
    <row r="2472" spans="1:5" s="1266" customFormat="1" ht="30">
      <c r="A2472" s="1311"/>
      <c r="B2472" s="1332" t="s">
        <v>3424</v>
      </c>
      <c r="C2472" s="1343" t="s">
        <v>217</v>
      </c>
      <c r="D2472" s="1338">
        <v>55350</v>
      </c>
      <c r="E2472" s="1363">
        <f>D2472*$E$5</f>
        <v>58837.049999999996</v>
      </c>
    </row>
    <row r="2473" spans="1:5" s="1266" customFormat="1">
      <c r="A2473" s="1311"/>
      <c r="B2473" s="1332"/>
      <c r="C2473" s="1343"/>
      <c r="D2473" s="1338"/>
      <c r="E2473" s="1338"/>
    </row>
    <row r="2474" spans="1:5" s="1266" customFormat="1" ht="30">
      <c r="A2474" s="1311"/>
      <c r="B2474" s="1332" t="s">
        <v>3425</v>
      </c>
      <c r="C2474" s="1343" t="s">
        <v>217</v>
      </c>
      <c r="D2474" s="1338">
        <v>154980</v>
      </c>
      <c r="E2474" s="1363">
        <f>D2474*$E$5</f>
        <v>164743.74</v>
      </c>
    </row>
    <row r="2475" spans="1:5" s="1266" customFormat="1">
      <c r="A2475" s="1311"/>
      <c r="B2475" s="1332"/>
      <c r="C2475" s="1343"/>
      <c r="D2475" s="1338"/>
      <c r="E2475" s="1338"/>
    </row>
    <row r="2476" spans="1:5" s="1266" customFormat="1" ht="30">
      <c r="A2476" s="1311"/>
      <c r="B2476" s="1332" t="s">
        <v>3426</v>
      </c>
      <c r="C2476" s="1343" t="s">
        <v>217</v>
      </c>
      <c r="D2476" s="1338">
        <v>98220</v>
      </c>
      <c r="E2476" s="1363">
        <f>D2476*$E$5</f>
        <v>104407.86</v>
      </c>
    </row>
    <row r="2477" spans="1:5" s="1266" customFormat="1">
      <c r="A2477" s="1311"/>
      <c r="B2477" s="1332"/>
      <c r="C2477" s="1343"/>
      <c r="D2477" s="1338"/>
      <c r="E2477" s="1338"/>
    </row>
    <row r="2478" spans="1:5" s="1266" customFormat="1" ht="30">
      <c r="A2478" s="1311"/>
      <c r="B2478" s="1332" t="s">
        <v>3427</v>
      </c>
      <c r="C2478" s="1343" t="s">
        <v>217</v>
      </c>
      <c r="D2478" s="1338">
        <v>41960</v>
      </c>
      <c r="E2478" s="1363">
        <f>D2478*$E$5</f>
        <v>44603.479999999996</v>
      </c>
    </row>
    <row r="2479" spans="1:5" s="1266" customFormat="1">
      <c r="A2479" s="1311"/>
      <c r="B2479" s="1332"/>
      <c r="C2479" s="1343"/>
      <c r="D2479" s="1338"/>
      <c r="E2479" s="1338"/>
    </row>
    <row r="2480" spans="1:5" s="1266" customFormat="1" ht="30">
      <c r="A2480" s="1311"/>
      <c r="B2480" s="1332" t="s">
        <v>3428</v>
      </c>
      <c r="C2480" s="1343" t="s">
        <v>217</v>
      </c>
      <c r="D2480" s="1338">
        <v>97300</v>
      </c>
      <c r="E2480" s="1363">
        <f>D2480*$E$5</f>
        <v>103429.9</v>
      </c>
    </row>
    <row r="2481" spans="1:5" s="1266" customFormat="1">
      <c r="A2481" s="1311"/>
      <c r="B2481" s="1332"/>
      <c r="C2481" s="1343"/>
      <c r="D2481" s="1338"/>
      <c r="E2481" s="1338"/>
    </row>
    <row r="2482" spans="1:5" s="1266" customFormat="1" ht="30">
      <c r="A2482" s="1311"/>
      <c r="B2482" s="1332" t="s">
        <v>3429</v>
      </c>
      <c r="C2482" s="1343" t="s">
        <v>217</v>
      </c>
      <c r="D2482" s="1338">
        <v>146160</v>
      </c>
      <c r="E2482" s="1363">
        <f>D2482*$E$5</f>
        <v>155368.07999999999</v>
      </c>
    </row>
    <row r="2483" spans="1:5" s="1266" customFormat="1">
      <c r="A2483" s="1311"/>
      <c r="B2483" s="1332"/>
      <c r="C2483" s="1343"/>
      <c r="D2483" s="1338"/>
      <c r="E2483" s="1338"/>
    </row>
    <row r="2484" spans="1:5" s="1266" customFormat="1" ht="30">
      <c r="A2484" s="1311"/>
      <c r="B2484" s="1332" t="s">
        <v>3430</v>
      </c>
      <c r="C2484" s="1343" t="s">
        <v>217</v>
      </c>
      <c r="D2484" s="1338">
        <v>101500</v>
      </c>
      <c r="E2484" s="1363">
        <f>D2484*$E$5</f>
        <v>107894.5</v>
      </c>
    </row>
    <row r="2485" spans="1:5" s="1266" customFormat="1">
      <c r="A2485" s="1311"/>
      <c r="B2485" s="1332"/>
      <c r="C2485" s="1343"/>
      <c r="D2485" s="1338"/>
      <c r="E2485" s="1338"/>
    </row>
    <row r="2486" spans="1:5" s="1266" customFormat="1" ht="30">
      <c r="A2486" s="1311"/>
      <c r="B2486" s="1332" t="s">
        <v>3431</v>
      </c>
      <c r="C2486" s="1343" t="s">
        <v>217</v>
      </c>
      <c r="D2486" s="1338">
        <v>142500</v>
      </c>
      <c r="E2486" s="1363">
        <f>D2486*$E$5</f>
        <v>151477.5</v>
      </c>
    </row>
    <row r="2487" spans="1:5" s="1266" customFormat="1">
      <c r="A2487" s="1311"/>
      <c r="B2487" s="1332"/>
      <c r="C2487" s="1343"/>
      <c r="D2487" s="1338"/>
      <c r="E2487" s="1338"/>
    </row>
    <row r="2488" spans="1:5" s="1266" customFormat="1" ht="30">
      <c r="A2488" s="1311"/>
      <c r="B2488" s="1332" t="s">
        <v>3432</v>
      </c>
      <c r="C2488" s="1343" t="s">
        <v>217</v>
      </c>
      <c r="D2488" s="1338">
        <v>38260</v>
      </c>
      <c r="E2488" s="1363">
        <f>D2488*$E$5</f>
        <v>40670.379999999997</v>
      </c>
    </row>
    <row r="2489" spans="1:5" s="1266" customFormat="1">
      <c r="A2489" s="1311"/>
      <c r="B2489" s="1332"/>
      <c r="C2489" s="1343"/>
      <c r="D2489" s="1338"/>
      <c r="E2489" s="1338"/>
    </row>
    <row r="2490" spans="1:5" s="1266" customFormat="1" ht="30">
      <c r="A2490" s="1311"/>
      <c r="B2490" s="1332" t="s">
        <v>3433</v>
      </c>
      <c r="C2490" s="1343" t="s">
        <v>217</v>
      </c>
      <c r="D2490" s="1338">
        <v>120470</v>
      </c>
      <c r="E2490" s="1363">
        <f>D2490*$E$5</f>
        <v>128059.61</v>
      </c>
    </row>
    <row r="2491" spans="1:5" s="1266" customFormat="1">
      <c r="A2491" s="1311"/>
      <c r="B2491" s="1332"/>
      <c r="C2491" s="1343"/>
      <c r="D2491" s="1338"/>
      <c r="E2491" s="1338"/>
    </row>
    <row r="2492" spans="1:5" s="1266" customFormat="1" ht="30">
      <c r="A2492" s="1311"/>
      <c r="B2492" s="1332" t="s">
        <v>3434</v>
      </c>
      <c r="C2492" s="1343" t="s">
        <v>217</v>
      </c>
      <c r="D2492" s="1338">
        <v>86720</v>
      </c>
      <c r="E2492" s="1363">
        <f>D2492*$E$5</f>
        <v>92183.360000000001</v>
      </c>
    </row>
    <row r="2493" spans="1:5" s="1266" customFormat="1">
      <c r="A2493" s="1311"/>
      <c r="B2493" s="1332"/>
      <c r="C2493" s="1343"/>
      <c r="D2493" s="1338"/>
      <c r="E2493" s="1338"/>
    </row>
    <row r="2494" spans="1:5" s="1266" customFormat="1" ht="30">
      <c r="A2494" s="1311"/>
      <c r="B2494" s="1332" t="s">
        <v>3435</v>
      </c>
      <c r="C2494" s="1343" t="s">
        <v>217</v>
      </c>
      <c r="D2494" s="1338">
        <v>96840</v>
      </c>
      <c r="E2494" s="1363">
        <f>D2494*$E$5</f>
        <v>102940.92</v>
      </c>
    </row>
    <row r="2495" spans="1:5" s="1266" customFormat="1">
      <c r="A2495" s="1311"/>
      <c r="B2495" s="1332"/>
      <c r="C2495" s="1343"/>
      <c r="D2495" s="1338"/>
      <c r="E2495" s="1338"/>
    </row>
    <row r="2496" spans="1:5" s="1266" customFormat="1" ht="30">
      <c r="A2496" s="1311"/>
      <c r="B2496" s="1332" t="s">
        <v>3433</v>
      </c>
      <c r="C2496" s="1343" t="s">
        <v>217</v>
      </c>
      <c r="D2496" s="1338">
        <v>120470</v>
      </c>
      <c r="E2496" s="1363">
        <f>D2496*$E$5</f>
        <v>128059.61</v>
      </c>
    </row>
    <row r="2497" spans="1:5" s="1266" customFormat="1">
      <c r="A2497" s="1311"/>
      <c r="B2497" s="1332"/>
      <c r="C2497" s="1343"/>
      <c r="D2497" s="1338"/>
      <c r="E2497" s="1338"/>
    </row>
    <row r="2498" spans="1:5" s="1266" customFormat="1" ht="30">
      <c r="A2498" s="1311"/>
      <c r="B2498" s="1332" t="s">
        <v>3436</v>
      </c>
      <c r="C2498" s="1343" t="s">
        <v>217</v>
      </c>
      <c r="D2498" s="1338">
        <v>75240</v>
      </c>
      <c r="E2498" s="1363">
        <f>D2498*$E$5</f>
        <v>79980.12</v>
      </c>
    </row>
    <row r="2499" spans="1:5" s="1266" customFormat="1">
      <c r="A2499" s="1311"/>
      <c r="B2499" s="1332"/>
      <c r="C2499" s="1343"/>
      <c r="D2499" s="1338"/>
      <c r="E2499" s="1338"/>
    </row>
    <row r="2500" spans="1:5" s="1266" customFormat="1" ht="30">
      <c r="A2500" s="1311"/>
      <c r="B2500" s="1332" t="s">
        <v>3437</v>
      </c>
      <c r="C2500" s="1343" t="s">
        <v>217</v>
      </c>
      <c r="D2500" s="1338">
        <v>268450</v>
      </c>
      <c r="E2500" s="1363">
        <f>D2500*$E$5</f>
        <v>285362.34999999998</v>
      </c>
    </row>
    <row r="2501" spans="1:5" s="1266" customFormat="1">
      <c r="A2501" s="1311"/>
      <c r="B2501" s="1332"/>
      <c r="C2501" s="1343"/>
      <c r="D2501" s="1338"/>
      <c r="E2501" s="1338"/>
    </row>
    <row r="2502" spans="1:5" s="1266" customFormat="1" ht="26.25">
      <c r="A2502" s="1311"/>
      <c r="B2502" s="1312" t="s">
        <v>2490</v>
      </c>
      <c r="C2502" s="1343"/>
      <c r="D2502" s="1338"/>
      <c r="E2502" s="1338"/>
    </row>
    <row r="2503" spans="1:5" s="1266" customFormat="1">
      <c r="A2503" s="1311"/>
      <c r="B2503" s="1332"/>
      <c r="C2503" s="1343"/>
      <c r="D2503" s="1338"/>
      <c r="E2503" s="1338"/>
    </row>
    <row r="2504" spans="1:5" s="1266" customFormat="1" ht="90">
      <c r="A2504" s="1311"/>
      <c r="B2504" s="1331" t="s">
        <v>3438</v>
      </c>
      <c r="C2504" s="1343"/>
      <c r="D2504" s="1338"/>
      <c r="E2504" s="1338"/>
    </row>
    <row r="2505" spans="1:5" s="1266" customFormat="1">
      <c r="A2505" s="1311"/>
      <c r="B2505" s="1332"/>
      <c r="C2505" s="1343"/>
      <c r="D2505" s="1338"/>
      <c r="E2505" s="1338"/>
    </row>
    <row r="2506" spans="1:5" s="1266" customFormat="1" ht="45">
      <c r="A2506" s="1311"/>
      <c r="B2506" s="1332" t="s">
        <v>3439</v>
      </c>
      <c r="C2506" s="1343" t="s">
        <v>217</v>
      </c>
      <c r="D2506" s="1338">
        <v>48600</v>
      </c>
      <c r="E2506" s="1363">
        <f>D2506*$E$5</f>
        <v>51661.799999999996</v>
      </c>
    </row>
    <row r="2507" spans="1:5" s="1266" customFormat="1">
      <c r="A2507" s="1311"/>
      <c r="B2507" s="1332"/>
      <c r="C2507" s="1343"/>
      <c r="D2507" s="1338"/>
      <c r="E2507" s="1338"/>
    </row>
    <row r="2508" spans="1:5" s="1266" customFormat="1" ht="45">
      <c r="A2508" s="1311"/>
      <c r="B2508" s="1332" t="s">
        <v>3440</v>
      </c>
      <c r="C2508" s="1343" t="s">
        <v>217</v>
      </c>
      <c r="D2508" s="1338">
        <v>64800</v>
      </c>
      <c r="E2508" s="1363">
        <f>D2508*$E$5</f>
        <v>68882.399999999994</v>
      </c>
    </row>
    <row r="2509" spans="1:5" s="1266" customFormat="1">
      <c r="A2509" s="1311"/>
      <c r="B2509" s="1332"/>
      <c r="C2509" s="1343"/>
      <c r="D2509" s="1338"/>
      <c r="E2509" s="1338"/>
    </row>
    <row r="2510" spans="1:5" s="1266" customFormat="1" ht="45">
      <c r="A2510" s="1311"/>
      <c r="B2510" s="1332" t="s">
        <v>3441</v>
      </c>
      <c r="C2510" s="1343" t="s">
        <v>217</v>
      </c>
      <c r="D2510" s="1338">
        <v>51930</v>
      </c>
      <c r="E2510" s="1363">
        <f>D2510*$E$5</f>
        <v>55201.59</v>
      </c>
    </row>
    <row r="2511" spans="1:5" s="1266" customFormat="1">
      <c r="A2511" s="1311"/>
      <c r="B2511" s="1332"/>
      <c r="C2511" s="1343"/>
      <c r="D2511" s="1338"/>
      <c r="E2511" s="1338"/>
    </row>
    <row r="2512" spans="1:5" s="1266" customFormat="1" ht="90">
      <c r="A2512" s="1311"/>
      <c r="B2512" s="1331" t="s">
        <v>3442</v>
      </c>
      <c r="C2512" s="1343"/>
      <c r="D2512" s="1338"/>
      <c r="E2512" s="1338"/>
    </row>
    <row r="2513" spans="1:5" s="1266" customFormat="1">
      <c r="A2513" s="1311"/>
      <c r="B2513" s="1332"/>
      <c r="C2513" s="1343"/>
      <c r="D2513" s="1338"/>
      <c r="E2513" s="1338"/>
    </row>
    <row r="2514" spans="1:5" s="1266" customFormat="1" ht="60">
      <c r="A2514" s="1311"/>
      <c r="B2514" s="1332" t="s">
        <v>3443</v>
      </c>
      <c r="C2514" s="1343" t="s">
        <v>217</v>
      </c>
      <c r="D2514" s="1338">
        <v>139730</v>
      </c>
      <c r="E2514" s="1363">
        <f>D2514*$E$5</f>
        <v>148532.99</v>
      </c>
    </row>
    <row r="2515" spans="1:5" s="1266" customFormat="1">
      <c r="A2515" s="1311"/>
      <c r="B2515" s="1332"/>
      <c r="C2515" s="1343"/>
      <c r="D2515" s="1338"/>
      <c r="E2515" s="1338"/>
    </row>
    <row r="2516" spans="1:5" s="1266" customFormat="1" ht="60">
      <c r="A2516" s="1311"/>
      <c r="B2516" s="1332" t="s">
        <v>3444</v>
      </c>
      <c r="C2516" s="1343" t="s">
        <v>217</v>
      </c>
      <c r="D2516" s="1338">
        <v>149040</v>
      </c>
      <c r="E2516" s="1363">
        <f>D2516*$E$5</f>
        <v>158429.51999999999</v>
      </c>
    </row>
    <row r="2517" spans="1:5" s="1266" customFormat="1">
      <c r="A2517" s="1311"/>
      <c r="B2517" s="1332"/>
      <c r="C2517" s="1343"/>
      <c r="D2517" s="1338"/>
      <c r="E2517" s="1338"/>
    </row>
    <row r="2518" spans="1:5" s="1266" customFormat="1" ht="60">
      <c r="A2518" s="1311"/>
      <c r="B2518" s="1332" t="s">
        <v>3445</v>
      </c>
      <c r="C2518" s="1343" t="s">
        <v>217</v>
      </c>
      <c r="D2518" s="1338">
        <v>146480</v>
      </c>
      <c r="E2518" s="1363">
        <f>D2518*$E$5</f>
        <v>155708.24</v>
      </c>
    </row>
    <row r="2519" spans="1:5" s="1266" customFormat="1">
      <c r="A2519" s="1311"/>
      <c r="B2519" s="1332"/>
      <c r="C2519" s="1343"/>
      <c r="D2519" s="1338"/>
      <c r="E2519" s="1338"/>
    </row>
    <row r="2520" spans="1:5" s="1266" customFormat="1" ht="60">
      <c r="A2520" s="1311"/>
      <c r="B2520" s="1332" t="s">
        <v>3446</v>
      </c>
      <c r="C2520" s="1343" t="s">
        <v>217</v>
      </c>
      <c r="D2520" s="1338">
        <v>57240</v>
      </c>
      <c r="E2520" s="1363">
        <f>D2520*$E$5</f>
        <v>60846.119999999995</v>
      </c>
    </row>
    <row r="2521" spans="1:5" s="1266" customFormat="1">
      <c r="A2521" s="1311"/>
      <c r="B2521" s="1332"/>
      <c r="C2521" s="1343"/>
      <c r="D2521" s="1338"/>
      <c r="E2521" s="1338"/>
    </row>
    <row r="2522" spans="1:5" s="1266" customFormat="1" ht="60">
      <c r="A2522" s="1311"/>
      <c r="B2522" s="1332" t="s">
        <v>3447</v>
      </c>
      <c r="C2522" s="1343" t="s">
        <v>217</v>
      </c>
      <c r="D2522" s="1338">
        <v>85860</v>
      </c>
      <c r="E2522" s="1363">
        <f>D2522*$E$5</f>
        <v>91269.18</v>
      </c>
    </row>
    <row r="2523" spans="1:5" s="1266" customFormat="1">
      <c r="A2523" s="1311"/>
      <c r="B2523" s="1332"/>
      <c r="C2523" s="1343"/>
      <c r="D2523" s="1338"/>
      <c r="E2523" s="1338"/>
    </row>
    <row r="2524" spans="1:5" s="1266" customFormat="1" ht="60">
      <c r="A2524" s="1311"/>
      <c r="B2524" s="1332" t="s">
        <v>3448</v>
      </c>
      <c r="C2524" s="1343" t="s">
        <v>217</v>
      </c>
      <c r="D2524" s="1338">
        <v>119610</v>
      </c>
      <c r="E2524" s="1363">
        <f>D2524*$E$5</f>
        <v>127145.43</v>
      </c>
    </row>
    <row r="2525" spans="1:5" s="1266" customFormat="1">
      <c r="A2525" s="1311"/>
      <c r="B2525" s="1332"/>
      <c r="C2525" s="1343"/>
      <c r="D2525" s="1338"/>
      <c r="E2525" s="1338"/>
    </row>
    <row r="2526" spans="1:5" s="1266" customFormat="1">
      <c r="A2526" s="1311"/>
      <c r="B2526" s="1312" t="s">
        <v>2491</v>
      </c>
      <c r="C2526" s="1343"/>
      <c r="D2526" s="1338"/>
      <c r="E2526" s="1338"/>
    </row>
    <row r="2527" spans="1:5" s="1266" customFormat="1">
      <c r="A2527" s="1311"/>
      <c r="B2527" s="1332"/>
      <c r="C2527" s="1343"/>
      <c r="D2527" s="1338"/>
      <c r="E2527" s="1338"/>
    </row>
    <row r="2528" spans="1:5" s="1266" customFormat="1" ht="51.75">
      <c r="A2528" s="1311"/>
      <c r="B2528" s="1331" t="s">
        <v>3449</v>
      </c>
      <c r="C2528" s="1343"/>
      <c r="D2528" s="1338"/>
      <c r="E2528" s="1338"/>
    </row>
    <row r="2529" spans="1:5" s="1266" customFormat="1">
      <c r="A2529" s="1311"/>
      <c r="B2529" s="1332"/>
      <c r="C2529" s="1343"/>
      <c r="D2529" s="1338"/>
      <c r="E2529" s="1338"/>
    </row>
    <row r="2530" spans="1:5" s="1266" customFormat="1" ht="75">
      <c r="A2530" s="1311"/>
      <c r="B2530" s="1332" t="s">
        <v>2492</v>
      </c>
      <c r="C2530" s="1343" t="s">
        <v>217</v>
      </c>
      <c r="D2530" s="1338">
        <v>94057.7</v>
      </c>
      <c r="E2530" s="1363">
        <f>D2530*$E$5</f>
        <v>99983.335099999997</v>
      </c>
    </row>
    <row r="2531" spans="1:5" s="1266" customFormat="1">
      <c r="A2531" s="1311"/>
      <c r="B2531" s="1332"/>
      <c r="C2531" s="1343"/>
      <c r="D2531" s="1338"/>
      <c r="E2531" s="1338"/>
    </row>
    <row r="2532" spans="1:5" s="1266" customFormat="1" ht="75">
      <c r="A2532" s="1311"/>
      <c r="B2532" s="1332" t="s">
        <v>2493</v>
      </c>
      <c r="C2532" s="1343" t="s">
        <v>217</v>
      </c>
      <c r="D2532" s="1338">
        <v>112871.67999999999</v>
      </c>
      <c r="E2532" s="1363">
        <f>D2532*$E$5</f>
        <v>119982.59583999998</v>
      </c>
    </row>
    <row r="2533" spans="1:5" s="1266" customFormat="1">
      <c r="A2533" s="1311"/>
      <c r="B2533" s="1332"/>
      <c r="C2533" s="1343"/>
      <c r="D2533" s="1338"/>
      <c r="E2533" s="1338"/>
    </row>
    <row r="2534" spans="1:5" s="1266" customFormat="1" ht="75">
      <c r="A2534" s="1311"/>
      <c r="B2534" s="1332" t="s">
        <v>2494</v>
      </c>
      <c r="C2534" s="1343" t="s">
        <v>217</v>
      </c>
      <c r="D2534" s="1338">
        <v>100000</v>
      </c>
      <c r="E2534" s="1363">
        <f>D2534*$E$5</f>
        <v>106300</v>
      </c>
    </row>
    <row r="2535" spans="1:5" s="1266" customFormat="1">
      <c r="A2535" s="1311"/>
      <c r="B2535" s="1332"/>
      <c r="C2535" s="1343"/>
      <c r="D2535" s="1338"/>
      <c r="E2535" s="1338"/>
    </row>
    <row r="2536" spans="1:5" s="1266" customFormat="1">
      <c r="A2536" s="1311"/>
      <c r="B2536" s="1312" t="s">
        <v>2495</v>
      </c>
      <c r="C2536" s="1343"/>
      <c r="D2536" s="1338"/>
      <c r="E2536" s="1338"/>
    </row>
    <row r="2537" spans="1:5" s="1266" customFormat="1">
      <c r="A2537" s="1311"/>
      <c r="B2537" s="1332"/>
      <c r="C2537" s="1343"/>
      <c r="D2537" s="1338"/>
      <c r="E2537" s="1338"/>
    </row>
    <row r="2538" spans="1:5" s="1266" customFormat="1" ht="39">
      <c r="A2538" s="1311"/>
      <c r="B2538" s="1331" t="s">
        <v>3450</v>
      </c>
      <c r="C2538" s="1343"/>
      <c r="D2538" s="1338"/>
      <c r="E2538" s="1338"/>
    </row>
    <row r="2539" spans="1:5" s="1266" customFormat="1">
      <c r="A2539" s="1311"/>
      <c r="B2539" s="1332"/>
      <c r="C2539" s="1343"/>
      <c r="D2539" s="1338"/>
      <c r="E2539" s="1338"/>
    </row>
    <row r="2540" spans="1:5" s="1266" customFormat="1" ht="60">
      <c r="A2540" s="1311"/>
      <c r="B2540" s="1332" t="s">
        <v>2496</v>
      </c>
      <c r="C2540" s="1343" t="s">
        <v>217</v>
      </c>
      <c r="D2540" s="1338">
        <v>71689</v>
      </c>
      <c r="E2540" s="1363">
        <f>D2540*$E$5</f>
        <v>76205.406999999992</v>
      </c>
    </row>
    <row r="2541" spans="1:5" s="1266" customFormat="1">
      <c r="A2541" s="1311"/>
      <c r="B2541" s="1332"/>
      <c r="C2541" s="1343"/>
      <c r="D2541" s="1338"/>
      <c r="E2541" s="1338"/>
    </row>
    <row r="2542" spans="1:5" s="1266" customFormat="1">
      <c r="A2542" s="1311"/>
      <c r="B2542" s="1312" t="s">
        <v>2497</v>
      </c>
      <c r="C2542" s="1343"/>
      <c r="D2542" s="1338"/>
      <c r="E2542" s="1338"/>
    </row>
    <row r="2543" spans="1:5" s="1266" customFormat="1">
      <c r="A2543" s="1311"/>
      <c r="B2543" s="1332"/>
      <c r="C2543" s="1343"/>
      <c r="D2543" s="1338"/>
      <c r="E2543" s="1338"/>
    </row>
    <row r="2544" spans="1:5" s="1266" customFormat="1" ht="77.25">
      <c r="A2544" s="1311"/>
      <c r="B2544" s="1331" t="s">
        <v>3451</v>
      </c>
      <c r="C2544" s="1343"/>
      <c r="D2544" s="1338"/>
      <c r="E2544" s="1338"/>
    </row>
    <row r="2545" spans="1:5" s="1266" customFormat="1">
      <c r="A2545" s="1311"/>
      <c r="B2545" s="1332"/>
      <c r="C2545" s="1343"/>
      <c r="D2545" s="1338"/>
      <c r="E2545" s="1338"/>
    </row>
    <row r="2546" spans="1:5" s="1266" customFormat="1" ht="30">
      <c r="A2546" s="1311"/>
      <c r="B2546" s="1332" t="s">
        <v>2498</v>
      </c>
      <c r="C2546" s="1343" t="s">
        <v>217</v>
      </c>
      <c r="D2546" s="1338">
        <v>29500</v>
      </c>
      <c r="E2546" s="1363">
        <f>D2546*$E$5</f>
        <v>31358.5</v>
      </c>
    </row>
    <row r="2547" spans="1:5" s="1266" customFormat="1">
      <c r="A2547" s="1311"/>
      <c r="B2547" s="1332"/>
      <c r="C2547" s="1343"/>
      <c r="D2547" s="1338"/>
      <c r="E2547" s="1338"/>
    </row>
    <row r="2548" spans="1:5" s="1266" customFormat="1">
      <c r="A2548" s="1311"/>
      <c r="B2548" s="1312" t="s">
        <v>2499</v>
      </c>
      <c r="C2548" s="1343"/>
      <c r="D2548" s="1338"/>
      <c r="E2548" s="1338"/>
    </row>
    <row r="2549" spans="1:5" s="1266" customFormat="1">
      <c r="A2549" s="1311"/>
      <c r="B2549" s="1332"/>
      <c r="C2549" s="1343"/>
      <c r="D2549" s="1338"/>
      <c r="E2549" s="1338"/>
    </row>
    <row r="2550" spans="1:5" s="1266" customFormat="1" ht="90">
      <c r="A2550" s="1311"/>
      <c r="B2550" s="1331" t="s">
        <v>3452</v>
      </c>
      <c r="C2550" s="1343"/>
      <c r="D2550" s="1338"/>
      <c r="E2550" s="1338"/>
    </row>
    <row r="2551" spans="1:5" s="1266" customFormat="1">
      <c r="A2551" s="1311"/>
      <c r="B2551" s="1332"/>
      <c r="C2551" s="1343"/>
      <c r="D2551" s="1338"/>
      <c r="E2551" s="1338"/>
    </row>
    <row r="2552" spans="1:5" s="1266" customFormat="1" ht="45">
      <c r="A2552" s="1311"/>
      <c r="B2552" s="1332" t="s">
        <v>2500</v>
      </c>
      <c r="C2552" s="1343" t="s">
        <v>217</v>
      </c>
      <c r="D2552" s="1338">
        <v>36000</v>
      </c>
      <c r="E2552" s="1363">
        <f>D2552*$E$5</f>
        <v>38268</v>
      </c>
    </row>
    <row r="2553" spans="1:5" s="1266" customFormat="1">
      <c r="A2553" s="1311"/>
      <c r="B2553" s="1332"/>
      <c r="C2553" s="1343"/>
      <c r="D2553" s="1338"/>
      <c r="E2553" s="1338"/>
    </row>
    <row r="2554" spans="1:5" s="1266" customFormat="1" ht="45">
      <c r="A2554" s="1311"/>
      <c r="B2554" s="1332" t="s">
        <v>2501</v>
      </c>
      <c r="C2554" s="1343" t="s">
        <v>217</v>
      </c>
      <c r="D2554" s="1338">
        <v>29600</v>
      </c>
      <c r="E2554" s="1363">
        <f>D2554*$E$5</f>
        <v>31464.799999999999</v>
      </c>
    </row>
    <row r="2555" spans="1:5" s="1266" customFormat="1">
      <c r="A2555" s="1311"/>
      <c r="B2555" s="1332"/>
      <c r="C2555" s="1343"/>
      <c r="D2555" s="1338"/>
      <c r="E2555" s="1338"/>
    </row>
    <row r="2556" spans="1:5" s="1266" customFormat="1">
      <c r="A2556" s="1311"/>
      <c r="B2556" s="1312" t="s">
        <v>2340</v>
      </c>
      <c r="C2556" s="1343"/>
      <c r="D2556" s="1338"/>
      <c r="E2556" s="1338"/>
    </row>
    <row r="2557" spans="1:5" s="1266" customFormat="1">
      <c r="A2557" s="1311"/>
      <c r="B2557" s="1332"/>
      <c r="C2557" s="1343"/>
      <c r="D2557" s="1338"/>
      <c r="E2557" s="1338"/>
    </row>
    <row r="2558" spans="1:5" s="1266" customFormat="1" ht="26.25">
      <c r="A2558" s="1311"/>
      <c r="B2558" s="1331" t="s">
        <v>2502</v>
      </c>
      <c r="C2558" s="1343"/>
      <c r="D2558" s="1338"/>
      <c r="E2558" s="1338"/>
    </row>
    <row r="2559" spans="1:5" s="1266" customFormat="1">
      <c r="A2559" s="1311"/>
      <c r="B2559" s="1332"/>
      <c r="C2559" s="1343"/>
      <c r="D2559" s="1338"/>
      <c r="E2559" s="1338"/>
    </row>
    <row r="2560" spans="1:5" s="1266" customFormat="1" ht="30">
      <c r="A2560" s="1311"/>
      <c r="B2560" s="1332" t="s">
        <v>2503</v>
      </c>
      <c r="C2560" s="1343" t="s">
        <v>217</v>
      </c>
      <c r="D2560" s="1338">
        <v>150</v>
      </c>
      <c r="E2560" s="1363">
        <f>D2560*$E$5</f>
        <v>159.44999999999999</v>
      </c>
    </row>
    <row r="2561" spans="1:5" s="1266" customFormat="1">
      <c r="A2561" s="1311"/>
      <c r="B2561" s="1332"/>
      <c r="C2561" s="1343"/>
      <c r="D2561" s="1338"/>
      <c r="E2561" s="1338"/>
    </row>
    <row r="2562" spans="1:5" s="1266" customFormat="1">
      <c r="A2562" s="1311"/>
      <c r="B2562" s="1332" t="s">
        <v>2504</v>
      </c>
      <c r="C2562" s="1343" t="s">
        <v>217</v>
      </c>
      <c r="D2562" s="1338">
        <v>142.88</v>
      </c>
      <c r="E2562" s="1363">
        <f>D2562*$E$5</f>
        <v>151.88144</v>
      </c>
    </row>
    <row r="2563" spans="1:5" s="1266" customFormat="1">
      <c r="A2563" s="1311"/>
      <c r="B2563" s="1332"/>
      <c r="C2563" s="1343"/>
      <c r="D2563" s="1338"/>
      <c r="E2563" s="1338"/>
    </row>
    <row r="2564" spans="1:5" s="1266" customFormat="1">
      <c r="A2564" s="1311"/>
      <c r="B2564" s="1312" t="s">
        <v>2505</v>
      </c>
      <c r="C2564" s="1343"/>
      <c r="D2564" s="1338"/>
      <c r="E2564" s="1338"/>
    </row>
    <row r="2565" spans="1:5" s="1266" customFormat="1">
      <c r="A2565" s="1311"/>
      <c r="B2565" s="1332"/>
      <c r="C2565" s="1343"/>
      <c r="D2565" s="1338"/>
      <c r="E2565" s="1338"/>
    </row>
    <row r="2566" spans="1:5" s="1266" customFormat="1">
      <c r="A2566" s="1311"/>
      <c r="B2566" s="1312" t="s">
        <v>2506</v>
      </c>
      <c r="C2566" s="1343"/>
      <c r="D2566" s="1338"/>
      <c r="E2566" s="1338"/>
    </row>
    <row r="2567" spans="1:5" s="1266" customFormat="1">
      <c r="A2567" s="1311"/>
      <c r="B2567" s="1332"/>
      <c r="C2567" s="1343"/>
      <c r="D2567" s="1338"/>
      <c r="E2567" s="1338"/>
    </row>
    <row r="2568" spans="1:5" s="1266" customFormat="1">
      <c r="A2568" s="1311"/>
      <c r="B2568" s="1331" t="s">
        <v>2507</v>
      </c>
      <c r="C2568" s="1343"/>
      <c r="D2568" s="1338"/>
      <c r="E2568" s="1338"/>
    </row>
    <row r="2569" spans="1:5" s="1266" customFormat="1">
      <c r="A2569" s="1311"/>
      <c r="B2569" s="1332"/>
      <c r="C2569" s="1343"/>
      <c r="D2569" s="1338"/>
      <c r="E2569" s="1338"/>
    </row>
    <row r="2570" spans="1:5" s="1266" customFormat="1">
      <c r="A2570" s="1311"/>
      <c r="B2570" s="1332" t="s">
        <v>2508</v>
      </c>
      <c r="C2570" s="1343" t="s">
        <v>1293</v>
      </c>
      <c r="D2570" s="1338">
        <v>100</v>
      </c>
      <c r="E2570" s="1363">
        <f>D2570*$E$5</f>
        <v>106.3</v>
      </c>
    </row>
    <row r="2571" spans="1:5" s="1266" customFormat="1">
      <c r="A2571" s="1311"/>
      <c r="B2571" s="1332"/>
      <c r="C2571" s="1343"/>
      <c r="D2571" s="1338"/>
      <c r="E2571" s="1338"/>
    </row>
    <row r="2572" spans="1:5" s="1266" customFormat="1">
      <c r="A2572" s="1311"/>
      <c r="B2572" s="1331" t="s">
        <v>2509</v>
      </c>
      <c r="C2572" s="1343"/>
      <c r="D2572" s="1338"/>
      <c r="E2572" s="1338"/>
    </row>
    <row r="2573" spans="1:5" s="1266" customFormat="1">
      <c r="A2573" s="1311"/>
      <c r="B2573" s="1332"/>
      <c r="C2573" s="1343"/>
      <c r="D2573" s="1338"/>
      <c r="E2573" s="1338"/>
    </row>
    <row r="2574" spans="1:5" s="1266" customFormat="1">
      <c r="A2574" s="1311"/>
      <c r="B2574" s="1332" t="s">
        <v>2508</v>
      </c>
      <c r="C2574" s="1343" t="s">
        <v>1293</v>
      </c>
      <c r="D2574" s="1338">
        <v>100</v>
      </c>
      <c r="E2574" s="1363">
        <f>D2574*$E$5</f>
        <v>106.3</v>
      </c>
    </row>
    <row r="2575" spans="1:5" s="1266" customFormat="1">
      <c r="A2575" s="1311"/>
      <c r="B2575" s="1332"/>
      <c r="C2575" s="1343"/>
      <c r="D2575" s="1338"/>
      <c r="E2575" s="1338"/>
    </row>
    <row r="2576" spans="1:5" s="1266" customFormat="1">
      <c r="A2576" s="1311"/>
      <c r="B2576" s="1332" t="s">
        <v>2510</v>
      </c>
      <c r="C2576" s="1343" t="s">
        <v>1293</v>
      </c>
      <c r="D2576" s="1338">
        <v>105</v>
      </c>
      <c r="E2576" s="1363">
        <f>D2576*$E$5</f>
        <v>111.61499999999999</v>
      </c>
    </row>
    <row r="2577" spans="1:5" s="1266" customFormat="1">
      <c r="A2577" s="1311"/>
      <c r="B2577" s="1332"/>
      <c r="C2577" s="1343"/>
      <c r="D2577" s="1338"/>
      <c r="E2577" s="1338"/>
    </row>
    <row r="2578" spans="1:5" s="1266" customFormat="1" ht="30">
      <c r="A2578" s="1311"/>
      <c r="B2578" s="1332" t="s">
        <v>2511</v>
      </c>
      <c r="C2578" s="1343" t="s">
        <v>1293</v>
      </c>
      <c r="D2578" s="1338">
        <v>154.6</v>
      </c>
      <c r="E2578" s="1363">
        <f>D2578*$E$5</f>
        <v>164.3398</v>
      </c>
    </row>
    <row r="2579" spans="1:5" s="1266" customFormat="1">
      <c r="A2579" s="1311"/>
      <c r="B2579" s="1332"/>
      <c r="C2579" s="1343"/>
      <c r="D2579" s="1338"/>
      <c r="E2579" s="1338"/>
    </row>
    <row r="2580" spans="1:5" s="1266" customFormat="1">
      <c r="A2580" s="1311"/>
      <c r="B2580" s="1312" t="s">
        <v>2512</v>
      </c>
      <c r="C2580" s="1343"/>
      <c r="D2580" s="1338"/>
      <c r="E2580" s="1338"/>
    </row>
    <row r="2581" spans="1:5" s="1266" customFormat="1">
      <c r="A2581" s="1311"/>
      <c r="B2581" s="1332"/>
      <c r="C2581" s="1343"/>
      <c r="D2581" s="1338"/>
      <c r="E2581" s="1338"/>
    </row>
    <row r="2582" spans="1:5" s="1266" customFormat="1">
      <c r="A2582" s="1311"/>
      <c r="B2582" s="1331" t="s">
        <v>2513</v>
      </c>
      <c r="C2582" s="1343"/>
      <c r="D2582" s="1338"/>
      <c r="E2582" s="1338"/>
    </row>
    <row r="2583" spans="1:5" s="1266" customFormat="1">
      <c r="A2583" s="1311"/>
      <c r="B2583" s="1332"/>
      <c r="C2583" s="1343"/>
      <c r="D2583" s="1338"/>
      <c r="E2583" s="1338"/>
    </row>
    <row r="2584" spans="1:5" s="1266" customFormat="1">
      <c r="A2584" s="1311"/>
      <c r="B2584" s="1332" t="s">
        <v>2514</v>
      </c>
      <c r="C2584" s="1343" t="s">
        <v>1293</v>
      </c>
      <c r="D2584" s="1338">
        <v>155</v>
      </c>
      <c r="E2584" s="1363">
        <f>D2584*$E$5</f>
        <v>164.76499999999999</v>
      </c>
    </row>
    <row r="2585" spans="1:5" s="1266" customFormat="1">
      <c r="A2585" s="1311"/>
      <c r="B2585" s="1332"/>
      <c r="C2585" s="1343"/>
      <c r="D2585" s="1338"/>
      <c r="E2585" s="1338"/>
    </row>
    <row r="2586" spans="1:5" s="1266" customFormat="1">
      <c r="A2586" s="1311"/>
      <c r="B2586" s="1332" t="s">
        <v>2515</v>
      </c>
      <c r="C2586" s="1343" t="s">
        <v>1293</v>
      </c>
      <c r="D2586" s="1338">
        <v>125</v>
      </c>
      <c r="E2586" s="1363">
        <f>D2586*$E$5</f>
        <v>132.875</v>
      </c>
    </row>
    <row r="2587" spans="1:5" s="1266" customFormat="1">
      <c r="A2587" s="1311"/>
      <c r="B2587" s="1332"/>
      <c r="C2587" s="1343"/>
      <c r="D2587" s="1338"/>
      <c r="E2587" s="1338"/>
    </row>
    <row r="2588" spans="1:5" s="1266" customFormat="1">
      <c r="A2588" s="1311"/>
      <c r="B2588" s="1332" t="s">
        <v>2516</v>
      </c>
      <c r="C2588" s="1343" t="s">
        <v>1293</v>
      </c>
      <c r="D2588" s="1338">
        <v>170</v>
      </c>
      <c r="E2588" s="1363">
        <f>D2588*$E$5</f>
        <v>180.70999999999998</v>
      </c>
    </row>
    <row r="2589" spans="1:5" s="1266" customFormat="1">
      <c r="A2589" s="1311"/>
      <c r="B2589" s="1332"/>
      <c r="C2589" s="1343"/>
      <c r="D2589" s="1338"/>
      <c r="E2589" s="1338"/>
    </row>
    <row r="2590" spans="1:5" s="1266" customFormat="1">
      <c r="A2590" s="1311"/>
      <c r="B2590" s="1332" t="s">
        <v>2517</v>
      </c>
      <c r="C2590" s="1343" t="s">
        <v>215</v>
      </c>
      <c r="D2590" s="1338">
        <v>68</v>
      </c>
      <c r="E2590" s="1363">
        <f>D2590*$E$5</f>
        <v>72.283999999999992</v>
      </c>
    </row>
    <row r="2591" spans="1:5" s="1266" customFormat="1">
      <c r="A2591" s="1311"/>
      <c r="B2591" s="1332"/>
      <c r="C2591" s="1343"/>
      <c r="D2591" s="1338"/>
      <c r="E2591" s="1338"/>
    </row>
    <row r="2592" spans="1:5" s="1266" customFormat="1">
      <c r="A2592" s="1311"/>
      <c r="B2592" s="1312" t="s">
        <v>2518</v>
      </c>
      <c r="C2592" s="1343"/>
      <c r="D2592" s="1338"/>
      <c r="E2592" s="1338"/>
    </row>
    <row r="2593" spans="1:5" s="1266" customFormat="1">
      <c r="A2593" s="1311"/>
      <c r="B2593" s="1332"/>
      <c r="C2593" s="1343"/>
      <c r="D2593" s="1338"/>
      <c r="E2593" s="1338"/>
    </row>
    <row r="2594" spans="1:5" s="1266" customFormat="1">
      <c r="A2594" s="1311"/>
      <c r="B2594" s="1331" t="s">
        <v>2519</v>
      </c>
      <c r="C2594" s="1343"/>
      <c r="D2594" s="1338"/>
      <c r="E2594" s="1338"/>
    </row>
    <row r="2595" spans="1:5" s="1266" customFormat="1">
      <c r="A2595" s="1311"/>
      <c r="B2595" s="1332"/>
      <c r="C2595" s="1343"/>
      <c r="D2595" s="1338"/>
      <c r="E2595" s="1338"/>
    </row>
    <row r="2596" spans="1:5" s="1266" customFormat="1">
      <c r="A2596" s="1311"/>
      <c r="B2596" s="1332" t="s">
        <v>2520</v>
      </c>
      <c r="C2596" s="1343" t="s">
        <v>1293</v>
      </c>
      <c r="D2596" s="1338">
        <v>110</v>
      </c>
      <c r="E2596" s="1363">
        <f>D2596*$E$5</f>
        <v>116.92999999999999</v>
      </c>
    </row>
    <row r="2597" spans="1:5" s="1266" customFormat="1">
      <c r="A2597" s="1311"/>
      <c r="B2597" s="1332"/>
      <c r="C2597" s="1343"/>
      <c r="D2597" s="1338"/>
      <c r="E2597" s="1338"/>
    </row>
    <row r="2598" spans="1:5" s="1266" customFormat="1">
      <c r="A2598" s="1311"/>
      <c r="B2598" s="1332" t="s">
        <v>2521</v>
      </c>
      <c r="C2598" s="1343" t="s">
        <v>1293</v>
      </c>
      <c r="D2598" s="1338">
        <v>175</v>
      </c>
      <c r="E2598" s="1363">
        <f>D2598*$E$5</f>
        <v>186.02499999999998</v>
      </c>
    </row>
    <row r="2599" spans="1:5" s="1266" customFormat="1">
      <c r="A2599" s="1311"/>
      <c r="B2599" s="1332"/>
      <c r="C2599" s="1343"/>
      <c r="D2599" s="1338"/>
      <c r="E2599" s="1338"/>
    </row>
    <row r="2600" spans="1:5" s="1266" customFormat="1">
      <c r="A2600" s="1311"/>
      <c r="B2600" s="1332" t="s">
        <v>2522</v>
      </c>
      <c r="C2600" s="1343" t="s">
        <v>1293</v>
      </c>
      <c r="D2600" s="1338">
        <v>85</v>
      </c>
      <c r="E2600" s="1363">
        <f>D2600*$E$5</f>
        <v>90.35499999999999</v>
      </c>
    </row>
    <row r="2601" spans="1:5" s="1266" customFormat="1">
      <c r="A2601" s="1311"/>
      <c r="B2601" s="1332"/>
      <c r="C2601" s="1343"/>
      <c r="D2601" s="1338"/>
      <c r="E2601" s="1338"/>
    </row>
    <row r="2602" spans="1:5" s="1266" customFormat="1">
      <c r="A2602" s="1311"/>
      <c r="B2602" s="1332" t="s">
        <v>2523</v>
      </c>
      <c r="C2602" s="1343" t="s">
        <v>1293</v>
      </c>
      <c r="D2602" s="1338">
        <v>85</v>
      </c>
      <c r="E2602" s="1363">
        <f>D2602*$E$5</f>
        <v>90.35499999999999</v>
      </c>
    </row>
    <row r="2603" spans="1:5" s="1266" customFormat="1">
      <c r="A2603" s="1311"/>
      <c r="B2603" s="1332"/>
      <c r="C2603" s="1343"/>
      <c r="D2603" s="1338"/>
      <c r="E2603" s="1338"/>
    </row>
    <row r="2604" spans="1:5" s="1266" customFormat="1">
      <c r="A2604" s="1311"/>
      <c r="B2604" s="1332" t="s">
        <v>2524</v>
      </c>
      <c r="C2604" s="1343" t="s">
        <v>1293</v>
      </c>
      <c r="D2604" s="1338">
        <v>98.8</v>
      </c>
      <c r="E2604" s="1363">
        <f>D2604*$E$5</f>
        <v>105.02439999999999</v>
      </c>
    </row>
    <row r="2605" spans="1:5" s="1266" customFormat="1">
      <c r="A2605" s="1311"/>
      <c r="B2605" s="1332"/>
      <c r="C2605" s="1343"/>
      <c r="D2605" s="1338"/>
      <c r="E2605" s="1338"/>
    </row>
    <row r="2606" spans="1:5" s="1266" customFormat="1">
      <c r="A2606" s="1311"/>
      <c r="B2606" s="1332" t="s">
        <v>2525</v>
      </c>
      <c r="C2606" s="1343" t="s">
        <v>1293</v>
      </c>
      <c r="D2606" s="1338">
        <v>110</v>
      </c>
      <c r="E2606" s="1363">
        <f>D2606*$E$5</f>
        <v>116.92999999999999</v>
      </c>
    </row>
    <row r="2607" spans="1:5" s="1266" customFormat="1">
      <c r="A2607" s="1311"/>
      <c r="B2607" s="1332"/>
      <c r="C2607" s="1343"/>
      <c r="D2607" s="1338"/>
      <c r="E2607" s="1338"/>
    </row>
    <row r="2608" spans="1:5" s="1266" customFormat="1">
      <c r="A2608" s="1311"/>
      <c r="B2608" s="1331" t="s">
        <v>2526</v>
      </c>
      <c r="C2608" s="1343"/>
      <c r="D2608" s="1338"/>
      <c r="E2608" s="1338"/>
    </row>
    <row r="2609" spans="1:5" s="1266" customFormat="1">
      <c r="A2609" s="1311"/>
      <c r="B2609" s="1332"/>
      <c r="C2609" s="1343"/>
      <c r="D2609" s="1338"/>
      <c r="E2609" s="1338"/>
    </row>
    <row r="2610" spans="1:5" s="1266" customFormat="1">
      <c r="A2610" s="1311"/>
      <c r="B2610" s="1332" t="s">
        <v>2520</v>
      </c>
      <c r="C2610" s="1343" t="s">
        <v>1293</v>
      </c>
      <c r="D2610" s="1338">
        <v>92</v>
      </c>
      <c r="E2610" s="1363">
        <f>D2610*$E$5</f>
        <v>97.795999999999992</v>
      </c>
    </row>
    <row r="2611" spans="1:5" s="1266" customFormat="1">
      <c r="A2611" s="1311"/>
      <c r="B2611" s="1332"/>
      <c r="C2611" s="1343"/>
      <c r="D2611" s="1338"/>
      <c r="E2611" s="1338"/>
    </row>
    <row r="2612" spans="1:5" s="1266" customFormat="1">
      <c r="A2612" s="1311"/>
      <c r="B2612" s="1332" t="s">
        <v>1429</v>
      </c>
      <c r="C2612" s="1343" t="s">
        <v>1293</v>
      </c>
      <c r="D2612" s="1338">
        <v>109.2</v>
      </c>
      <c r="E2612" s="1363">
        <f>D2612*$E$5</f>
        <v>116.0796</v>
      </c>
    </row>
    <row r="2613" spans="1:5" s="1266" customFormat="1">
      <c r="A2613" s="1311"/>
      <c r="B2613" s="1332"/>
      <c r="C2613" s="1343"/>
      <c r="D2613" s="1338"/>
      <c r="E2613" s="1338"/>
    </row>
    <row r="2614" spans="1:5" s="1266" customFormat="1">
      <c r="A2614" s="1311"/>
      <c r="B2614" s="1312" t="s">
        <v>2527</v>
      </c>
      <c r="C2614" s="1343"/>
      <c r="D2614" s="1338"/>
      <c r="E2614" s="1338"/>
    </row>
    <row r="2615" spans="1:5" s="1266" customFormat="1">
      <c r="A2615" s="1311"/>
      <c r="B2615" s="1332"/>
      <c r="C2615" s="1343"/>
      <c r="D2615" s="1338"/>
      <c r="E2615" s="1338"/>
    </row>
    <row r="2616" spans="1:5" s="1266" customFormat="1">
      <c r="A2616" s="1311"/>
      <c r="B2616" s="1331" t="s">
        <v>2526</v>
      </c>
      <c r="C2616" s="1343"/>
      <c r="D2616" s="1338"/>
      <c r="E2616" s="1338"/>
    </row>
    <row r="2617" spans="1:5" s="1266" customFormat="1">
      <c r="A2617" s="1311"/>
      <c r="B2617" s="1332"/>
      <c r="C2617" s="1343"/>
      <c r="D2617" s="1338"/>
      <c r="E2617" s="1338"/>
    </row>
    <row r="2618" spans="1:5" s="1266" customFormat="1">
      <c r="A2618" s="1311"/>
      <c r="B2618" s="1332" t="s">
        <v>2520</v>
      </c>
      <c r="C2618" s="1343" t="s">
        <v>1293</v>
      </c>
      <c r="D2618" s="1338">
        <v>90</v>
      </c>
      <c r="E2618" s="1363">
        <f>D2618*$E$5</f>
        <v>95.67</v>
      </c>
    </row>
    <row r="2619" spans="1:5" s="1266" customFormat="1">
      <c r="A2619" s="1311"/>
      <c r="B2619" s="1332"/>
      <c r="C2619" s="1343"/>
      <c r="D2619" s="1338"/>
      <c r="E2619" s="1338"/>
    </row>
    <row r="2620" spans="1:5" s="1266" customFormat="1">
      <c r="A2620" s="1311"/>
      <c r="B2620" s="1332" t="s">
        <v>1429</v>
      </c>
      <c r="C2620" s="1343" t="s">
        <v>1293</v>
      </c>
      <c r="D2620" s="1338">
        <v>160</v>
      </c>
      <c r="E2620" s="1363">
        <f>D2620*$E$5</f>
        <v>170.07999999999998</v>
      </c>
    </row>
    <row r="2621" spans="1:5" s="1266" customFormat="1">
      <c r="A2621" s="1311"/>
      <c r="B2621" s="1332"/>
      <c r="C2621" s="1343"/>
      <c r="D2621" s="1338"/>
      <c r="E2621" s="1338"/>
    </row>
    <row r="2622" spans="1:5" s="1266" customFormat="1">
      <c r="A2622" s="1311"/>
      <c r="B2622" s="1331" t="s">
        <v>2528</v>
      </c>
      <c r="C2622" s="1343"/>
      <c r="D2622" s="1338"/>
      <c r="E2622" s="1338"/>
    </row>
    <row r="2623" spans="1:5" s="1266" customFormat="1">
      <c r="A2623" s="1311"/>
      <c r="B2623" s="1332"/>
      <c r="C2623" s="1343"/>
      <c r="D2623" s="1338"/>
      <c r="E2623" s="1338"/>
    </row>
    <row r="2624" spans="1:5" s="1266" customFormat="1">
      <c r="A2624" s="1311"/>
      <c r="B2624" s="1332" t="s">
        <v>2522</v>
      </c>
      <c r="C2624" s="1343" t="s">
        <v>1293</v>
      </c>
      <c r="D2624" s="1338">
        <v>114.4</v>
      </c>
      <c r="E2624" s="1363">
        <f>D2624*$E$5</f>
        <v>121.60720000000001</v>
      </c>
    </row>
    <row r="2625" spans="1:5" s="1266" customFormat="1">
      <c r="A2625" s="1311"/>
      <c r="B2625" s="1332"/>
      <c r="C2625" s="1343"/>
      <c r="D2625" s="1338"/>
      <c r="E2625" s="1338"/>
    </row>
    <row r="2626" spans="1:5" s="1266" customFormat="1">
      <c r="A2626" s="1311"/>
      <c r="B2626" s="1332" t="s">
        <v>1429</v>
      </c>
      <c r="C2626" s="1343" t="s">
        <v>1293</v>
      </c>
      <c r="D2626" s="1338">
        <v>170</v>
      </c>
      <c r="E2626" s="1363">
        <f>D2626*$E$5</f>
        <v>180.70999999999998</v>
      </c>
    </row>
    <row r="2627" spans="1:5" s="1266" customFormat="1">
      <c r="A2627" s="1311"/>
      <c r="B2627" s="1332"/>
      <c r="C2627" s="1343"/>
      <c r="D2627" s="1338"/>
      <c r="E2627" s="1338"/>
    </row>
    <row r="2628" spans="1:5" s="1266" customFormat="1">
      <c r="A2628" s="1311"/>
      <c r="B2628" s="1312" t="s">
        <v>2529</v>
      </c>
      <c r="C2628" s="1343"/>
      <c r="D2628" s="1338"/>
      <c r="E2628" s="1338"/>
    </row>
    <row r="2629" spans="1:5" s="1266" customFormat="1">
      <c r="A2629" s="1311"/>
      <c r="B2629" s="1332"/>
      <c r="C2629" s="1343"/>
      <c r="D2629" s="1338"/>
      <c r="E2629" s="1338"/>
    </row>
    <row r="2630" spans="1:5" s="1266" customFormat="1" ht="64.5">
      <c r="A2630" s="1311"/>
      <c r="B2630" s="1331" t="s">
        <v>2530</v>
      </c>
      <c r="C2630" s="1343"/>
      <c r="D2630" s="1338"/>
      <c r="E2630" s="1338"/>
    </row>
    <row r="2631" spans="1:5" s="1266" customFormat="1">
      <c r="A2631" s="1311"/>
      <c r="B2631" s="1332"/>
      <c r="C2631" s="1343"/>
      <c r="D2631" s="1338"/>
      <c r="E2631" s="1338"/>
    </row>
    <row r="2632" spans="1:5" s="1266" customFormat="1">
      <c r="A2632" s="1311"/>
      <c r="B2632" s="1332" t="s">
        <v>2531</v>
      </c>
      <c r="C2632" s="1343" t="s">
        <v>1293</v>
      </c>
      <c r="D2632" s="1338">
        <v>148.91999999999999</v>
      </c>
      <c r="E2632" s="1363">
        <f>D2632*$E$5</f>
        <v>158.30195999999998</v>
      </c>
    </row>
    <row r="2633" spans="1:5" s="1266" customFormat="1">
      <c r="A2633" s="1311"/>
      <c r="B2633" s="1332"/>
      <c r="C2633" s="1343"/>
      <c r="D2633" s="1338"/>
      <c r="E2633" s="1338"/>
    </row>
    <row r="2634" spans="1:5" s="1266" customFormat="1" ht="77.25">
      <c r="A2634" s="1311"/>
      <c r="B2634" s="1331" t="s">
        <v>2532</v>
      </c>
      <c r="C2634" s="1343"/>
      <c r="D2634" s="1338"/>
      <c r="E2634" s="1338"/>
    </row>
    <row r="2635" spans="1:5" s="1266" customFormat="1">
      <c r="A2635" s="1311"/>
      <c r="B2635" s="1332"/>
      <c r="C2635" s="1343"/>
      <c r="D2635" s="1338"/>
      <c r="E2635" s="1338"/>
    </row>
    <row r="2636" spans="1:5" s="1266" customFormat="1">
      <c r="A2636" s="1311"/>
      <c r="B2636" s="1332" t="s">
        <v>2291</v>
      </c>
      <c r="C2636" s="1343" t="s">
        <v>1293</v>
      </c>
      <c r="D2636" s="1338">
        <v>800</v>
      </c>
      <c r="E2636" s="1363">
        <f>D2636*$E$5</f>
        <v>850.4</v>
      </c>
    </row>
    <row r="2637" spans="1:5" s="1266" customFormat="1">
      <c r="A2637" s="1311"/>
      <c r="B2637" s="1332"/>
      <c r="C2637" s="1343"/>
      <c r="D2637" s="1338"/>
      <c r="E2637" s="1338"/>
    </row>
    <row r="2638" spans="1:5" s="1266" customFormat="1" ht="51.75">
      <c r="A2638" s="1311"/>
      <c r="B2638" s="1331" t="s">
        <v>2533</v>
      </c>
      <c r="C2638" s="1343"/>
      <c r="D2638" s="1338"/>
      <c r="E2638" s="1338"/>
    </row>
    <row r="2639" spans="1:5" s="1266" customFormat="1">
      <c r="A2639" s="1311"/>
      <c r="B2639" s="1332"/>
      <c r="C2639" s="1343"/>
      <c r="D2639" s="1338"/>
      <c r="E2639" s="1338"/>
    </row>
    <row r="2640" spans="1:5" s="1266" customFormat="1">
      <c r="A2640" s="1311"/>
      <c r="B2640" s="1332" t="s">
        <v>2291</v>
      </c>
      <c r="C2640" s="1343" t="s">
        <v>1293</v>
      </c>
      <c r="D2640" s="1338">
        <v>253</v>
      </c>
      <c r="E2640" s="1363">
        <f>D2640*$E$5</f>
        <v>268.93899999999996</v>
      </c>
    </row>
    <row r="2641" spans="1:5" s="1266" customFormat="1">
      <c r="A2641" s="1311"/>
      <c r="B2641" s="1332"/>
      <c r="C2641" s="1343"/>
      <c r="D2641" s="1338"/>
      <c r="E2641" s="1338"/>
    </row>
    <row r="2642" spans="1:5" s="1266" customFormat="1">
      <c r="A2642" s="1311"/>
      <c r="B2642" s="1312" t="s">
        <v>2534</v>
      </c>
      <c r="C2642" s="1343"/>
      <c r="D2642" s="1338"/>
      <c r="E2642" s="1338"/>
    </row>
    <row r="2643" spans="1:5" s="1266" customFormat="1">
      <c r="A2643" s="1311"/>
      <c r="B2643" s="1332"/>
      <c r="C2643" s="1343"/>
      <c r="D2643" s="1338"/>
      <c r="E2643" s="1338"/>
    </row>
    <row r="2644" spans="1:5" s="1266" customFormat="1">
      <c r="A2644" s="1311"/>
      <c r="B2644" s="1331" t="s">
        <v>2535</v>
      </c>
      <c r="C2644" s="1343"/>
      <c r="D2644" s="1338"/>
      <c r="E2644" s="1338"/>
    </row>
    <row r="2645" spans="1:5" s="1266" customFormat="1">
      <c r="A2645" s="1311"/>
      <c r="B2645" s="1332"/>
      <c r="C2645" s="1343"/>
      <c r="D2645" s="1338"/>
      <c r="E2645" s="1338"/>
    </row>
    <row r="2646" spans="1:5" s="1266" customFormat="1" ht="30">
      <c r="A2646" s="1311"/>
      <c r="B2646" s="1332" t="s">
        <v>2536</v>
      </c>
      <c r="C2646" s="1343" t="s">
        <v>215</v>
      </c>
      <c r="D2646" s="1338">
        <v>10.95</v>
      </c>
      <c r="E2646" s="1363">
        <f>D2646*$E$5</f>
        <v>11.639849999999999</v>
      </c>
    </row>
    <row r="2647" spans="1:5" s="1266" customFormat="1">
      <c r="A2647" s="1311"/>
      <c r="B2647" s="1332"/>
      <c r="C2647" s="1343"/>
      <c r="D2647" s="1338"/>
      <c r="E2647" s="1338"/>
    </row>
    <row r="2648" spans="1:5" s="1266" customFormat="1">
      <c r="A2648" s="1311"/>
      <c r="B2648" s="1331" t="s">
        <v>2537</v>
      </c>
      <c r="C2648" s="1343"/>
      <c r="D2648" s="1338"/>
      <c r="E2648" s="1338"/>
    </row>
    <row r="2649" spans="1:5" s="1266" customFormat="1">
      <c r="A2649" s="1311"/>
      <c r="B2649" s="1332"/>
      <c r="C2649" s="1343"/>
      <c r="D2649" s="1338"/>
      <c r="E2649" s="1338"/>
    </row>
    <row r="2650" spans="1:5" s="1266" customFormat="1">
      <c r="A2650" s="1311"/>
      <c r="B2650" s="1332" t="s">
        <v>2538</v>
      </c>
      <c r="C2650" s="1343" t="s">
        <v>215</v>
      </c>
      <c r="D2650" s="1338">
        <v>115</v>
      </c>
      <c r="E2650" s="1363">
        <f>D2650*$E$5</f>
        <v>122.24499999999999</v>
      </c>
    </row>
    <row r="2651" spans="1:5" s="1266" customFormat="1">
      <c r="A2651" s="1311"/>
      <c r="B2651" s="1332"/>
      <c r="C2651" s="1343"/>
      <c r="D2651" s="1338"/>
      <c r="E2651" s="1338"/>
    </row>
    <row r="2652" spans="1:5" s="1266" customFormat="1">
      <c r="A2652" s="1311"/>
      <c r="B2652" s="1312" t="s">
        <v>2539</v>
      </c>
      <c r="C2652" s="1343"/>
      <c r="D2652" s="1338"/>
      <c r="E2652" s="1338"/>
    </row>
    <row r="2653" spans="1:5" s="1266" customFormat="1">
      <c r="A2653" s="1311"/>
      <c r="B2653" s="1332"/>
      <c r="C2653" s="1343"/>
      <c r="D2653" s="1338"/>
      <c r="E2653" s="1338"/>
    </row>
    <row r="2654" spans="1:5" s="1266" customFormat="1">
      <c r="A2654" s="1311"/>
      <c r="B2654" s="1312" t="s">
        <v>2540</v>
      </c>
      <c r="C2654" s="1343"/>
      <c r="D2654" s="1338"/>
      <c r="E2654" s="1338"/>
    </row>
    <row r="2655" spans="1:5" s="1266" customFormat="1">
      <c r="A2655" s="1311"/>
      <c r="B2655" s="1332"/>
      <c r="C2655" s="1343"/>
      <c r="D2655" s="1338"/>
      <c r="E2655" s="1338"/>
    </row>
    <row r="2656" spans="1:5" s="1266" customFormat="1" ht="64.5">
      <c r="A2656" s="1311"/>
      <c r="B2656" s="1331" t="s">
        <v>2541</v>
      </c>
      <c r="C2656" s="1343"/>
      <c r="D2656" s="1338"/>
      <c r="E2656" s="1338"/>
    </row>
    <row r="2657" spans="1:5" s="1266" customFormat="1">
      <c r="A2657" s="1311"/>
      <c r="B2657" s="1332"/>
      <c r="C2657" s="1343"/>
      <c r="D2657" s="1338"/>
      <c r="E2657" s="1338"/>
    </row>
    <row r="2658" spans="1:5" s="1266" customFormat="1">
      <c r="A2658" s="1311"/>
      <c r="B2658" s="1332" t="s">
        <v>2520</v>
      </c>
      <c r="C2658" s="1343" t="s">
        <v>1293</v>
      </c>
      <c r="D2658" s="1338">
        <v>1000</v>
      </c>
      <c r="E2658" s="1363">
        <f>D2658*$E$5</f>
        <v>1063</v>
      </c>
    </row>
    <row r="2659" spans="1:5" s="1266" customFormat="1">
      <c r="A2659" s="1311"/>
      <c r="B2659" s="1332"/>
      <c r="C2659" s="1343"/>
      <c r="D2659" s="1338"/>
      <c r="E2659" s="1338"/>
    </row>
    <row r="2660" spans="1:5" s="1266" customFormat="1" ht="64.5">
      <c r="A2660" s="1311"/>
      <c r="B2660" s="1331" t="s">
        <v>2542</v>
      </c>
      <c r="C2660" s="1343"/>
      <c r="D2660" s="1338"/>
      <c r="E2660" s="1338"/>
    </row>
    <row r="2661" spans="1:5" s="1266" customFormat="1">
      <c r="A2661" s="1311"/>
      <c r="B2661" s="1332"/>
      <c r="C2661" s="1343"/>
      <c r="D2661" s="1338"/>
      <c r="E2661" s="1338"/>
    </row>
    <row r="2662" spans="1:5" s="1266" customFormat="1">
      <c r="A2662" s="1311"/>
      <c r="B2662" s="1332" t="s">
        <v>2520</v>
      </c>
      <c r="C2662" s="1343" t="s">
        <v>1293</v>
      </c>
      <c r="D2662" s="1338">
        <v>1050</v>
      </c>
      <c r="E2662" s="1363">
        <f>D2662*$E$5</f>
        <v>1116.1499999999999</v>
      </c>
    </row>
    <row r="2663" spans="1:5" s="1266" customFormat="1">
      <c r="A2663" s="1311"/>
      <c r="B2663" s="1332"/>
      <c r="C2663" s="1343"/>
      <c r="D2663" s="1338"/>
      <c r="E2663" s="1338"/>
    </row>
    <row r="2664" spans="1:5" s="1266" customFormat="1">
      <c r="A2664" s="1311"/>
      <c r="B2664" s="1312" t="s">
        <v>2543</v>
      </c>
      <c r="C2664" s="1343"/>
      <c r="D2664" s="1338"/>
      <c r="E2664" s="1338"/>
    </row>
    <row r="2665" spans="1:5" s="1266" customFormat="1">
      <c r="A2665" s="1311"/>
      <c r="B2665" s="1332"/>
      <c r="C2665" s="1343"/>
      <c r="D2665" s="1338"/>
      <c r="E2665" s="1338"/>
    </row>
    <row r="2666" spans="1:5" s="1266" customFormat="1" ht="64.5">
      <c r="A2666" s="1311"/>
      <c r="B2666" s="1331" t="s">
        <v>2544</v>
      </c>
      <c r="C2666" s="1343"/>
      <c r="D2666" s="1338"/>
      <c r="E2666" s="1338"/>
    </row>
    <row r="2667" spans="1:5" s="1266" customFormat="1">
      <c r="A2667" s="1311"/>
      <c r="B2667" s="1332"/>
      <c r="C2667" s="1343"/>
      <c r="D2667" s="1338"/>
      <c r="E2667" s="1338"/>
    </row>
    <row r="2668" spans="1:5" s="1266" customFormat="1">
      <c r="A2668" s="1311"/>
      <c r="B2668" s="1332" t="s">
        <v>2291</v>
      </c>
      <c r="C2668" s="1343" t="s">
        <v>1293</v>
      </c>
      <c r="D2668" s="1338">
        <v>1000</v>
      </c>
      <c r="E2668" s="1363">
        <f>D2668*$E$5</f>
        <v>1063</v>
      </c>
    </row>
    <row r="2669" spans="1:5" s="1266" customFormat="1">
      <c r="A2669" s="1311"/>
      <c r="B2669" s="1332"/>
      <c r="C2669" s="1343"/>
      <c r="D2669" s="1338"/>
      <c r="E2669" s="1338"/>
    </row>
    <row r="2670" spans="1:5" s="1266" customFormat="1">
      <c r="A2670" s="1311"/>
      <c r="B2670" s="1312" t="s">
        <v>2545</v>
      </c>
      <c r="C2670" s="1343"/>
      <c r="D2670" s="1338"/>
      <c r="E2670" s="1338"/>
    </row>
    <row r="2671" spans="1:5" s="1266" customFormat="1">
      <c r="A2671" s="1311"/>
      <c r="B2671" s="1332"/>
      <c r="C2671" s="1343"/>
      <c r="D2671" s="1338"/>
      <c r="E2671" s="1338"/>
    </row>
    <row r="2672" spans="1:5" s="1266" customFormat="1">
      <c r="A2672" s="1311"/>
      <c r="B2672" s="1331" t="s">
        <v>2546</v>
      </c>
      <c r="C2672" s="1343"/>
      <c r="D2672" s="1338"/>
      <c r="E2672" s="1338"/>
    </row>
    <row r="2673" spans="1:5" s="1266" customFormat="1">
      <c r="A2673" s="1311"/>
      <c r="B2673" s="1332"/>
      <c r="C2673" s="1343"/>
      <c r="D2673" s="1338"/>
      <c r="E2673" s="1338"/>
    </row>
    <row r="2674" spans="1:5" s="1266" customFormat="1" ht="30">
      <c r="A2674" s="1311"/>
      <c r="B2674" s="1332" t="s">
        <v>2547</v>
      </c>
      <c r="C2674" s="1343" t="s">
        <v>215</v>
      </c>
      <c r="D2674" s="1338">
        <v>139.38</v>
      </c>
      <c r="E2674" s="1363">
        <f>D2674*$E$5</f>
        <v>148.16093999999998</v>
      </c>
    </row>
    <row r="2675" spans="1:5" s="1266" customFormat="1">
      <c r="A2675" s="1311"/>
      <c r="B2675" s="1332"/>
      <c r="C2675" s="1343"/>
      <c r="D2675" s="1338"/>
      <c r="E2675" s="1338"/>
    </row>
    <row r="2676" spans="1:5" s="1266" customFormat="1" ht="30">
      <c r="A2676" s="1311"/>
      <c r="B2676" s="1332" t="s">
        <v>2548</v>
      </c>
      <c r="C2676" s="1343" t="s">
        <v>215</v>
      </c>
      <c r="D2676" s="1338">
        <v>152.97</v>
      </c>
      <c r="E2676" s="1363">
        <f>D2676*$E$5</f>
        <v>162.60710999999998</v>
      </c>
    </row>
    <row r="2677" spans="1:5" s="1266" customFormat="1">
      <c r="A2677" s="1311"/>
      <c r="B2677" s="1332"/>
      <c r="C2677" s="1343"/>
      <c r="D2677" s="1338"/>
      <c r="E2677" s="1338"/>
    </row>
    <row r="2678" spans="1:5" s="1266" customFormat="1" ht="30">
      <c r="A2678" s="1311"/>
      <c r="B2678" s="1332" t="s">
        <v>2549</v>
      </c>
      <c r="C2678" s="1343" t="s">
        <v>215</v>
      </c>
      <c r="D2678" s="1338">
        <v>142.31</v>
      </c>
      <c r="E2678" s="1363">
        <f>D2678*$E$5</f>
        <v>151.27553</v>
      </c>
    </row>
    <row r="2679" spans="1:5" s="1266" customFormat="1">
      <c r="A2679" s="1311"/>
      <c r="B2679" s="1332"/>
      <c r="C2679" s="1343"/>
      <c r="D2679" s="1338"/>
      <c r="E2679" s="1338"/>
    </row>
    <row r="2680" spans="1:5" s="1266" customFormat="1" ht="30">
      <c r="A2680" s="1311"/>
      <c r="B2680" s="1332" t="s">
        <v>2550</v>
      </c>
      <c r="C2680" s="1343" t="s">
        <v>215</v>
      </c>
      <c r="D2680" s="1338">
        <v>139.38</v>
      </c>
      <c r="E2680" s="1363">
        <f>D2680*$E$5</f>
        <v>148.16093999999998</v>
      </c>
    </row>
    <row r="2681" spans="1:5" s="1266" customFormat="1">
      <c r="A2681" s="1311"/>
      <c r="B2681" s="1332"/>
      <c r="C2681" s="1343"/>
      <c r="D2681" s="1338"/>
      <c r="E2681" s="1338"/>
    </row>
    <row r="2682" spans="1:5" s="1266" customFormat="1">
      <c r="A2682" s="1311"/>
      <c r="B2682" s="1312" t="s">
        <v>2551</v>
      </c>
      <c r="C2682" s="1343"/>
      <c r="D2682" s="1338"/>
      <c r="E2682" s="1338"/>
    </row>
    <row r="2683" spans="1:5" s="1266" customFormat="1">
      <c r="A2683" s="1311"/>
      <c r="B2683" s="1332"/>
      <c r="C2683" s="1343"/>
      <c r="D2683" s="1338"/>
      <c r="E2683" s="1338"/>
    </row>
    <row r="2684" spans="1:5" s="1266" customFormat="1" ht="26.25">
      <c r="A2684" s="1311"/>
      <c r="B2684" s="1331" t="s">
        <v>2554</v>
      </c>
      <c r="C2684" s="1343"/>
      <c r="D2684" s="1338"/>
      <c r="E2684" s="1338"/>
    </row>
    <row r="2685" spans="1:5" s="1266" customFormat="1">
      <c r="A2685" s="1311"/>
      <c r="B2685" s="1332"/>
      <c r="C2685" s="1343"/>
      <c r="D2685" s="1338"/>
      <c r="E2685" s="1338"/>
    </row>
    <row r="2686" spans="1:5" s="1266" customFormat="1" ht="75">
      <c r="A2686" s="1311"/>
      <c r="B2686" s="1332" t="s">
        <v>2555</v>
      </c>
      <c r="C2686" s="1343" t="s">
        <v>217</v>
      </c>
      <c r="D2686" s="1338">
        <v>1868.15</v>
      </c>
      <c r="E2686" s="1363">
        <f>D2686*$E$5</f>
        <v>1985.8434500000001</v>
      </c>
    </row>
    <row r="2687" spans="1:5" s="1266" customFormat="1">
      <c r="A2687" s="1311"/>
      <c r="B2687" s="1332"/>
      <c r="C2687" s="1343"/>
      <c r="D2687" s="1338"/>
      <c r="E2687" s="1338"/>
    </row>
    <row r="2688" spans="1:5" s="1266" customFormat="1" ht="75">
      <c r="A2688" s="1311"/>
      <c r="B2688" s="1332" t="s">
        <v>2556</v>
      </c>
      <c r="C2688" s="1343" t="s">
        <v>217</v>
      </c>
      <c r="D2688" s="1338">
        <v>7040.62</v>
      </c>
      <c r="E2688" s="1363">
        <f>D2688*$E$5</f>
        <v>7484.1790599999995</v>
      </c>
    </row>
    <row r="2689" spans="1:5" s="1266" customFormat="1">
      <c r="A2689" s="1311"/>
      <c r="B2689" s="1332"/>
      <c r="C2689" s="1343"/>
      <c r="D2689" s="1338"/>
      <c r="E2689" s="1338"/>
    </row>
    <row r="2690" spans="1:5" s="1266" customFormat="1" ht="120">
      <c r="A2690" s="1311"/>
      <c r="B2690" s="1332" t="s">
        <v>2557</v>
      </c>
      <c r="C2690" s="1343" t="s">
        <v>217</v>
      </c>
      <c r="D2690" s="1338">
        <v>4403</v>
      </c>
      <c r="E2690" s="1363">
        <f>D2690*$E$5</f>
        <v>4680.3890000000001</v>
      </c>
    </row>
    <row r="2691" spans="1:5" s="1266" customFormat="1">
      <c r="A2691" s="1311"/>
      <c r="B2691" s="1332"/>
      <c r="C2691" s="1343"/>
      <c r="D2691" s="1338"/>
      <c r="E2691" s="1338"/>
    </row>
    <row r="2692" spans="1:5" s="1266" customFormat="1">
      <c r="A2692" s="1311"/>
      <c r="B2692" s="1331" t="s">
        <v>2558</v>
      </c>
      <c r="C2692" s="1343"/>
      <c r="D2692" s="1338"/>
      <c r="E2692" s="1338"/>
    </row>
    <row r="2693" spans="1:5" s="1266" customFormat="1">
      <c r="A2693" s="1311"/>
      <c r="B2693" s="1332"/>
      <c r="C2693" s="1343"/>
      <c r="D2693" s="1338"/>
      <c r="E2693" s="1338"/>
    </row>
    <row r="2694" spans="1:5" s="1266" customFormat="1" ht="30">
      <c r="A2694" s="1311"/>
      <c r="B2694" s="1332" t="s">
        <v>2559</v>
      </c>
      <c r="C2694" s="1343" t="s">
        <v>217</v>
      </c>
      <c r="D2694" s="1338">
        <v>1437.99</v>
      </c>
      <c r="E2694" s="1363">
        <f>D2694*$E$5</f>
        <v>1528.5833699999998</v>
      </c>
    </row>
    <row r="2695" spans="1:5" s="1266" customFormat="1">
      <c r="A2695" s="1311"/>
      <c r="B2695" s="1332"/>
      <c r="C2695" s="1343"/>
      <c r="D2695" s="1338"/>
      <c r="E2695" s="1338"/>
    </row>
    <row r="2696" spans="1:5" s="1266" customFormat="1" ht="60">
      <c r="A2696" s="1311"/>
      <c r="B2696" s="1332" t="s">
        <v>2560</v>
      </c>
      <c r="C2696" s="1343" t="s">
        <v>217</v>
      </c>
      <c r="D2696" s="1338">
        <v>4574.95</v>
      </c>
      <c r="E2696" s="1363">
        <f>D2696*$E$5</f>
        <v>4863.1718499999997</v>
      </c>
    </row>
    <row r="2697" spans="1:5" s="1266" customFormat="1">
      <c r="A2697" s="1311"/>
      <c r="B2697" s="1332"/>
      <c r="C2697" s="1343"/>
      <c r="D2697" s="1338"/>
      <c r="E2697" s="1338"/>
    </row>
    <row r="2698" spans="1:5" s="1266" customFormat="1" ht="60">
      <c r="A2698" s="1311"/>
      <c r="B2698" s="1332" t="s">
        <v>2561</v>
      </c>
      <c r="C2698" s="1343" t="s">
        <v>217</v>
      </c>
      <c r="D2698" s="1338">
        <v>4600</v>
      </c>
      <c r="E2698" s="1363">
        <f>D2698*$E$5</f>
        <v>4889.8</v>
      </c>
    </row>
    <row r="2699" spans="1:5" s="1266" customFormat="1">
      <c r="A2699" s="1311"/>
      <c r="B2699" s="1332"/>
      <c r="C2699" s="1343"/>
      <c r="D2699" s="1338"/>
      <c r="E2699" s="1338"/>
    </row>
    <row r="2700" spans="1:5" s="1266" customFormat="1">
      <c r="A2700" s="1311"/>
      <c r="B2700" s="1331" t="s">
        <v>2562</v>
      </c>
      <c r="C2700" s="1343"/>
      <c r="D2700" s="1338"/>
      <c r="E2700" s="1338"/>
    </row>
    <row r="2701" spans="1:5" s="1266" customFormat="1">
      <c r="A2701" s="1311"/>
      <c r="B2701" s="1332"/>
      <c r="C2701" s="1343"/>
      <c r="D2701" s="1338"/>
      <c r="E2701" s="1338"/>
    </row>
    <row r="2702" spans="1:5" s="1266" customFormat="1" ht="30">
      <c r="A2702" s="1311"/>
      <c r="B2702" s="1332" t="s">
        <v>2563</v>
      </c>
      <c r="C2702" s="1343" t="s">
        <v>217</v>
      </c>
      <c r="D2702" s="1338">
        <v>5487.98</v>
      </c>
      <c r="E2702" s="1363">
        <f>D2702*$E$5</f>
        <v>5833.7227399999992</v>
      </c>
    </row>
    <row r="2703" spans="1:5" s="1266" customFormat="1">
      <c r="A2703" s="1311"/>
      <c r="B2703" s="1332"/>
      <c r="C2703" s="1343"/>
      <c r="D2703" s="1338"/>
      <c r="E2703" s="1338"/>
    </row>
    <row r="2704" spans="1:5" s="1266" customFormat="1" ht="30">
      <c r="A2704" s="1311"/>
      <c r="B2704" s="1332" t="s">
        <v>2564</v>
      </c>
      <c r="C2704" s="1343" t="s">
        <v>217</v>
      </c>
      <c r="D2704" s="1338">
        <v>5733.27</v>
      </c>
      <c r="E2704" s="1363">
        <f>D2704*$E$5</f>
        <v>6094.4660100000001</v>
      </c>
    </row>
    <row r="2705" spans="1:5" s="1266" customFormat="1">
      <c r="A2705" s="1311"/>
      <c r="B2705" s="1332"/>
      <c r="C2705" s="1343"/>
      <c r="D2705" s="1338"/>
      <c r="E2705" s="1338"/>
    </row>
    <row r="2706" spans="1:5" s="1266" customFormat="1" ht="30">
      <c r="A2706" s="1311"/>
      <c r="B2706" s="1332" t="s">
        <v>2565</v>
      </c>
      <c r="C2706" s="1343" t="s">
        <v>217</v>
      </c>
      <c r="D2706" s="1338">
        <v>5733.27</v>
      </c>
      <c r="E2706" s="1363">
        <f>D2706*$E$5</f>
        <v>6094.4660100000001</v>
      </c>
    </row>
    <row r="2707" spans="1:5" s="1266" customFormat="1">
      <c r="A2707" s="1311"/>
      <c r="B2707" s="1332"/>
      <c r="C2707" s="1343"/>
      <c r="D2707" s="1338"/>
      <c r="E2707" s="1338"/>
    </row>
    <row r="2708" spans="1:5" s="1266" customFormat="1">
      <c r="A2708" s="1311"/>
      <c r="B2708" s="1331" t="s">
        <v>2566</v>
      </c>
      <c r="C2708" s="1343"/>
      <c r="D2708" s="1338"/>
      <c r="E2708" s="1338"/>
    </row>
    <row r="2709" spans="1:5" s="1266" customFormat="1">
      <c r="A2709" s="1311"/>
      <c r="B2709" s="1332"/>
      <c r="C2709" s="1343"/>
      <c r="D2709" s="1338"/>
      <c r="E2709" s="1338"/>
    </row>
    <row r="2710" spans="1:5" s="1266" customFormat="1" ht="45">
      <c r="A2710" s="1311"/>
      <c r="B2710" s="1332" t="s">
        <v>2567</v>
      </c>
      <c r="C2710" s="1343" t="s">
        <v>217</v>
      </c>
      <c r="D2710" s="1338">
        <v>1300</v>
      </c>
      <c r="E2710" s="1363">
        <f>D2710*$E$5</f>
        <v>1381.8999999999999</v>
      </c>
    </row>
    <row r="2711" spans="1:5" s="1266" customFormat="1">
      <c r="A2711" s="1311"/>
      <c r="B2711" s="1332"/>
      <c r="C2711" s="1343"/>
      <c r="D2711" s="1338"/>
      <c r="E2711" s="1338"/>
    </row>
    <row r="2712" spans="1:5" s="1266" customFormat="1" ht="45">
      <c r="A2712" s="1311"/>
      <c r="B2712" s="1332" t="s">
        <v>2568</v>
      </c>
      <c r="C2712" s="1343" t="s">
        <v>217</v>
      </c>
      <c r="D2712" s="1338">
        <v>1700</v>
      </c>
      <c r="E2712" s="1363">
        <f>D2712*$E$5</f>
        <v>1807.1</v>
      </c>
    </row>
    <row r="2713" spans="1:5" s="1266" customFormat="1">
      <c r="A2713" s="1311"/>
      <c r="B2713" s="1332"/>
      <c r="C2713" s="1343"/>
      <c r="D2713" s="1338"/>
      <c r="E2713" s="1338"/>
    </row>
    <row r="2714" spans="1:5" s="1266" customFormat="1">
      <c r="A2714" s="1311"/>
      <c r="B2714" s="1331" t="s">
        <v>2569</v>
      </c>
      <c r="C2714" s="1343"/>
      <c r="D2714" s="1338"/>
      <c r="E2714" s="1338"/>
    </row>
    <row r="2715" spans="1:5" s="1266" customFormat="1">
      <c r="A2715" s="1311"/>
      <c r="B2715" s="1332"/>
      <c r="C2715" s="1343"/>
      <c r="D2715" s="1338"/>
      <c r="E2715" s="1338"/>
    </row>
    <row r="2716" spans="1:5" s="1266" customFormat="1" ht="60">
      <c r="A2716" s="1311"/>
      <c r="B2716" s="1332" t="s">
        <v>2570</v>
      </c>
      <c r="C2716" s="1343" t="s">
        <v>217</v>
      </c>
      <c r="D2716" s="1338">
        <v>3200</v>
      </c>
      <c r="E2716" s="1363">
        <f>D2716*$E$5</f>
        <v>3401.6</v>
      </c>
    </row>
    <row r="2717" spans="1:5" s="1266" customFormat="1">
      <c r="A2717" s="1311"/>
      <c r="B2717" s="1332"/>
      <c r="C2717" s="1343"/>
      <c r="D2717" s="1338"/>
      <c r="E2717" s="1338"/>
    </row>
    <row r="2718" spans="1:5" s="1266" customFormat="1">
      <c r="A2718" s="1311"/>
      <c r="B2718" s="1331" t="s">
        <v>2571</v>
      </c>
      <c r="C2718" s="1343"/>
      <c r="D2718" s="1338"/>
      <c r="E2718" s="1338"/>
    </row>
    <row r="2719" spans="1:5" s="1266" customFormat="1">
      <c r="A2719" s="1311"/>
      <c r="B2719" s="1332"/>
      <c r="C2719" s="1343"/>
      <c r="D2719" s="1338"/>
      <c r="E2719" s="1338"/>
    </row>
    <row r="2720" spans="1:5" s="1266" customFormat="1" ht="30">
      <c r="A2720" s="1311"/>
      <c r="B2720" s="1332" t="s">
        <v>2572</v>
      </c>
      <c r="C2720" s="1343" t="s">
        <v>217</v>
      </c>
      <c r="D2720" s="1338">
        <v>8000</v>
      </c>
      <c r="E2720" s="1363">
        <f>D2720*$E$5</f>
        <v>8504</v>
      </c>
    </row>
    <row r="2721" spans="1:5" s="1266" customFormat="1">
      <c r="A2721" s="1311"/>
      <c r="B2721" s="1332"/>
      <c r="C2721" s="1343"/>
      <c r="D2721" s="1338"/>
      <c r="E2721" s="1338"/>
    </row>
    <row r="2722" spans="1:5" s="1266" customFormat="1">
      <c r="A2722" s="1311"/>
      <c r="B2722" s="1331" t="s">
        <v>2573</v>
      </c>
      <c r="C2722" s="1343"/>
      <c r="D2722" s="1338"/>
      <c r="E2722" s="1338"/>
    </row>
    <row r="2723" spans="1:5" s="1266" customFormat="1">
      <c r="A2723" s="1311"/>
      <c r="B2723" s="1332"/>
      <c r="C2723" s="1343"/>
      <c r="D2723" s="1338"/>
      <c r="E2723" s="1338"/>
    </row>
    <row r="2724" spans="1:5" s="1266" customFormat="1">
      <c r="A2724" s="1311"/>
      <c r="B2724" s="1332" t="s">
        <v>2574</v>
      </c>
      <c r="C2724" s="1343" t="s">
        <v>217</v>
      </c>
      <c r="D2724" s="1338">
        <v>1269.49</v>
      </c>
      <c r="E2724" s="1363">
        <f>D2724*$E$5</f>
        <v>1349.4678699999999</v>
      </c>
    </row>
    <row r="2725" spans="1:5" s="1266" customFormat="1">
      <c r="A2725" s="1311"/>
      <c r="B2725" s="1332"/>
      <c r="C2725" s="1343"/>
      <c r="D2725" s="1338"/>
      <c r="E2725" s="1338"/>
    </row>
    <row r="2726" spans="1:5" s="1266" customFormat="1" ht="30">
      <c r="A2726" s="1311"/>
      <c r="B2726" s="1332" t="s">
        <v>2575</v>
      </c>
      <c r="C2726" s="1343" t="s">
        <v>217</v>
      </c>
      <c r="D2726" s="1338">
        <v>1478.39</v>
      </c>
      <c r="E2726" s="1363">
        <f>D2726*$E$5</f>
        <v>1571.5285699999999</v>
      </c>
    </row>
    <row r="2727" spans="1:5" s="1266" customFormat="1">
      <c r="A2727" s="1311"/>
      <c r="B2727" s="1332"/>
      <c r="C2727" s="1343"/>
      <c r="D2727" s="1338"/>
      <c r="E2727" s="1338"/>
    </row>
    <row r="2728" spans="1:5" s="1266" customFormat="1">
      <c r="A2728" s="1311"/>
      <c r="B2728" s="1332" t="s">
        <v>2576</v>
      </c>
      <c r="C2728" s="1343" t="s">
        <v>217</v>
      </c>
      <c r="D2728" s="1338">
        <v>1897.2</v>
      </c>
      <c r="E2728" s="1363">
        <f>D2728*$E$5</f>
        <v>2016.7236</v>
      </c>
    </row>
    <row r="2729" spans="1:5" s="1266" customFormat="1">
      <c r="A2729" s="1311"/>
      <c r="B2729" s="1332"/>
      <c r="C2729" s="1343"/>
      <c r="D2729" s="1338"/>
      <c r="E2729" s="1338"/>
    </row>
    <row r="2730" spans="1:5" s="1266" customFormat="1">
      <c r="A2730" s="1311"/>
      <c r="B2730" s="1332" t="s">
        <v>2577</v>
      </c>
      <c r="C2730" s="1343" t="s">
        <v>217</v>
      </c>
      <c r="D2730" s="1338">
        <v>1900</v>
      </c>
      <c r="E2730" s="1363">
        <f>D2730*$E$5</f>
        <v>2019.6999999999998</v>
      </c>
    </row>
    <row r="2731" spans="1:5" s="1266" customFormat="1">
      <c r="A2731" s="1311"/>
      <c r="B2731" s="1332"/>
      <c r="C2731" s="1343"/>
      <c r="D2731" s="1338"/>
      <c r="E2731" s="1338"/>
    </row>
    <row r="2732" spans="1:5" s="1266" customFormat="1">
      <c r="A2732" s="1311"/>
      <c r="B2732" s="1312" t="s">
        <v>2578</v>
      </c>
      <c r="C2732" s="1343"/>
      <c r="D2732" s="1338"/>
      <c r="E2732" s="1338"/>
    </row>
    <row r="2733" spans="1:5" s="1266" customFormat="1">
      <c r="A2733" s="1311"/>
      <c r="B2733" s="1332"/>
      <c r="C2733" s="1343"/>
      <c r="D2733" s="1338"/>
      <c r="E2733" s="1338"/>
    </row>
    <row r="2734" spans="1:5" s="1266" customFormat="1" ht="30">
      <c r="A2734" s="1311"/>
      <c r="B2734" s="1332" t="s">
        <v>2553</v>
      </c>
      <c r="C2734" s="1343"/>
      <c r="D2734" s="1338"/>
      <c r="E2734" s="1338"/>
    </row>
    <row r="2735" spans="1:5" s="1266" customFormat="1">
      <c r="A2735" s="1311"/>
      <c r="B2735" s="1332"/>
      <c r="C2735" s="1343"/>
      <c r="D2735" s="1338"/>
      <c r="E2735" s="1338"/>
    </row>
    <row r="2736" spans="1:5" s="1266" customFormat="1" ht="45">
      <c r="A2736" s="1311"/>
      <c r="B2736" s="1332" t="s">
        <v>2579</v>
      </c>
      <c r="C2736" s="1343"/>
      <c r="D2736" s="1338"/>
      <c r="E2736" s="1338"/>
    </row>
    <row r="2737" spans="1:5" s="1266" customFormat="1">
      <c r="A2737" s="1311"/>
      <c r="B2737" s="1332"/>
      <c r="C2737" s="1343"/>
      <c r="D2737" s="1338"/>
      <c r="E2737" s="1338"/>
    </row>
    <row r="2738" spans="1:5" s="1266" customFormat="1">
      <c r="A2738" s="1311"/>
      <c r="B2738" s="1331" t="s">
        <v>2580</v>
      </c>
      <c r="C2738" s="1343"/>
      <c r="D2738" s="1338"/>
      <c r="E2738" s="1338"/>
    </row>
    <row r="2739" spans="1:5" s="1266" customFormat="1">
      <c r="A2739" s="1311"/>
      <c r="B2739" s="1332"/>
      <c r="C2739" s="1343"/>
      <c r="D2739" s="1338"/>
      <c r="E2739" s="1338"/>
    </row>
    <row r="2740" spans="1:5" s="1266" customFormat="1">
      <c r="A2740" s="1311"/>
      <c r="B2740" s="1332" t="s">
        <v>2581</v>
      </c>
      <c r="C2740" s="1343" t="s">
        <v>217</v>
      </c>
      <c r="D2740" s="1338">
        <v>139.6</v>
      </c>
      <c r="E2740" s="1363">
        <f>D2740*$E$5</f>
        <v>148.39479999999998</v>
      </c>
    </row>
    <row r="2741" spans="1:5" s="1266" customFormat="1">
      <c r="A2741" s="1311"/>
      <c r="B2741" s="1332"/>
      <c r="C2741" s="1343"/>
      <c r="D2741" s="1338"/>
      <c r="E2741" s="1338"/>
    </row>
    <row r="2742" spans="1:5" s="1266" customFormat="1">
      <c r="A2742" s="1311"/>
      <c r="B2742" s="1332" t="s">
        <v>2582</v>
      </c>
      <c r="C2742" s="1343" t="s">
        <v>217</v>
      </c>
      <c r="D2742" s="1338">
        <v>140</v>
      </c>
      <c r="E2742" s="1363">
        <f>D2742*$E$5</f>
        <v>148.82</v>
      </c>
    </row>
    <row r="2743" spans="1:5" s="1266" customFormat="1">
      <c r="A2743" s="1311"/>
      <c r="B2743" s="1332"/>
      <c r="C2743" s="1343"/>
      <c r="D2743" s="1338"/>
      <c r="E2743" s="1338"/>
    </row>
    <row r="2744" spans="1:5" s="1266" customFormat="1" ht="60">
      <c r="A2744" s="1311"/>
      <c r="B2744" s="1332" t="s">
        <v>2583</v>
      </c>
      <c r="C2744" s="1343" t="s">
        <v>217</v>
      </c>
      <c r="D2744" s="1338">
        <v>150</v>
      </c>
      <c r="E2744" s="1363">
        <f>D2744*$E$5</f>
        <v>159.44999999999999</v>
      </c>
    </row>
    <row r="2745" spans="1:5" s="1266" customFormat="1">
      <c r="A2745" s="1311"/>
      <c r="B2745" s="1332"/>
      <c r="C2745" s="1343"/>
      <c r="D2745" s="1338"/>
      <c r="E2745" s="1338"/>
    </row>
    <row r="2746" spans="1:5" s="1266" customFormat="1" ht="60">
      <c r="A2746" s="1311"/>
      <c r="B2746" s="1332" t="s">
        <v>2584</v>
      </c>
      <c r="C2746" s="1343" t="s">
        <v>217</v>
      </c>
      <c r="D2746" s="1338">
        <v>150</v>
      </c>
      <c r="E2746" s="1363">
        <f>D2746*$E$5</f>
        <v>159.44999999999999</v>
      </c>
    </row>
    <row r="2747" spans="1:5" s="1266" customFormat="1">
      <c r="A2747" s="1311"/>
      <c r="B2747" s="1332"/>
      <c r="C2747" s="1343"/>
      <c r="D2747" s="1338"/>
      <c r="E2747" s="1338"/>
    </row>
    <row r="2748" spans="1:5" s="1266" customFormat="1">
      <c r="A2748" s="1311"/>
      <c r="B2748" s="1312" t="s">
        <v>2585</v>
      </c>
      <c r="C2748" s="1343"/>
      <c r="D2748" s="1338"/>
      <c r="E2748" s="1338"/>
    </row>
    <row r="2749" spans="1:5" s="1266" customFormat="1">
      <c r="A2749" s="1311"/>
      <c r="B2749" s="1332"/>
      <c r="C2749" s="1343"/>
      <c r="D2749" s="1338"/>
      <c r="E2749" s="1338"/>
    </row>
    <row r="2750" spans="1:5" s="1266" customFormat="1" ht="30">
      <c r="A2750" s="1311"/>
      <c r="B2750" s="1332" t="s">
        <v>2553</v>
      </c>
      <c r="C2750" s="1343"/>
      <c r="D2750" s="1338"/>
      <c r="E2750" s="1338"/>
    </row>
    <row r="2751" spans="1:5" s="1266" customFormat="1">
      <c r="A2751" s="1311"/>
      <c r="B2751" s="1332"/>
      <c r="C2751" s="1343"/>
      <c r="D2751" s="1338"/>
      <c r="E2751" s="1338"/>
    </row>
    <row r="2752" spans="1:5" s="1266" customFormat="1">
      <c r="A2752" s="1311"/>
      <c r="B2752" s="1331" t="s">
        <v>2586</v>
      </c>
      <c r="C2752" s="1343"/>
      <c r="D2752" s="1338"/>
      <c r="E2752" s="1338"/>
    </row>
    <row r="2753" spans="1:5" s="1266" customFormat="1">
      <c r="A2753" s="1311"/>
      <c r="B2753" s="1332"/>
      <c r="C2753" s="1343"/>
      <c r="D2753" s="1338"/>
      <c r="E2753" s="1338"/>
    </row>
    <row r="2754" spans="1:5" s="1266" customFormat="1">
      <c r="A2754" s="1311"/>
      <c r="B2754" s="1332" t="s">
        <v>2587</v>
      </c>
      <c r="C2754" s="1343" t="s">
        <v>217</v>
      </c>
      <c r="D2754" s="1338">
        <v>93.76</v>
      </c>
      <c r="E2754" s="1363">
        <f>D2754*$E$5</f>
        <v>99.666880000000006</v>
      </c>
    </row>
    <row r="2755" spans="1:5" s="1266" customFormat="1">
      <c r="A2755" s="1311"/>
      <c r="B2755" s="1332"/>
      <c r="C2755" s="1343"/>
      <c r="D2755" s="1338"/>
      <c r="E2755" s="1338"/>
    </row>
    <row r="2756" spans="1:5" s="1266" customFormat="1">
      <c r="A2756" s="1311"/>
      <c r="B2756" s="1331" t="s">
        <v>2580</v>
      </c>
      <c r="C2756" s="1343"/>
      <c r="D2756" s="1338"/>
      <c r="E2756" s="1338"/>
    </row>
    <row r="2757" spans="1:5" s="1266" customFormat="1">
      <c r="A2757" s="1311"/>
      <c r="B2757" s="1332"/>
      <c r="C2757" s="1343"/>
      <c r="D2757" s="1338"/>
      <c r="E2757" s="1338"/>
    </row>
    <row r="2758" spans="1:5" s="1266" customFormat="1">
      <c r="A2758" s="1311"/>
      <c r="B2758" s="1332" t="s">
        <v>2588</v>
      </c>
      <c r="C2758" s="1343" t="s">
        <v>217</v>
      </c>
      <c r="D2758" s="1338">
        <v>500</v>
      </c>
      <c r="E2758" s="1363">
        <f>D2758*$E$5</f>
        <v>531.5</v>
      </c>
    </row>
    <row r="2759" spans="1:5" s="1266" customFormat="1">
      <c r="A2759" s="1311"/>
      <c r="B2759" s="1332"/>
      <c r="C2759" s="1343"/>
      <c r="D2759" s="1338"/>
      <c r="E2759" s="1338"/>
    </row>
    <row r="2760" spans="1:5" s="1266" customFormat="1" ht="30">
      <c r="A2760" s="1311"/>
      <c r="B2760" s="1332" t="s">
        <v>2589</v>
      </c>
      <c r="C2760" s="1343" t="s">
        <v>217</v>
      </c>
      <c r="D2760" s="1338">
        <v>314.16000000000003</v>
      </c>
      <c r="E2760" s="1363">
        <f>D2760*$E$5</f>
        <v>333.95208000000002</v>
      </c>
    </row>
    <row r="2761" spans="1:5" s="1266" customFormat="1">
      <c r="A2761" s="1311"/>
      <c r="B2761" s="1332"/>
      <c r="C2761" s="1343"/>
      <c r="D2761" s="1338"/>
      <c r="E2761" s="1338"/>
    </row>
    <row r="2762" spans="1:5" s="1266" customFormat="1">
      <c r="A2762" s="1311"/>
      <c r="B2762" s="1332" t="s">
        <v>2590</v>
      </c>
      <c r="C2762" s="1343" t="s">
        <v>217</v>
      </c>
      <c r="D2762" s="1338">
        <v>560</v>
      </c>
      <c r="E2762" s="1363">
        <f>D2762*$E$5</f>
        <v>595.28</v>
      </c>
    </row>
    <row r="2763" spans="1:5" s="1266" customFormat="1">
      <c r="A2763" s="1311"/>
      <c r="B2763" s="1332"/>
      <c r="C2763" s="1343"/>
      <c r="D2763" s="1338"/>
      <c r="E2763" s="1338"/>
    </row>
    <row r="2764" spans="1:5" s="1266" customFormat="1">
      <c r="A2764" s="1311"/>
      <c r="B2764" s="1312" t="s">
        <v>2591</v>
      </c>
      <c r="C2764" s="1343"/>
      <c r="D2764" s="1338"/>
      <c r="E2764" s="1338"/>
    </row>
    <row r="2765" spans="1:5" s="1266" customFormat="1">
      <c r="A2765" s="1311"/>
      <c r="B2765" s="1332"/>
      <c r="C2765" s="1343"/>
      <c r="D2765" s="1338"/>
      <c r="E2765" s="1338"/>
    </row>
    <row r="2766" spans="1:5" s="1266" customFormat="1" ht="30">
      <c r="A2766" s="1311"/>
      <c r="B2766" s="1332" t="s">
        <v>2592</v>
      </c>
      <c r="C2766" s="1343"/>
      <c r="D2766" s="1338"/>
      <c r="E2766" s="1338"/>
    </row>
    <row r="2767" spans="1:5" s="1266" customFormat="1">
      <c r="A2767" s="1311"/>
      <c r="B2767" s="1332"/>
      <c r="C2767" s="1343"/>
      <c r="D2767" s="1338"/>
      <c r="E2767" s="1338"/>
    </row>
    <row r="2768" spans="1:5" s="1266" customFormat="1" ht="26.25">
      <c r="A2768" s="1311"/>
      <c r="B2768" s="1331" t="s">
        <v>2593</v>
      </c>
      <c r="C2768" s="1343"/>
      <c r="D2768" s="1338"/>
      <c r="E2768" s="1338"/>
    </row>
    <row r="2769" spans="1:5" s="1266" customFormat="1">
      <c r="A2769" s="1311"/>
      <c r="B2769" s="1332"/>
      <c r="C2769" s="1343"/>
      <c r="D2769" s="1338"/>
      <c r="E2769" s="1338"/>
    </row>
    <row r="2770" spans="1:5" s="1266" customFormat="1">
      <c r="A2770" s="1311"/>
      <c r="B2770" s="1332" t="s">
        <v>2594</v>
      </c>
      <c r="C2770" s="1343" t="s">
        <v>217</v>
      </c>
      <c r="D2770" s="1338">
        <v>5000</v>
      </c>
      <c r="E2770" s="1363">
        <f>D2770*$E$5</f>
        <v>5315</v>
      </c>
    </row>
    <row r="2771" spans="1:5" s="1266" customFormat="1">
      <c r="A2771" s="1311"/>
      <c r="B2771" s="1332"/>
      <c r="C2771" s="1343"/>
      <c r="D2771" s="1338"/>
      <c r="E2771" s="1338"/>
    </row>
    <row r="2772" spans="1:5" s="1266" customFormat="1">
      <c r="A2772" s="1311"/>
      <c r="B2772" s="1332" t="s">
        <v>2595</v>
      </c>
      <c r="C2772" s="1343" t="s">
        <v>217</v>
      </c>
      <c r="D2772" s="1338">
        <v>12500</v>
      </c>
      <c r="E2772" s="1363">
        <f>D2772*$E$5</f>
        <v>13287.5</v>
      </c>
    </row>
    <row r="2773" spans="1:5" s="1266" customFormat="1">
      <c r="A2773" s="1311"/>
      <c r="B2773" s="1332"/>
      <c r="C2773" s="1343"/>
      <c r="D2773" s="1338"/>
      <c r="E2773" s="1338"/>
    </row>
    <row r="2774" spans="1:5" s="1266" customFormat="1">
      <c r="A2774" s="1311"/>
      <c r="B2774" s="1331" t="s">
        <v>2596</v>
      </c>
      <c r="C2774" s="1343"/>
      <c r="D2774" s="1338"/>
      <c r="E2774" s="1338"/>
    </row>
    <row r="2775" spans="1:5" s="1266" customFormat="1">
      <c r="A2775" s="1311"/>
      <c r="B2775" s="1332"/>
      <c r="C2775" s="1343"/>
      <c r="D2775" s="1338"/>
      <c r="E2775" s="1338"/>
    </row>
    <row r="2776" spans="1:5" s="1266" customFormat="1">
      <c r="A2776" s="1311"/>
      <c r="B2776" s="1332" t="s">
        <v>2597</v>
      </c>
      <c r="C2776" s="1343" t="s">
        <v>217</v>
      </c>
      <c r="D2776" s="1338">
        <v>194.76</v>
      </c>
      <c r="E2776" s="1363">
        <f>D2776*$E$5</f>
        <v>207.02987999999999</v>
      </c>
    </row>
    <row r="2777" spans="1:5" s="1266" customFormat="1">
      <c r="A2777" s="1311"/>
      <c r="B2777" s="1332"/>
      <c r="C2777" s="1343"/>
      <c r="D2777" s="1338"/>
      <c r="E2777" s="1338"/>
    </row>
    <row r="2778" spans="1:5" s="1266" customFormat="1">
      <c r="A2778" s="1311"/>
      <c r="B2778" s="1332" t="s">
        <v>2598</v>
      </c>
      <c r="C2778" s="1343" t="s">
        <v>217</v>
      </c>
      <c r="D2778" s="1338">
        <v>320</v>
      </c>
      <c r="E2778" s="1363">
        <f>D2778*$E$5</f>
        <v>340.15999999999997</v>
      </c>
    </row>
    <row r="2779" spans="1:5" s="1266" customFormat="1">
      <c r="A2779" s="1311"/>
      <c r="B2779" s="1332"/>
      <c r="C2779" s="1343"/>
      <c r="D2779" s="1338"/>
      <c r="E2779" s="1338"/>
    </row>
    <row r="2780" spans="1:5" s="1266" customFormat="1" ht="45">
      <c r="A2780" s="1311"/>
      <c r="B2780" s="1332" t="s">
        <v>2599</v>
      </c>
      <c r="C2780" s="1343" t="s">
        <v>217</v>
      </c>
      <c r="D2780" s="1338">
        <v>458.97</v>
      </c>
      <c r="E2780" s="1363">
        <f>D2780*$E$5</f>
        <v>487.88511</v>
      </c>
    </row>
    <row r="2781" spans="1:5" s="1266" customFormat="1">
      <c r="A2781" s="1311"/>
      <c r="B2781" s="1332"/>
      <c r="C2781" s="1343"/>
      <c r="D2781" s="1338"/>
      <c r="E2781" s="1338"/>
    </row>
    <row r="2782" spans="1:5" s="1266" customFormat="1" ht="45">
      <c r="A2782" s="1311"/>
      <c r="B2782" s="1332" t="s">
        <v>2600</v>
      </c>
      <c r="C2782" s="1343" t="s">
        <v>217</v>
      </c>
      <c r="D2782" s="1338">
        <v>505.18</v>
      </c>
      <c r="E2782" s="1363">
        <f>D2782*$E$5</f>
        <v>537.00634000000002</v>
      </c>
    </row>
    <row r="2783" spans="1:5" s="1266" customFormat="1">
      <c r="A2783" s="1311"/>
      <c r="B2783" s="1332"/>
      <c r="C2783" s="1343"/>
      <c r="D2783" s="1338"/>
      <c r="E2783" s="1338"/>
    </row>
    <row r="2784" spans="1:5" s="1266" customFormat="1">
      <c r="A2784" s="1311"/>
      <c r="B2784" s="1332" t="s">
        <v>2601</v>
      </c>
      <c r="C2784" s="1343" t="s">
        <v>217</v>
      </c>
      <c r="D2784" s="1338">
        <v>506.18</v>
      </c>
      <c r="E2784" s="1363">
        <f>D2784*$E$5</f>
        <v>538.06934000000001</v>
      </c>
    </row>
    <row r="2785" spans="1:5" s="1266" customFormat="1">
      <c r="A2785" s="1311"/>
      <c r="B2785" s="1332"/>
      <c r="C2785" s="1343"/>
      <c r="D2785" s="1338"/>
      <c r="E2785" s="1338"/>
    </row>
    <row r="2786" spans="1:5" s="1266" customFormat="1">
      <c r="A2786" s="1311"/>
      <c r="B2786" s="1332" t="s">
        <v>2602</v>
      </c>
      <c r="C2786" s="1343" t="s">
        <v>217</v>
      </c>
      <c r="D2786" s="1338">
        <v>536.30999999999995</v>
      </c>
      <c r="E2786" s="1363">
        <f>D2786*$E$5</f>
        <v>570.09752999999989</v>
      </c>
    </row>
    <row r="2787" spans="1:5" s="1266" customFormat="1">
      <c r="A2787" s="1311"/>
      <c r="B2787" s="1332"/>
      <c r="C2787" s="1343"/>
      <c r="D2787" s="1338"/>
      <c r="E2787" s="1338"/>
    </row>
    <row r="2788" spans="1:5" s="1266" customFormat="1">
      <c r="A2788" s="1311"/>
      <c r="B2788" s="1332" t="s">
        <v>2603</v>
      </c>
      <c r="C2788" s="1343" t="s">
        <v>217</v>
      </c>
      <c r="D2788" s="1338">
        <v>790.41</v>
      </c>
      <c r="E2788" s="1363">
        <f>D2788*$E$5</f>
        <v>840.20582999999988</v>
      </c>
    </row>
    <row r="2789" spans="1:5" s="1266" customFormat="1">
      <c r="A2789" s="1311"/>
      <c r="B2789" s="1332"/>
      <c r="C2789" s="1343"/>
      <c r="D2789" s="1338"/>
      <c r="E2789" s="1338"/>
    </row>
    <row r="2790" spans="1:5" s="1266" customFormat="1" ht="30">
      <c r="A2790" s="1311"/>
      <c r="B2790" s="1332" t="s">
        <v>2604</v>
      </c>
      <c r="C2790" s="1343" t="s">
        <v>217</v>
      </c>
      <c r="D2790" s="1338">
        <v>1300</v>
      </c>
      <c r="E2790" s="1363">
        <f>D2790*$E$5</f>
        <v>1381.8999999999999</v>
      </c>
    </row>
    <row r="2791" spans="1:5" s="1266" customFormat="1">
      <c r="A2791" s="1311"/>
      <c r="B2791" s="1332"/>
      <c r="C2791" s="1343"/>
      <c r="D2791" s="1338"/>
      <c r="E2791" s="1338"/>
    </row>
    <row r="2792" spans="1:5" s="1266" customFormat="1">
      <c r="A2792" s="1311"/>
      <c r="B2792" s="1332" t="s">
        <v>2605</v>
      </c>
      <c r="C2792" s="1343" t="s">
        <v>217</v>
      </c>
      <c r="D2792" s="1338">
        <v>2300</v>
      </c>
      <c r="E2792" s="1363">
        <f>D2792*$E$5</f>
        <v>2444.9</v>
      </c>
    </row>
    <row r="2793" spans="1:5" s="1266" customFormat="1">
      <c r="A2793" s="1311"/>
      <c r="B2793" s="1332"/>
      <c r="C2793" s="1343"/>
      <c r="D2793" s="1338"/>
      <c r="E2793" s="1338"/>
    </row>
    <row r="2794" spans="1:5" s="1266" customFormat="1">
      <c r="A2794" s="1311"/>
      <c r="B2794" s="1332" t="s">
        <v>2606</v>
      </c>
      <c r="C2794" s="1343" t="s">
        <v>217</v>
      </c>
      <c r="D2794" s="1338">
        <v>2300</v>
      </c>
      <c r="E2794" s="1363">
        <f>D2794*$E$5</f>
        <v>2444.9</v>
      </c>
    </row>
    <row r="2795" spans="1:5" s="1266" customFormat="1">
      <c r="A2795" s="1311"/>
      <c r="B2795" s="1332"/>
      <c r="C2795" s="1343"/>
      <c r="D2795" s="1338"/>
      <c r="E2795" s="1338"/>
    </row>
    <row r="2796" spans="1:5" s="1266" customFormat="1" ht="45">
      <c r="A2796" s="1311"/>
      <c r="B2796" s="1332" t="s">
        <v>2607</v>
      </c>
      <c r="C2796" s="1343" t="s">
        <v>217</v>
      </c>
      <c r="D2796" s="1338">
        <v>3400</v>
      </c>
      <c r="E2796" s="1363">
        <f>D2796*$E$5</f>
        <v>3614.2</v>
      </c>
    </row>
    <row r="2797" spans="1:5" s="1266" customFormat="1">
      <c r="A2797" s="1311"/>
      <c r="B2797" s="1332"/>
      <c r="C2797" s="1343"/>
      <c r="D2797" s="1338"/>
      <c r="E2797" s="1338"/>
    </row>
    <row r="2798" spans="1:5" s="1266" customFormat="1" ht="60">
      <c r="A2798" s="1311"/>
      <c r="B2798" s="1332" t="s">
        <v>2608</v>
      </c>
      <c r="C2798" s="1343" t="s">
        <v>217</v>
      </c>
      <c r="D2798" s="1338">
        <v>10516.52</v>
      </c>
      <c r="E2798" s="1363">
        <f>D2798*$E$5</f>
        <v>11179.06076</v>
      </c>
    </row>
    <row r="2799" spans="1:5" s="1266" customFormat="1">
      <c r="A2799" s="1311"/>
      <c r="B2799" s="1332"/>
      <c r="C2799" s="1343"/>
      <c r="D2799" s="1338"/>
      <c r="E2799" s="1338"/>
    </row>
    <row r="2800" spans="1:5" s="1266" customFormat="1">
      <c r="A2800" s="1311"/>
      <c r="B2800" s="1331" t="s">
        <v>2609</v>
      </c>
      <c r="C2800" s="1343"/>
      <c r="D2800" s="1338"/>
      <c r="E2800" s="1338"/>
    </row>
    <row r="2801" spans="1:5" s="1266" customFormat="1">
      <c r="A2801" s="1311"/>
      <c r="B2801" s="1332"/>
      <c r="C2801" s="1343"/>
      <c r="D2801" s="1338"/>
      <c r="E2801" s="1338"/>
    </row>
    <row r="2802" spans="1:5" s="1266" customFormat="1" ht="30">
      <c r="A2802" s="1311"/>
      <c r="B2802" s="1332" t="s">
        <v>2610</v>
      </c>
      <c r="C2802" s="1343" t="s">
        <v>217</v>
      </c>
      <c r="D2802" s="1338">
        <v>180</v>
      </c>
      <c r="E2802" s="1363">
        <f>D2802*$E$5</f>
        <v>191.34</v>
      </c>
    </row>
    <row r="2803" spans="1:5" s="1266" customFormat="1">
      <c r="A2803" s="1311"/>
      <c r="B2803" s="1332"/>
      <c r="C2803" s="1343"/>
      <c r="D2803" s="1338"/>
      <c r="E2803" s="1338"/>
    </row>
    <row r="2804" spans="1:5" s="1266" customFormat="1">
      <c r="A2804" s="1311"/>
      <c r="B2804" s="1331" t="s">
        <v>2611</v>
      </c>
      <c r="C2804" s="1343"/>
      <c r="D2804" s="1338"/>
      <c r="E2804" s="1338"/>
    </row>
    <row r="2805" spans="1:5" s="1266" customFormat="1">
      <c r="A2805" s="1311"/>
      <c r="B2805" s="1332"/>
      <c r="C2805" s="1343"/>
      <c r="D2805" s="1338"/>
      <c r="E2805" s="1338"/>
    </row>
    <row r="2806" spans="1:5" s="1266" customFormat="1" ht="30">
      <c r="A2806" s="1311"/>
      <c r="B2806" s="1332" t="s">
        <v>2612</v>
      </c>
      <c r="C2806" s="1343" t="s">
        <v>217</v>
      </c>
      <c r="D2806" s="1338">
        <v>3000</v>
      </c>
      <c r="E2806" s="1363">
        <f>D2806*$E$5</f>
        <v>3189</v>
      </c>
    </row>
    <row r="2807" spans="1:5" s="1266" customFormat="1">
      <c r="A2807" s="1311"/>
      <c r="B2807" s="1332"/>
      <c r="C2807" s="1343"/>
      <c r="D2807" s="1338"/>
      <c r="E2807" s="1338"/>
    </row>
    <row r="2808" spans="1:5" s="1266" customFormat="1" ht="45">
      <c r="A2808" s="1311"/>
      <c r="B2808" s="1332" t="s">
        <v>2613</v>
      </c>
      <c r="C2808" s="1343" t="s">
        <v>217</v>
      </c>
      <c r="D2808" s="1338">
        <v>3946.12</v>
      </c>
      <c r="E2808" s="1363">
        <f>D2808*$E$5</f>
        <v>4194.7255599999999</v>
      </c>
    </row>
    <row r="2809" spans="1:5" s="1266" customFormat="1">
      <c r="A2809" s="1311"/>
      <c r="B2809" s="1332"/>
      <c r="C2809" s="1343"/>
      <c r="D2809" s="1338"/>
      <c r="E2809" s="1338"/>
    </row>
    <row r="2810" spans="1:5" s="1266" customFormat="1" ht="60">
      <c r="A2810" s="1311"/>
      <c r="B2810" s="1332" t="s">
        <v>2614</v>
      </c>
      <c r="C2810" s="1343" t="s">
        <v>217</v>
      </c>
      <c r="D2810" s="1338">
        <v>6926.98</v>
      </c>
      <c r="E2810" s="1363">
        <f>D2810*$E$5</f>
        <v>7363.3797399999994</v>
      </c>
    </row>
    <row r="2811" spans="1:5" s="1266" customFormat="1">
      <c r="A2811" s="1311"/>
      <c r="B2811" s="1332"/>
      <c r="C2811" s="1343"/>
      <c r="D2811" s="1338"/>
      <c r="E2811" s="1338"/>
    </row>
    <row r="2812" spans="1:5" s="1266" customFormat="1">
      <c r="A2812" s="1311"/>
      <c r="B2812" s="1312" t="s">
        <v>2615</v>
      </c>
      <c r="C2812" s="1343"/>
      <c r="D2812" s="1338"/>
      <c r="E2812" s="1338"/>
    </row>
    <row r="2813" spans="1:5" s="1266" customFormat="1">
      <c r="A2813" s="1311"/>
      <c r="B2813" s="1332"/>
      <c r="C2813" s="1343"/>
      <c r="D2813" s="1338"/>
      <c r="E2813" s="1338"/>
    </row>
    <row r="2814" spans="1:5" s="1266" customFormat="1" ht="30">
      <c r="A2814" s="1311"/>
      <c r="B2814" s="1332" t="s">
        <v>2553</v>
      </c>
      <c r="C2814" s="1343"/>
      <c r="D2814" s="1338"/>
      <c r="E2814" s="1338"/>
    </row>
    <row r="2815" spans="1:5" s="1266" customFormat="1">
      <c r="A2815" s="1311"/>
      <c r="B2815" s="1332"/>
      <c r="C2815" s="1343"/>
      <c r="D2815" s="1338"/>
      <c r="E2815" s="1338"/>
    </row>
    <row r="2816" spans="1:5" s="1266" customFormat="1">
      <c r="A2816" s="1311"/>
      <c r="B2816" s="1331" t="s">
        <v>2616</v>
      </c>
      <c r="C2816" s="1343"/>
      <c r="D2816" s="1338"/>
      <c r="E2816" s="1338"/>
    </row>
    <row r="2817" spans="1:5" s="1266" customFormat="1">
      <c r="A2817" s="1311"/>
      <c r="B2817" s="1332"/>
      <c r="C2817" s="1343"/>
      <c r="D2817" s="1338"/>
      <c r="E2817" s="1338"/>
    </row>
    <row r="2818" spans="1:5" s="1266" customFormat="1" ht="45">
      <c r="A2818" s="1311"/>
      <c r="B2818" s="1332" t="s">
        <v>2617</v>
      </c>
      <c r="C2818" s="1343" t="s">
        <v>217</v>
      </c>
      <c r="D2818" s="1338">
        <v>11275</v>
      </c>
      <c r="E2818" s="1363">
        <f>D2818*$E$5</f>
        <v>11985.324999999999</v>
      </c>
    </row>
    <row r="2819" spans="1:5" s="1266" customFormat="1">
      <c r="A2819" s="1311"/>
      <c r="B2819" s="1332"/>
      <c r="C2819" s="1343"/>
      <c r="D2819" s="1338"/>
      <c r="E2819" s="1338"/>
    </row>
    <row r="2820" spans="1:5" s="1266" customFormat="1">
      <c r="A2820" s="1311"/>
      <c r="B2820" s="1312" t="s">
        <v>1665</v>
      </c>
      <c r="C2820" s="1343"/>
      <c r="D2820" s="1338"/>
      <c r="E2820" s="1338"/>
    </row>
    <row r="2821" spans="1:5" s="1266" customFormat="1">
      <c r="A2821" s="1311"/>
      <c r="B2821" s="1332"/>
      <c r="C2821" s="1343"/>
      <c r="D2821" s="1338"/>
      <c r="E2821" s="1338"/>
    </row>
    <row r="2822" spans="1:5" s="1266" customFormat="1">
      <c r="A2822" s="1311"/>
      <c r="B2822" s="1312" t="s">
        <v>2618</v>
      </c>
      <c r="C2822" s="1343"/>
      <c r="D2822" s="1338"/>
      <c r="E2822" s="1338"/>
    </row>
    <row r="2823" spans="1:5" s="1266" customFormat="1">
      <c r="A2823" s="1311"/>
      <c r="B2823" s="1332"/>
      <c r="C2823" s="1343"/>
      <c r="D2823" s="1338"/>
      <c r="E2823" s="1338"/>
    </row>
    <row r="2824" spans="1:5" s="1266" customFormat="1">
      <c r="A2824" s="1311"/>
      <c r="B2824" s="1312" t="s">
        <v>2619</v>
      </c>
      <c r="C2824" s="1343"/>
      <c r="D2824" s="1338"/>
      <c r="E2824" s="1338"/>
    </row>
    <row r="2825" spans="1:5" s="1266" customFormat="1">
      <c r="A2825" s="1311"/>
      <c r="B2825" s="1332"/>
      <c r="C2825" s="1343"/>
      <c r="D2825" s="1338"/>
      <c r="E2825" s="1338"/>
    </row>
    <row r="2826" spans="1:5" s="1266" customFormat="1" ht="26.25">
      <c r="A2826" s="1311"/>
      <c r="B2826" s="1331" t="s">
        <v>2620</v>
      </c>
      <c r="C2826" s="1343"/>
      <c r="D2826" s="1338"/>
      <c r="E2826" s="1338"/>
    </row>
    <row r="2827" spans="1:5" s="1266" customFormat="1">
      <c r="A2827" s="1311"/>
      <c r="B2827" s="1332"/>
      <c r="C2827" s="1343"/>
      <c r="D2827" s="1338"/>
      <c r="E2827" s="1338"/>
    </row>
    <row r="2828" spans="1:5" s="1266" customFormat="1">
      <c r="A2828" s="1311"/>
      <c r="B2828" s="1332" t="s">
        <v>2621</v>
      </c>
      <c r="C2828" s="1343" t="s">
        <v>1293</v>
      </c>
      <c r="D2828" s="1338">
        <v>59.42</v>
      </c>
      <c r="E2828" s="1363">
        <f>D2828*$E$5</f>
        <v>63.163460000000001</v>
      </c>
    </row>
    <row r="2829" spans="1:5" s="1266" customFormat="1">
      <c r="A2829" s="1311"/>
      <c r="B2829" s="1332"/>
      <c r="C2829" s="1343"/>
      <c r="D2829" s="1338"/>
      <c r="E2829" s="1338"/>
    </row>
    <row r="2830" spans="1:5" s="1266" customFormat="1" ht="39">
      <c r="A2830" s="1311"/>
      <c r="B2830" s="1331" t="s">
        <v>2622</v>
      </c>
      <c r="C2830" s="1343"/>
      <c r="D2830" s="1338"/>
      <c r="E2830" s="1338"/>
    </row>
    <row r="2831" spans="1:5" s="1266" customFormat="1">
      <c r="A2831" s="1311"/>
      <c r="B2831" s="1332"/>
      <c r="C2831" s="1343"/>
      <c r="D2831" s="1338"/>
      <c r="E2831" s="1338"/>
    </row>
    <row r="2832" spans="1:5" s="1266" customFormat="1">
      <c r="A2832" s="1311"/>
      <c r="B2832" s="1332" t="s">
        <v>2623</v>
      </c>
      <c r="C2832" s="1343" t="s">
        <v>1293</v>
      </c>
      <c r="D2832" s="1338">
        <v>61.54</v>
      </c>
      <c r="E2832" s="1363">
        <f>D2832*$E$5</f>
        <v>65.417019999999994</v>
      </c>
    </row>
    <row r="2833" spans="1:5" s="1266" customFormat="1">
      <c r="A2833" s="1311"/>
      <c r="B2833" s="1332"/>
      <c r="C2833" s="1343"/>
      <c r="D2833" s="1338"/>
      <c r="E2833" s="1338"/>
    </row>
    <row r="2834" spans="1:5" s="1266" customFormat="1" ht="26.25">
      <c r="A2834" s="1311"/>
      <c r="B2834" s="1331" t="s">
        <v>2624</v>
      </c>
      <c r="C2834" s="1343"/>
      <c r="D2834" s="1338"/>
      <c r="E2834" s="1338"/>
    </row>
    <row r="2835" spans="1:5" s="1266" customFormat="1">
      <c r="A2835" s="1311"/>
      <c r="B2835" s="1332"/>
      <c r="C2835" s="1343"/>
      <c r="D2835" s="1338"/>
      <c r="E2835" s="1338"/>
    </row>
    <row r="2836" spans="1:5" s="1266" customFormat="1">
      <c r="A2836" s="1311"/>
      <c r="B2836" s="1332" t="s">
        <v>2523</v>
      </c>
      <c r="C2836" s="1343" t="s">
        <v>1293</v>
      </c>
      <c r="D2836" s="1338">
        <v>59.42</v>
      </c>
      <c r="E2836" s="1363">
        <f>D2836*$E$5</f>
        <v>63.163460000000001</v>
      </c>
    </row>
    <row r="2837" spans="1:5" s="1266" customFormat="1">
      <c r="A2837" s="1311"/>
      <c r="B2837" s="1332"/>
      <c r="C2837" s="1343"/>
      <c r="D2837" s="1338"/>
      <c r="E2837" s="1338"/>
    </row>
    <row r="2838" spans="1:5" s="1266" customFormat="1">
      <c r="A2838" s="1311"/>
      <c r="B2838" s="1312" t="s">
        <v>2625</v>
      </c>
      <c r="C2838" s="1343"/>
      <c r="D2838" s="1338"/>
      <c r="E2838" s="1338"/>
    </row>
    <row r="2839" spans="1:5" s="1266" customFormat="1">
      <c r="A2839" s="1311"/>
      <c r="B2839" s="1332"/>
      <c r="C2839" s="1343"/>
      <c r="D2839" s="1338"/>
      <c r="E2839" s="1338"/>
    </row>
    <row r="2840" spans="1:5" s="1266" customFormat="1">
      <c r="A2840" s="1311"/>
      <c r="B2840" s="1312" t="s">
        <v>2626</v>
      </c>
      <c r="C2840" s="1343"/>
      <c r="D2840" s="1338"/>
      <c r="E2840" s="1338"/>
    </row>
    <row r="2841" spans="1:5" s="1266" customFormat="1">
      <c r="A2841" s="1311"/>
      <c r="B2841" s="1332"/>
      <c r="C2841" s="1343"/>
      <c r="D2841" s="1338"/>
      <c r="E2841" s="1338"/>
    </row>
    <row r="2842" spans="1:5" s="1266" customFormat="1" ht="39">
      <c r="A2842" s="1311"/>
      <c r="B2842" s="1331" t="s">
        <v>2627</v>
      </c>
      <c r="C2842" s="1343"/>
      <c r="D2842" s="1338"/>
      <c r="E2842" s="1338"/>
    </row>
    <row r="2843" spans="1:5" s="1266" customFormat="1">
      <c r="A2843" s="1311"/>
      <c r="B2843" s="1332"/>
      <c r="C2843" s="1343"/>
      <c r="D2843" s="1338"/>
      <c r="E2843" s="1338"/>
    </row>
    <row r="2844" spans="1:5" s="1266" customFormat="1">
      <c r="A2844" s="1311"/>
      <c r="B2844" s="1332" t="s">
        <v>2621</v>
      </c>
      <c r="C2844" s="1343" t="s">
        <v>1293</v>
      </c>
      <c r="D2844" s="1338">
        <v>53.05</v>
      </c>
      <c r="E2844" s="1363">
        <f>D2844*$E$5</f>
        <v>56.392149999999994</v>
      </c>
    </row>
    <row r="2845" spans="1:5" s="1266" customFormat="1">
      <c r="A2845" s="1311"/>
      <c r="B2845" s="1332"/>
      <c r="C2845" s="1343"/>
      <c r="D2845" s="1338"/>
      <c r="E2845" s="1338"/>
    </row>
    <row r="2846" spans="1:5" s="1266" customFormat="1">
      <c r="A2846" s="1311"/>
      <c r="B2846" s="1312" t="s">
        <v>2628</v>
      </c>
      <c r="C2846" s="1343"/>
      <c r="D2846" s="1338"/>
      <c r="E2846" s="1338"/>
    </row>
    <row r="2847" spans="1:5" s="1266" customFormat="1">
      <c r="A2847" s="1311"/>
      <c r="B2847" s="1332"/>
      <c r="C2847" s="1343"/>
      <c r="D2847" s="1338"/>
      <c r="E2847" s="1338"/>
    </row>
    <row r="2848" spans="1:5" s="1266" customFormat="1" ht="39">
      <c r="A2848" s="1311"/>
      <c r="B2848" s="1331" t="s">
        <v>2627</v>
      </c>
      <c r="C2848" s="1343"/>
      <c r="D2848" s="1338"/>
      <c r="E2848" s="1338"/>
    </row>
    <row r="2849" spans="1:5" s="1266" customFormat="1">
      <c r="A2849" s="1311"/>
      <c r="B2849" s="1332"/>
      <c r="C2849" s="1343"/>
      <c r="D2849" s="1338"/>
      <c r="E2849" s="1338"/>
    </row>
    <row r="2850" spans="1:5" s="1266" customFormat="1">
      <c r="A2850" s="1311"/>
      <c r="B2850" s="1332" t="s">
        <v>2621</v>
      </c>
      <c r="C2850" s="1343" t="s">
        <v>1293</v>
      </c>
      <c r="D2850" s="1338">
        <v>59.42</v>
      </c>
      <c r="E2850" s="1363">
        <f>D2850*$E$5</f>
        <v>63.163460000000001</v>
      </c>
    </row>
    <row r="2851" spans="1:5" s="1266" customFormat="1">
      <c r="A2851" s="1311"/>
      <c r="B2851" s="1332"/>
      <c r="C2851" s="1343"/>
      <c r="D2851" s="1338"/>
      <c r="E2851" s="1338"/>
    </row>
    <row r="2852" spans="1:5" s="1266" customFormat="1">
      <c r="A2852" s="1311"/>
      <c r="B2852" s="1332" t="s">
        <v>2629</v>
      </c>
      <c r="C2852" s="1343" t="s">
        <v>1293</v>
      </c>
      <c r="D2852" s="1338">
        <v>59.42</v>
      </c>
      <c r="E2852" s="1363">
        <f>D2852*$E$5</f>
        <v>63.163460000000001</v>
      </c>
    </row>
    <row r="2853" spans="1:5" s="1266" customFormat="1">
      <c r="A2853" s="1311"/>
      <c r="B2853" s="1332"/>
      <c r="C2853" s="1343"/>
      <c r="D2853" s="1338"/>
      <c r="E2853" s="1338"/>
    </row>
    <row r="2854" spans="1:5" s="1266" customFormat="1">
      <c r="A2854" s="1311"/>
      <c r="B2854" s="1312" t="s">
        <v>2630</v>
      </c>
      <c r="C2854" s="1343"/>
      <c r="D2854" s="1338"/>
      <c r="E2854" s="1338"/>
    </row>
    <row r="2855" spans="1:5" s="1266" customFormat="1">
      <c r="A2855" s="1311"/>
      <c r="B2855" s="1332"/>
      <c r="C2855" s="1343"/>
      <c r="D2855" s="1338"/>
      <c r="E2855" s="1338"/>
    </row>
    <row r="2856" spans="1:5" s="1266" customFormat="1" ht="39">
      <c r="A2856" s="1311"/>
      <c r="B2856" s="1331" t="s">
        <v>2631</v>
      </c>
      <c r="C2856" s="1343"/>
      <c r="D2856" s="1338"/>
      <c r="E2856" s="1338"/>
    </row>
    <row r="2857" spans="1:5" s="1266" customFormat="1">
      <c r="A2857" s="1311"/>
      <c r="B2857" s="1332"/>
      <c r="C2857" s="1343"/>
      <c r="D2857" s="1338"/>
      <c r="E2857" s="1338"/>
    </row>
    <row r="2858" spans="1:5" s="1266" customFormat="1">
      <c r="A2858" s="1311"/>
      <c r="B2858" s="1332" t="s">
        <v>2623</v>
      </c>
      <c r="C2858" s="1343" t="s">
        <v>1293</v>
      </c>
      <c r="D2858" s="1338">
        <v>61.54</v>
      </c>
      <c r="E2858" s="1363">
        <f>D2858*$E$5</f>
        <v>65.417019999999994</v>
      </c>
    </row>
    <row r="2859" spans="1:5" s="1266" customFormat="1">
      <c r="A2859" s="1311"/>
      <c r="B2859" s="1332"/>
      <c r="C2859" s="1343"/>
      <c r="D2859" s="1338"/>
      <c r="E2859" s="1338"/>
    </row>
    <row r="2860" spans="1:5" s="1266" customFormat="1">
      <c r="A2860" s="1311"/>
      <c r="B2860" s="1312" t="s">
        <v>2632</v>
      </c>
      <c r="C2860" s="1343"/>
      <c r="D2860" s="1338"/>
      <c r="E2860" s="1338"/>
    </row>
    <row r="2861" spans="1:5" s="1266" customFormat="1">
      <c r="A2861" s="1311"/>
      <c r="B2861" s="1332"/>
      <c r="C2861" s="1343"/>
      <c r="D2861" s="1338"/>
      <c r="E2861" s="1338"/>
    </row>
    <row r="2862" spans="1:5" s="1266" customFormat="1" ht="51.75">
      <c r="A2862" s="1311"/>
      <c r="B2862" s="1331" t="s">
        <v>2633</v>
      </c>
      <c r="C2862" s="1343"/>
      <c r="D2862" s="1338"/>
      <c r="E2862" s="1338"/>
    </row>
    <row r="2863" spans="1:5" s="1266" customFormat="1">
      <c r="A2863" s="1311"/>
      <c r="B2863" s="1332"/>
      <c r="C2863" s="1343"/>
      <c r="D2863" s="1338"/>
      <c r="E2863" s="1338"/>
    </row>
    <row r="2864" spans="1:5" s="1266" customFormat="1">
      <c r="A2864" s="1311"/>
      <c r="B2864" s="1332" t="s">
        <v>2634</v>
      </c>
      <c r="C2864" s="1343" t="s">
        <v>1293</v>
      </c>
      <c r="D2864" s="1338">
        <v>150</v>
      </c>
      <c r="E2864" s="1363">
        <f>D2864*$E$5</f>
        <v>159.44999999999999</v>
      </c>
    </row>
    <row r="2865" spans="1:5" s="1266" customFormat="1">
      <c r="A2865" s="1311"/>
      <c r="B2865" s="1332"/>
      <c r="C2865" s="1343"/>
      <c r="D2865" s="1338"/>
      <c r="E2865" s="1338"/>
    </row>
    <row r="2866" spans="1:5" s="1266" customFormat="1">
      <c r="A2866" s="1311"/>
      <c r="B2866" s="1312" t="s">
        <v>2635</v>
      </c>
      <c r="C2866" s="1343"/>
      <c r="D2866" s="1338"/>
      <c r="E2866" s="1338"/>
    </row>
    <row r="2867" spans="1:5" s="1266" customFormat="1">
      <c r="A2867" s="1311"/>
      <c r="B2867" s="1332"/>
      <c r="C2867" s="1343"/>
      <c r="D2867" s="1338"/>
      <c r="E2867" s="1338"/>
    </row>
    <row r="2868" spans="1:5" s="1266" customFormat="1" ht="26.25">
      <c r="A2868" s="1311"/>
      <c r="B2868" s="1331" t="s">
        <v>2636</v>
      </c>
      <c r="C2868" s="1343"/>
      <c r="D2868" s="1338"/>
      <c r="E2868" s="1338"/>
    </row>
    <row r="2869" spans="1:5" s="1266" customFormat="1">
      <c r="A2869" s="1311"/>
      <c r="B2869" s="1332"/>
      <c r="C2869" s="1343"/>
      <c r="D2869" s="1338"/>
      <c r="E2869" s="1338"/>
    </row>
    <row r="2870" spans="1:5" s="1266" customFormat="1">
      <c r="A2870" s="1311"/>
      <c r="B2870" s="1332" t="s">
        <v>2637</v>
      </c>
      <c r="C2870" s="1343" t="s">
        <v>1293</v>
      </c>
      <c r="D2870" s="1338">
        <v>53.05</v>
      </c>
      <c r="E2870" s="1363">
        <f>D2870*$E$5</f>
        <v>56.392149999999994</v>
      </c>
    </row>
    <row r="2871" spans="1:5" s="1266" customFormat="1">
      <c r="A2871" s="1311"/>
      <c r="B2871" s="1332"/>
      <c r="C2871" s="1343"/>
      <c r="D2871" s="1338"/>
      <c r="E2871" s="1338"/>
    </row>
    <row r="2872" spans="1:5" s="1266" customFormat="1">
      <c r="A2872" s="1311"/>
      <c r="B2872" s="1332" t="s">
        <v>2638</v>
      </c>
      <c r="C2872" s="1343" t="s">
        <v>1293</v>
      </c>
      <c r="D2872" s="1338">
        <v>53.05</v>
      </c>
      <c r="E2872" s="1363">
        <f>D2872*$E$5</f>
        <v>56.392149999999994</v>
      </c>
    </row>
    <row r="2873" spans="1:5" s="1266" customFormat="1">
      <c r="A2873" s="1311"/>
      <c r="B2873" s="1332"/>
      <c r="C2873" s="1343"/>
      <c r="D2873" s="1338"/>
      <c r="E2873" s="1338"/>
    </row>
    <row r="2874" spans="1:5" s="1266" customFormat="1">
      <c r="A2874" s="1311"/>
      <c r="B2874" s="1312" t="s">
        <v>2639</v>
      </c>
      <c r="C2874" s="1343"/>
      <c r="D2874" s="1338"/>
      <c r="E2874" s="1338"/>
    </row>
    <row r="2875" spans="1:5" s="1266" customFormat="1">
      <c r="A2875" s="1311"/>
      <c r="B2875" s="1332"/>
      <c r="C2875" s="1343"/>
      <c r="D2875" s="1338"/>
      <c r="E2875" s="1338"/>
    </row>
    <row r="2876" spans="1:5" s="1266" customFormat="1" ht="39">
      <c r="A2876" s="1311"/>
      <c r="B2876" s="1331" t="s">
        <v>2640</v>
      </c>
      <c r="C2876" s="1343"/>
      <c r="D2876" s="1338"/>
      <c r="E2876" s="1338"/>
    </row>
    <row r="2877" spans="1:5" s="1266" customFormat="1">
      <c r="A2877" s="1311"/>
      <c r="B2877" s="1332"/>
      <c r="C2877" s="1343"/>
      <c r="D2877" s="1338"/>
      <c r="E2877" s="1338"/>
    </row>
    <row r="2878" spans="1:5" s="1266" customFormat="1">
      <c r="A2878" s="1311"/>
      <c r="B2878" s="1332" t="s">
        <v>2641</v>
      </c>
      <c r="C2878" s="1343" t="s">
        <v>1293</v>
      </c>
      <c r="D2878" s="1338">
        <v>90</v>
      </c>
      <c r="E2878" s="1363">
        <f>D2878*$E$5</f>
        <v>95.67</v>
      </c>
    </row>
    <row r="2879" spans="1:5" s="1266" customFormat="1">
      <c r="A2879" s="1311"/>
      <c r="B2879" s="1332"/>
      <c r="C2879" s="1343"/>
      <c r="D2879" s="1338"/>
      <c r="E2879" s="1338"/>
    </row>
    <row r="2880" spans="1:5" s="1266" customFormat="1">
      <c r="A2880" s="1311"/>
      <c r="B2880" s="1332" t="s">
        <v>2642</v>
      </c>
      <c r="C2880" s="1343" t="s">
        <v>1293</v>
      </c>
      <c r="D2880" s="1338">
        <v>90</v>
      </c>
      <c r="E2880" s="1363">
        <f>D2880*$E$5</f>
        <v>95.67</v>
      </c>
    </row>
    <row r="2881" spans="1:5" s="1266" customFormat="1">
      <c r="A2881" s="1311"/>
      <c r="B2881" s="1332"/>
      <c r="C2881" s="1343"/>
      <c r="D2881" s="1338"/>
      <c r="E2881" s="1338"/>
    </row>
    <row r="2882" spans="1:5" s="1266" customFormat="1">
      <c r="A2882" s="1311"/>
      <c r="B2882" s="1332" t="s">
        <v>2643</v>
      </c>
      <c r="C2882" s="1343" t="s">
        <v>215</v>
      </c>
      <c r="D2882" s="1338">
        <v>50</v>
      </c>
      <c r="E2882" s="1363">
        <f>D2882*$E$5</f>
        <v>53.15</v>
      </c>
    </row>
    <row r="2883" spans="1:5" s="1266" customFormat="1">
      <c r="A2883" s="1311"/>
      <c r="B2883" s="1332"/>
      <c r="C2883" s="1343"/>
      <c r="D2883" s="1338"/>
      <c r="E2883" s="1338"/>
    </row>
    <row r="2884" spans="1:5" s="1266" customFormat="1">
      <c r="A2884" s="1311"/>
      <c r="B2884" s="1312" t="s">
        <v>2644</v>
      </c>
      <c r="C2884" s="1343"/>
      <c r="D2884" s="1338"/>
      <c r="E2884" s="1338"/>
    </row>
    <row r="2885" spans="1:5" s="1266" customFormat="1">
      <c r="A2885" s="1311"/>
      <c r="B2885" s="1332"/>
      <c r="C2885" s="1343"/>
      <c r="D2885" s="1338"/>
      <c r="E2885" s="1338"/>
    </row>
    <row r="2886" spans="1:5" s="1266" customFormat="1" ht="39">
      <c r="A2886" s="1311"/>
      <c r="B2886" s="1331" t="s">
        <v>2645</v>
      </c>
      <c r="C2886" s="1343"/>
      <c r="D2886" s="1338"/>
      <c r="E2886" s="1338"/>
    </row>
    <row r="2887" spans="1:5" s="1266" customFormat="1">
      <c r="A2887" s="1311"/>
      <c r="B2887" s="1332"/>
      <c r="C2887" s="1343"/>
      <c r="D2887" s="1338"/>
      <c r="E2887" s="1338"/>
    </row>
    <row r="2888" spans="1:5" s="1266" customFormat="1">
      <c r="A2888" s="1311"/>
      <c r="B2888" s="1332" t="s">
        <v>2642</v>
      </c>
      <c r="C2888" s="1343" t="s">
        <v>1293</v>
      </c>
      <c r="D2888" s="1338">
        <v>90</v>
      </c>
      <c r="E2888" s="1363">
        <f>D2888*$E$5</f>
        <v>95.67</v>
      </c>
    </row>
    <row r="2889" spans="1:5" s="1266" customFormat="1">
      <c r="A2889" s="1311"/>
      <c r="B2889" s="1332"/>
      <c r="C2889" s="1343"/>
      <c r="D2889" s="1338"/>
      <c r="E2889" s="1338"/>
    </row>
    <row r="2890" spans="1:5" s="1266" customFormat="1">
      <c r="A2890" s="1311"/>
      <c r="B2890" s="1332" t="s">
        <v>2646</v>
      </c>
      <c r="C2890" s="1343" t="s">
        <v>1293</v>
      </c>
      <c r="D2890" s="1338">
        <v>90</v>
      </c>
      <c r="E2890" s="1363">
        <f>D2890*$E$5</f>
        <v>95.67</v>
      </c>
    </row>
    <row r="2891" spans="1:5" s="1266" customFormat="1">
      <c r="A2891" s="1311"/>
      <c r="B2891" s="1332"/>
      <c r="C2891" s="1343"/>
      <c r="D2891" s="1338"/>
      <c r="E2891" s="1338"/>
    </row>
    <row r="2892" spans="1:5" s="1266" customFormat="1">
      <c r="A2892" s="1311"/>
      <c r="B2892" s="1332" t="s">
        <v>2647</v>
      </c>
      <c r="C2892" s="1343" t="s">
        <v>1293</v>
      </c>
      <c r="D2892" s="1338">
        <v>90</v>
      </c>
      <c r="E2892" s="1363">
        <f>D2892*$E$5</f>
        <v>95.67</v>
      </c>
    </row>
    <row r="2893" spans="1:5" s="1266" customFormat="1">
      <c r="A2893" s="1311"/>
      <c r="B2893" s="1332"/>
      <c r="C2893" s="1343"/>
      <c r="D2893" s="1338"/>
      <c r="E2893" s="1338"/>
    </row>
    <row r="2894" spans="1:5" s="1266" customFormat="1">
      <c r="A2894" s="1311"/>
      <c r="B2894" s="1332" t="s">
        <v>2648</v>
      </c>
      <c r="C2894" s="1343" t="s">
        <v>215</v>
      </c>
      <c r="D2894" s="1338">
        <v>90</v>
      </c>
      <c r="E2894" s="1363">
        <f>D2894*$E$5</f>
        <v>95.67</v>
      </c>
    </row>
    <row r="2895" spans="1:5" s="1266" customFormat="1">
      <c r="A2895" s="1311"/>
      <c r="B2895" s="1332"/>
      <c r="C2895" s="1343"/>
      <c r="D2895" s="1338"/>
      <c r="E2895" s="1338"/>
    </row>
    <row r="2896" spans="1:5" s="1266" customFormat="1" ht="30">
      <c r="A2896" s="1311"/>
      <c r="B2896" s="1332" t="s">
        <v>2649</v>
      </c>
      <c r="C2896" s="1343" t="s">
        <v>1293</v>
      </c>
      <c r="D2896" s="1338">
        <v>95</v>
      </c>
      <c r="E2896" s="1363">
        <f>D2896*$E$5</f>
        <v>100.985</v>
      </c>
    </row>
    <row r="2897" spans="1:5">
      <c r="A2897" s="1313"/>
      <c r="B2897" s="1314"/>
      <c r="C2897" s="1344"/>
      <c r="D2897" s="1339"/>
      <c r="E2897" s="1339"/>
    </row>
  </sheetData>
  <sheetProtection algorithmName="SHA-512" hashValue="/b4At0W9pOXO41N9x7JD4kY7g8I6+CD+BvnTt5+rWDBXJU7q04ucNZLv6RotmCyca++tdPURgZa8nj0owiSnZA==" saltValue="MCVjQw6kUOTYk8V7VLx2Xg==" spinCount="100000" sheet="1" objects="1" scenarios="1"/>
  <autoFilter ref="A6:E2896" xr:uid="{8775E6FB-9D16-4573-9D92-D727A0927F99}"/>
  <mergeCells count="2">
    <mergeCell ref="C2:D2"/>
    <mergeCell ref="B3:B4"/>
  </mergeCells>
  <printOptions horizontalCentered="1" verticalCentered="1"/>
  <pageMargins left="0.70866141732283472" right="0.70866141732283472" top="0.74803149606299213" bottom="0.74803149606299213" header="0.31496062992125984" footer="0.31496062992125984"/>
  <pageSetup scale="10" orientation="portrait" r:id="rId1"/>
  <headerFooter>
    <oddHeader>&amp;C&amp;"Calibri"&amp;10&amp;K000000Confidential&amp;1#</oddHeader>
    <oddFooter>&amp;R&amp;1#&amp;"Calibri"&amp;10&amp;K000000Confidential</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C0C61-9AED-4228-9E77-166C2E1D31D2}">
  <sheetPr>
    <tabColor rgb="FFFFFF00"/>
  </sheetPr>
  <dimension ref="A1:E2164"/>
  <sheetViews>
    <sheetView zoomScaleNormal="100" zoomScaleSheetLayoutView="100" workbookViewId="0">
      <pane ySplit="6" topLeftCell="A7" activePane="bottomLeft" state="frozen"/>
      <selection activeCell="K29" sqref="K29"/>
      <selection pane="bottomLeft" activeCell="B17" sqref="B17"/>
    </sheetView>
  </sheetViews>
  <sheetFormatPr defaultColWidth="9.140625" defaultRowHeight="15"/>
  <cols>
    <col min="1" max="1" width="4.28515625" style="1253" customWidth="1"/>
    <col min="2" max="2" width="57.28515625" style="1254" customWidth="1"/>
    <col min="3" max="3" width="12.42578125" style="1254" bestFit="1" customWidth="1"/>
    <col min="4" max="4" width="12.85546875" style="1254" hidden="1" customWidth="1"/>
    <col min="5" max="5" width="14.28515625" style="1254" bestFit="1" customWidth="1"/>
    <col min="6" max="6" width="10.28515625" style="1252" bestFit="1" customWidth="1"/>
    <col min="7" max="7" width="13.42578125" style="1252" bestFit="1" customWidth="1"/>
    <col min="8" max="8" width="9.140625" style="1252"/>
    <col min="9" max="9" width="16.28515625" style="1252" bestFit="1" customWidth="1"/>
    <col min="10" max="10" width="10.42578125" style="1252" bestFit="1" customWidth="1"/>
    <col min="11" max="16384" width="9.140625" style="1252"/>
  </cols>
  <sheetData>
    <row r="1" spans="1:5" hidden="1"/>
    <row r="2" spans="1:5" hidden="1">
      <c r="B2" s="1255"/>
      <c r="C2" s="1631" t="s">
        <v>185</v>
      </c>
      <c r="D2" s="1631"/>
      <c r="E2" s="1631"/>
    </row>
    <row r="3" spans="1:5" hidden="1">
      <c r="B3" s="1632" t="str">
        <f>'New Bldg Rates'!M4</f>
        <v>Reference 2021 Q4 Table 2 - BER Building Cost Index</v>
      </c>
      <c r="C3" s="1257" t="s">
        <v>186</v>
      </c>
      <c r="D3" s="1258">
        <v>43525</v>
      </c>
      <c r="E3" s="1259">
        <v>115.3</v>
      </c>
    </row>
    <row r="4" spans="1:5" hidden="1">
      <c r="B4" s="1632"/>
      <c r="C4" s="1257" t="s">
        <v>187</v>
      </c>
      <c r="D4" s="1258">
        <v>43891</v>
      </c>
      <c r="E4" s="1259">
        <v>117.4</v>
      </c>
    </row>
    <row r="6" spans="1:5">
      <c r="A6" s="1261"/>
      <c r="B6" s="1262" t="s">
        <v>1666</v>
      </c>
      <c r="C6" s="1262" t="s">
        <v>195</v>
      </c>
      <c r="D6" s="1263" t="s">
        <v>1669</v>
      </c>
      <c r="E6" s="1263" t="s">
        <v>1667</v>
      </c>
    </row>
    <row r="7" spans="1:5">
      <c r="A7" s="1305"/>
      <c r="B7" s="1307"/>
      <c r="C7" s="201"/>
      <c r="E7" s="1310"/>
    </row>
    <row r="8" spans="1:5">
      <c r="A8" s="1305"/>
      <c r="B8" s="1306" t="s">
        <v>2654</v>
      </c>
      <c r="C8" s="201"/>
      <c r="E8" s="1310"/>
    </row>
    <row r="9" spans="1:5">
      <c r="A9" s="1305"/>
      <c r="B9" s="1307"/>
      <c r="C9" s="201"/>
      <c r="E9" s="1310"/>
    </row>
    <row r="10" spans="1:5" ht="45">
      <c r="A10" s="1305"/>
      <c r="B10" s="1307" t="s">
        <v>2655</v>
      </c>
      <c r="C10" s="201"/>
      <c r="E10" s="1310"/>
    </row>
    <row r="11" spans="1:5">
      <c r="A11" s="1305"/>
      <c r="B11" s="1307"/>
      <c r="C11" s="201"/>
      <c r="E11" s="1310"/>
    </row>
    <row r="12" spans="1:5">
      <c r="A12" s="1305"/>
      <c r="B12" s="1306" t="s">
        <v>1748</v>
      </c>
      <c r="C12" s="201"/>
      <c r="E12" s="1310"/>
    </row>
    <row r="13" spans="1:5">
      <c r="A13" s="1305"/>
      <c r="B13" s="1307"/>
      <c r="C13" s="201"/>
      <c r="E13" s="1310"/>
    </row>
    <row r="14" spans="1:5">
      <c r="A14" s="1305"/>
      <c r="B14" s="1308" t="s">
        <v>2288</v>
      </c>
      <c r="C14" s="201"/>
      <c r="E14" s="1310"/>
    </row>
    <row r="15" spans="1:5">
      <c r="A15" s="1305"/>
      <c r="B15" s="1307"/>
      <c r="C15" s="201"/>
      <c r="E15" s="1310"/>
    </row>
    <row r="16" spans="1:5" ht="45">
      <c r="A16" s="1305"/>
      <c r="B16" s="1307" t="s">
        <v>2552</v>
      </c>
      <c r="C16" s="201"/>
      <c r="E16" s="1310"/>
    </row>
    <row r="17" spans="1:5">
      <c r="A17" s="1305"/>
      <c r="B17" s="1307"/>
      <c r="C17" s="201"/>
      <c r="E17" s="1310"/>
    </row>
    <row r="18" spans="1:5" ht="45">
      <c r="A18" s="1305"/>
      <c r="B18" s="1307" t="s">
        <v>2656</v>
      </c>
      <c r="C18" s="201"/>
      <c r="E18" s="1310"/>
    </row>
    <row r="19" spans="1:5">
      <c r="A19" s="1305"/>
      <c r="B19" s="1307"/>
      <c r="C19" s="201"/>
      <c r="E19" s="1310"/>
    </row>
    <row r="20" spans="1:5">
      <c r="A20" s="1305"/>
      <c r="B20" s="1306" t="s">
        <v>2657</v>
      </c>
      <c r="C20" s="201"/>
      <c r="E20" s="1310"/>
    </row>
    <row r="21" spans="1:5">
      <c r="A21" s="1305"/>
      <c r="B21" s="1307"/>
      <c r="C21" s="201"/>
      <c r="E21" s="1310"/>
    </row>
    <row r="22" spans="1:5">
      <c r="A22" s="1305"/>
      <c r="B22" s="1306" t="s">
        <v>2658</v>
      </c>
      <c r="C22" s="201"/>
      <c r="E22" s="1310"/>
    </row>
    <row r="23" spans="1:5">
      <c r="A23" s="1305"/>
      <c r="B23" s="1307"/>
      <c r="C23" s="201"/>
      <c r="E23" s="1310"/>
    </row>
    <row r="24" spans="1:5">
      <c r="A24" s="1305" t="s">
        <v>1686</v>
      </c>
      <c r="B24" s="1307" t="s">
        <v>1289</v>
      </c>
      <c r="C24" s="201" t="s">
        <v>2659</v>
      </c>
      <c r="E24" s="1310">
        <v>53333255</v>
      </c>
    </row>
    <row r="25" spans="1:5">
      <c r="A25" s="1305"/>
      <c r="B25" s="1307"/>
      <c r="C25" s="201"/>
      <c r="E25" s="1310"/>
    </row>
    <row r="26" spans="1:5">
      <c r="A26" s="1305"/>
      <c r="B26" s="1308" t="s">
        <v>2660</v>
      </c>
      <c r="C26" s="201"/>
      <c r="E26" s="1310"/>
    </row>
    <row r="27" spans="1:5">
      <c r="A27" s="1305"/>
      <c r="B27" s="1307"/>
      <c r="C27" s="201"/>
      <c r="E27" s="1310"/>
    </row>
    <row r="28" spans="1:5">
      <c r="A28" s="1305"/>
      <c r="B28" s="1307" t="s">
        <v>2661</v>
      </c>
      <c r="C28" s="201"/>
      <c r="E28" s="1310"/>
    </row>
    <row r="29" spans="1:5">
      <c r="A29" s="1305"/>
      <c r="B29" s="1307"/>
      <c r="C29" s="201"/>
      <c r="E29" s="1310"/>
    </row>
    <row r="30" spans="1:5">
      <c r="A30" s="1305" t="s">
        <v>1688</v>
      </c>
      <c r="B30" s="1307" t="s">
        <v>2662</v>
      </c>
      <c r="C30" s="201" t="s">
        <v>2659</v>
      </c>
      <c r="E30" s="1310"/>
    </row>
    <row r="31" spans="1:5">
      <c r="A31" s="1305"/>
      <c r="B31" s="1307"/>
      <c r="C31" s="201"/>
      <c r="E31" s="1310"/>
    </row>
    <row r="32" spans="1:5">
      <c r="A32" s="1305"/>
      <c r="B32" s="1307" t="s">
        <v>2663</v>
      </c>
      <c r="C32" s="201"/>
      <c r="E32" s="1310"/>
    </row>
    <row r="33" spans="1:5">
      <c r="A33" s="1305"/>
      <c r="B33" s="1307"/>
      <c r="C33" s="201"/>
      <c r="E33" s="1310"/>
    </row>
    <row r="34" spans="1:5">
      <c r="A34" s="1305" t="s">
        <v>1691</v>
      </c>
      <c r="B34" s="1307" t="s">
        <v>2664</v>
      </c>
      <c r="C34" s="201" t="s">
        <v>2659</v>
      </c>
      <c r="E34" s="1310"/>
    </row>
    <row r="35" spans="1:5">
      <c r="A35" s="1305"/>
      <c r="B35" s="1307"/>
      <c r="C35" s="201"/>
      <c r="E35" s="1310"/>
    </row>
    <row r="36" spans="1:5">
      <c r="A36" s="1305" t="s">
        <v>1693</v>
      </c>
      <c r="B36" s="1307" t="s">
        <v>2665</v>
      </c>
      <c r="C36" s="201" t="s">
        <v>2659</v>
      </c>
      <c r="E36" s="1310"/>
    </row>
    <row r="37" spans="1:5">
      <c r="A37" s="1305"/>
      <c r="B37" s="1307"/>
      <c r="C37" s="201"/>
      <c r="E37" s="1310"/>
    </row>
    <row r="38" spans="1:5">
      <c r="A38" s="1305" t="s">
        <v>1695</v>
      </c>
      <c r="B38" s="1307" t="s">
        <v>2666</v>
      </c>
      <c r="C38" s="201" t="s">
        <v>2659</v>
      </c>
      <c r="E38" s="1310"/>
    </row>
    <row r="39" spans="1:5">
      <c r="A39" s="1305"/>
      <c r="B39" s="1307"/>
      <c r="C39" s="201"/>
      <c r="E39" s="1310"/>
    </row>
    <row r="40" spans="1:5">
      <c r="A40" s="1305" t="s">
        <v>1697</v>
      </c>
      <c r="B40" s="1307" t="s">
        <v>2667</v>
      </c>
      <c r="C40" s="201" t="s">
        <v>2659</v>
      </c>
      <c r="E40" s="1310"/>
    </row>
    <row r="41" spans="1:5">
      <c r="A41" s="1305"/>
      <c r="B41" s="1307"/>
      <c r="C41" s="201"/>
      <c r="E41" s="1310"/>
    </row>
    <row r="42" spans="1:5">
      <c r="A42" s="1305" t="s">
        <v>1699</v>
      </c>
      <c r="B42" s="1307" t="s">
        <v>2668</v>
      </c>
      <c r="C42" s="201" t="s">
        <v>2659</v>
      </c>
      <c r="E42" s="1310"/>
    </row>
    <row r="43" spans="1:5">
      <c r="A43" s="1305"/>
      <c r="B43" s="1307"/>
      <c r="C43" s="201"/>
      <c r="E43" s="1310"/>
    </row>
    <row r="44" spans="1:5">
      <c r="A44" s="1305" t="s">
        <v>1701</v>
      </c>
      <c r="B44" s="1307" t="s">
        <v>2669</v>
      </c>
      <c r="C44" s="201" t="s">
        <v>2659</v>
      </c>
      <c r="E44" s="1310"/>
    </row>
    <row r="45" spans="1:5">
      <c r="A45" s="1305"/>
      <c r="B45" s="1307"/>
      <c r="C45" s="201"/>
      <c r="E45" s="1310"/>
    </row>
    <row r="46" spans="1:5">
      <c r="A46" s="1305" t="s">
        <v>1703</v>
      </c>
      <c r="B46" s="1307" t="s">
        <v>2670</v>
      </c>
      <c r="C46" s="201" t="s">
        <v>2659</v>
      </c>
      <c r="E46" s="1310"/>
    </row>
    <row r="47" spans="1:5">
      <c r="A47" s="1305"/>
      <c r="B47" s="1307"/>
      <c r="C47" s="201"/>
      <c r="E47" s="1310"/>
    </row>
    <row r="48" spans="1:5">
      <c r="A48" s="1305" t="s">
        <v>1706</v>
      </c>
      <c r="B48" s="1307" t="s">
        <v>2671</v>
      </c>
      <c r="C48" s="201" t="s">
        <v>2659</v>
      </c>
      <c r="E48" s="1310"/>
    </row>
    <row r="49" spans="1:5">
      <c r="A49" s="1305"/>
      <c r="B49" s="1307"/>
      <c r="C49" s="201"/>
      <c r="E49" s="1310"/>
    </row>
    <row r="50" spans="1:5" ht="30">
      <c r="A50" s="1305" t="s">
        <v>1708</v>
      </c>
      <c r="B50" s="1307" t="s">
        <v>2672</v>
      </c>
      <c r="C50" s="201" t="s">
        <v>2659</v>
      </c>
      <c r="E50" s="1310"/>
    </row>
    <row r="51" spans="1:5">
      <c r="A51" s="1305"/>
      <c r="B51" s="1307"/>
      <c r="C51" s="201"/>
      <c r="E51" s="1310"/>
    </row>
    <row r="52" spans="1:5" ht="30">
      <c r="A52" s="1305" t="s">
        <v>1710</v>
      </c>
      <c r="B52" s="1307" t="s">
        <v>2673</v>
      </c>
      <c r="C52" s="201" t="s">
        <v>2659</v>
      </c>
      <c r="E52" s="1310"/>
    </row>
    <row r="53" spans="1:5">
      <c r="A53" s="1305"/>
      <c r="B53" s="1307"/>
      <c r="C53" s="201"/>
      <c r="E53" s="1310"/>
    </row>
    <row r="54" spans="1:5" ht="30">
      <c r="A54" s="1305" t="s">
        <v>1686</v>
      </c>
      <c r="B54" s="1307" t="s">
        <v>2674</v>
      </c>
      <c r="C54" s="201" t="s">
        <v>2659</v>
      </c>
      <c r="E54" s="1310"/>
    </row>
    <row r="55" spans="1:5">
      <c r="A55" s="1305"/>
      <c r="B55" s="1307"/>
      <c r="C55" s="201"/>
      <c r="E55" s="1310"/>
    </row>
    <row r="56" spans="1:5" ht="30">
      <c r="A56" s="1305" t="s">
        <v>1688</v>
      </c>
      <c r="B56" s="1307" t="s">
        <v>2675</v>
      </c>
      <c r="C56" s="201" t="s">
        <v>2659</v>
      </c>
      <c r="E56" s="1310"/>
    </row>
    <row r="57" spans="1:5">
      <c r="A57" s="1305"/>
      <c r="B57" s="1307"/>
      <c r="C57" s="201"/>
      <c r="E57" s="1310"/>
    </row>
    <row r="58" spans="1:5">
      <c r="A58" s="1305"/>
      <c r="B58" s="1306" t="s">
        <v>2676</v>
      </c>
      <c r="C58" s="201"/>
      <c r="E58" s="1310"/>
    </row>
    <row r="59" spans="1:5">
      <c r="A59" s="1305"/>
      <c r="B59" s="1307"/>
      <c r="C59" s="201"/>
      <c r="E59" s="1310"/>
    </row>
    <row r="60" spans="1:5">
      <c r="A60" s="1305" t="s">
        <v>1691</v>
      </c>
      <c r="B60" s="1307" t="s">
        <v>1289</v>
      </c>
      <c r="C60" s="201" t="s">
        <v>2659</v>
      </c>
      <c r="E60" s="1310"/>
    </row>
    <row r="61" spans="1:5">
      <c r="A61" s="1305"/>
      <c r="B61" s="1307"/>
      <c r="C61" s="201"/>
      <c r="E61" s="1310"/>
    </row>
    <row r="62" spans="1:5">
      <c r="A62" s="1305"/>
      <c r="B62" s="1308" t="s">
        <v>2677</v>
      </c>
      <c r="C62" s="201"/>
      <c r="E62" s="1310"/>
    </row>
    <row r="63" spans="1:5">
      <c r="A63" s="1305"/>
      <c r="B63" s="1307"/>
      <c r="C63" s="201"/>
      <c r="E63" s="1310"/>
    </row>
    <row r="64" spans="1:5" ht="26.25">
      <c r="A64" s="1305"/>
      <c r="B64" s="1309" t="s">
        <v>2678</v>
      </c>
      <c r="C64" s="201"/>
      <c r="E64" s="1310"/>
    </row>
    <row r="65" spans="1:5">
      <c r="A65" s="1305"/>
      <c r="B65" s="1307"/>
      <c r="C65" s="201"/>
      <c r="E65" s="1310"/>
    </row>
    <row r="66" spans="1:5">
      <c r="A66" s="1305" t="s">
        <v>1693</v>
      </c>
      <c r="B66" s="1307" t="s">
        <v>2662</v>
      </c>
      <c r="C66" s="201" t="s">
        <v>2659</v>
      </c>
      <c r="E66" s="1310"/>
    </row>
    <row r="67" spans="1:5">
      <c r="A67" s="1305"/>
      <c r="B67" s="1307"/>
      <c r="C67" s="201"/>
      <c r="E67" s="1310"/>
    </row>
    <row r="68" spans="1:5">
      <c r="A68" s="1305" t="s">
        <v>1695</v>
      </c>
      <c r="B68" s="1307" t="s">
        <v>2679</v>
      </c>
      <c r="C68" s="201" t="s">
        <v>2659</v>
      </c>
      <c r="E68" s="1310"/>
    </row>
    <row r="69" spans="1:5">
      <c r="A69" s="1305"/>
      <c r="B69" s="1307"/>
      <c r="C69" s="201"/>
      <c r="E69" s="1310"/>
    </row>
    <row r="70" spans="1:5" ht="26.25">
      <c r="A70" s="1305"/>
      <c r="B70" s="1309" t="s">
        <v>2680</v>
      </c>
      <c r="C70" s="201"/>
      <c r="E70" s="1310"/>
    </row>
    <row r="71" spans="1:5">
      <c r="A71" s="1305"/>
      <c r="B71" s="1307"/>
      <c r="C71" s="201"/>
      <c r="E71" s="1310"/>
    </row>
    <row r="72" spans="1:5">
      <c r="A72" s="1305" t="s">
        <v>1697</v>
      </c>
      <c r="B72" s="1307" t="s">
        <v>2681</v>
      </c>
      <c r="C72" s="201" t="s">
        <v>2659</v>
      </c>
      <c r="E72" s="1310"/>
    </row>
    <row r="73" spans="1:5">
      <c r="A73" s="1305"/>
      <c r="B73" s="1307"/>
      <c r="C73" s="201"/>
      <c r="E73" s="1310"/>
    </row>
    <row r="74" spans="1:5">
      <c r="A74" s="1305" t="s">
        <v>1699</v>
      </c>
      <c r="B74" s="1307" t="s">
        <v>2665</v>
      </c>
      <c r="C74" s="201" t="s">
        <v>2659</v>
      </c>
      <c r="E74" s="1310"/>
    </row>
    <row r="75" spans="1:5">
      <c r="A75" s="1305"/>
      <c r="B75" s="1307"/>
      <c r="C75" s="201"/>
      <c r="E75" s="1310"/>
    </row>
    <row r="76" spans="1:5">
      <c r="A76" s="1305" t="s">
        <v>1701</v>
      </c>
      <c r="B76" s="1307" t="s">
        <v>2666</v>
      </c>
      <c r="C76" s="201" t="s">
        <v>2659</v>
      </c>
      <c r="E76" s="1310"/>
    </row>
    <row r="77" spans="1:5">
      <c r="A77" s="1305"/>
      <c r="B77" s="1307"/>
      <c r="C77" s="201"/>
      <c r="E77" s="1310"/>
    </row>
    <row r="78" spans="1:5">
      <c r="A78" s="1305" t="s">
        <v>1703</v>
      </c>
      <c r="B78" s="1307" t="s">
        <v>2667</v>
      </c>
      <c r="C78" s="201" t="s">
        <v>2659</v>
      </c>
      <c r="E78" s="1310"/>
    </row>
    <row r="79" spans="1:5">
      <c r="A79" s="1305"/>
      <c r="B79" s="1307"/>
      <c r="C79" s="201"/>
      <c r="E79" s="1310"/>
    </row>
    <row r="80" spans="1:5">
      <c r="A80" s="1305" t="s">
        <v>1706</v>
      </c>
      <c r="B80" s="1307" t="s">
        <v>2668</v>
      </c>
      <c r="C80" s="201" t="s">
        <v>2659</v>
      </c>
      <c r="E80" s="1310"/>
    </row>
    <row r="81" spans="1:5">
      <c r="A81" s="1305"/>
      <c r="B81" s="1307"/>
      <c r="C81" s="201"/>
      <c r="E81" s="1310"/>
    </row>
    <row r="82" spans="1:5">
      <c r="A82" s="1305" t="s">
        <v>1708</v>
      </c>
      <c r="B82" s="1307" t="s">
        <v>2669</v>
      </c>
      <c r="C82" s="201" t="s">
        <v>2659</v>
      </c>
      <c r="E82" s="1310"/>
    </row>
    <row r="83" spans="1:5">
      <c r="A83" s="1305"/>
      <c r="B83" s="1307"/>
      <c r="C83" s="201"/>
      <c r="E83" s="1310"/>
    </row>
    <row r="84" spans="1:5">
      <c r="A84" s="1305" t="s">
        <v>1710</v>
      </c>
      <c r="B84" s="1307" t="s">
        <v>2682</v>
      </c>
      <c r="C84" s="201" t="s">
        <v>2659</v>
      </c>
      <c r="E84" s="1310"/>
    </row>
    <row r="85" spans="1:5">
      <c r="A85" s="1305"/>
      <c r="B85" s="1307"/>
      <c r="C85" s="201"/>
      <c r="E85" s="1310"/>
    </row>
    <row r="86" spans="1:5">
      <c r="A86" s="1305" t="s">
        <v>1712</v>
      </c>
      <c r="B86" s="1307" t="s">
        <v>2683</v>
      </c>
      <c r="C86" s="201" t="s">
        <v>2659</v>
      </c>
      <c r="E86" s="1310"/>
    </row>
    <row r="87" spans="1:5">
      <c r="A87" s="1305"/>
      <c r="B87" s="1307"/>
      <c r="C87" s="201"/>
      <c r="E87" s="1310"/>
    </row>
    <row r="88" spans="1:5">
      <c r="A88" s="1305" t="s">
        <v>1686</v>
      </c>
      <c r="B88" s="1307" t="s">
        <v>2684</v>
      </c>
      <c r="C88" s="201" t="s">
        <v>2659</v>
      </c>
      <c r="E88" s="1310"/>
    </row>
    <row r="89" spans="1:5">
      <c r="A89" s="1305"/>
      <c r="B89" s="1307"/>
      <c r="C89" s="201"/>
      <c r="E89" s="1310"/>
    </row>
    <row r="90" spans="1:5">
      <c r="A90" s="1305" t="s">
        <v>1688</v>
      </c>
      <c r="B90" s="1307" t="s">
        <v>2685</v>
      </c>
      <c r="C90" s="201" t="s">
        <v>2659</v>
      </c>
      <c r="E90" s="1310"/>
    </row>
    <row r="91" spans="1:5">
      <c r="A91" s="1305"/>
      <c r="B91" s="1307"/>
      <c r="C91" s="201"/>
      <c r="E91" s="1310"/>
    </row>
    <row r="92" spans="1:5" ht="30">
      <c r="A92" s="1305" t="s">
        <v>1691</v>
      </c>
      <c r="B92" s="1307" t="s">
        <v>2673</v>
      </c>
      <c r="C92" s="201" t="s">
        <v>2659</v>
      </c>
      <c r="E92" s="1310"/>
    </row>
    <row r="93" spans="1:5">
      <c r="A93" s="1305"/>
      <c r="B93" s="1307"/>
      <c r="C93" s="201"/>
      <c r="E93" s="1310"/>
    </row>
    <row r="94" spans="1:5" ht="30">
      <c r="A94" s="1305" t="s">
        <v>1693</v>
      </c>
      <c r="B94" s="1307" t="s">
        <v>2674</v>
      </c>
      <c r="C94" s="201" t="s">
        <v>2659</v>
      </c>
      <c r="E94" s="1310"/>
    </row>
    <row r="95" spans="1:5">
      <c r="A95" s="1305"/>
      <c r="B95" s="1307"/>
      <c r="C95" s="201"/>
      <c r="E95" s="1310"/>
    </row>
    <row r="96" spans="1:5" ht="30">
      <c r="A96" s="1305" t="s">
        <v>1695</v>
      </c>
      <c r="B96" s="1307" t="s">
        <v>2675</v>
      </c>
      <c r="C96" s="201" t="s">
        <v>2659</v>
      </c>
      <c r="E96" s="1310"/>
    </row>
    <row r="97" spans="1:5">
      <c r="A97" s="1305"/>
      <c r="B97" s="1307"/>
      <c r="C97" s="201"/>
      <c r="E97" s="1310"/>
    </row>
    <row r="98" spans="1:5">
      <c r="A98" s="1305"/>
      <c r="B98" s="1306" t="s">
        <v>2686</v>
      </c>
      <c r="C98" s="201"/>
      <c r="E98" s="1310"/>
    </row>
    <row r="99" spans="1:5">
      <c r="A99" s="1305"/>
      <c r="B99" s="1307"/>
      <c r="C99" s="201"/>
      <c r="E99" s="1310"/>
    </row>
    <row r="100" spans="1:5" ht="150">
      <c r="A100" s="1305" t="s">
        <v>1697</v>
      </c>
      <c r="B100" s="1307" t="s">
        <v>2687</v>
      </c>
      <c r="C100" s="201" t="s">
        <v>2688</v>
      </c>
      <c r="E100" s="1310"/>
    </row>
    <row r="101" spans="1:5">
      <c r="A101" s="1305"/>
      <c r="B101" s="1307"/>
      <c r="C101" s="201"/>
      <c r="E101" s="1310"/>
    </row>
    <row r="102" spans="1:5" ht="135">
      <c r="A102" s="1305" t="s">
        <v>1686</v>
      </c>
      <c r="B102" s="1307" t="s">
        <v>2689</v>
      </c>
      <c r="C102" s="201" t="s">
        <v>2688</v>
      </c>
      <c r="E102" s="1310"/>
    </row>
    <row r="103" spans="1:5">
      <c r="A103" s="1305"/>
      <c r="B103" s="1307"/>
      <c r="C103" s="201"/>
      <c r="E103" s="1310"/>
    </row>
    <row r="104" spans="1:5" ht="135">
      <c r="A104" s="1305" t="s">
        <v>1688</v>
      </c>
      <c r="B104" s="1307" t="s">
        <v>2690</v>
      </c>
      <c r="C104" s="201" t="s">
        <v>2688</v>
      </c>
      <c r="E104" s="1310"/>
    </row>
    <row r="105" spans="1:5">
      <c r="A105" s="1305"/>
      <c r="B105" s="1307"/>
      <c r="C105" s="201"/>
      <c r="E105" s="1310"/>
    </row>
    <row r="106" spans="1:5" ht="135">
      <c r="A106" s="1305"/>
      <c r="B106" s="1307" t="s">
        <v>2691</v>
      </c>
      <c r="C106" s="201"/>
      <c r="E106" s="1310"/>
    </row>
    <row r="107" spans="1:5">
      <c r="A107" s="1305"/>
      <c r="B107" s="1307"/>
      <c r="C107" s="201"/>
      <c r="E107" s="1310"/>
    </row>
    <row r="108" spans="1:5">
      <c r="A108" s="1305"/>
      <c r="B108" s="1307" t="s">
        <v>2692</v>
      </c>
      <c r="C108" s="201"/>
      <c r="E108" s="1310"/>
    </row>
    <row r="109" spans="1:5">
      <c r="A109" s="1305"/>
      <c r="B109" s="1307"/>
      <c r="C109" s="201"/>
      <c r="E109" s="1310"/>
    </row>
    <row r="110" spans="1:5" ht="30">
      <c r="A110" s="1305" t="s">
        <v>1686</v>
      </c>
      <c r="B110" s="1307" t="s">
        <v>2693</v>
      </c>
      <c r="C110" s="201" t="s">
        <v>2659</v>
      </c>
      <c r="E110" s="1310"/>
    </row>
    <row r="111" spans="1:5">
      <c r="A111" s="1305"/>
      <c r="B111" s="1307"/>
      <c r="C111" s="201"/>
      <c r="E111" s="1310"/>
    </row>
    <row r="112" spans="1:5" ht="26.25">
      <c r="A112" s="1305"/>
      <c r="B112" s="1306" t="s">
        <v>2694</v>
      </c>
      <c r="C112" s="201"/>
      <c r="E112" s="1310"/>
    </row>
    <row r="113" spans="1:5">
      <c r="A113" s="1305"/>
      <c r="B113" s="1307"/>
      <c r="C113" s="201"/>
      <c r="E113" s="1310"/>
    </row>
    <row r="114" spans="1:5">
      <c r="A114" s="1305" t="s">
        <v>1688</v>
      </c>
      <c r="B114" s="1307" t="s">
        <v>2695</v>
      </c>
      <c r="C114" s="201" t="s">
        <v>608</v>
      </c>
      <c r="E114" s="1310" t="s">
        <v>190</v>
      </c>
    </row>
    <row r="115" spans="1:5">
      <c r="A115" s="1305"/>
      <c r="B115" s="1307"/>
      <c r="C115" s="201"/>
      <c r="E115" s="1310"/>
    </row>
    <row r="116" spans="1:5">
      <c r="A116" s="1305" t="s">
        <v>1691</v>
      </c>
      <c r="B116" s="1307" t="s">
        <v>2696</v>
      </c>
      <c r="C116" s="201" t="s">
        <v>2652</v>
      </c>
      <c r="E116" s="1310">
        <v>0</v>
      </c>
    </row>
    <row r="117" spans="1:5">
      <c r="A117" s="1305"/>
      <c r="B117" s="1307"/>
      <c r="C117" s="201"/>
      <c r="E117" s="1310"/>
    </row>
    <row r="118" spans="1:5">
      <c r="A118" s="1305"/>
      <c r="B118" s="1308" t="s">
        <v>2697</v>
      </c>
      <c r="C118" s="201"/>
      <c r="E118" s="1310"/>
    </row>
    <row r="119" spans="1:5">
      <c r="A119" s="1305"/>
      <c r="B119" s="1307"/>
      <c r="C119" s="201"/>
      <c r="E119" s="1310"/>
    </row>
    <row r="120" spans="1:5" ht="60">
      <c r="A120" s="1305" t="s">
        <v>1693</v>
      </c>
      <c r="B120" s="1307" t="s">
        <v>2698</v>
      </c>
      <c r="C120" s="201" t="s">
        <v>2688</v>
      </c>
      <c r="E120" s="1310"/>
    </row>
    <row r="121" spans="1:5">
      <c r="A121" s="1305"/>
      <c r="B121" s="1307"/>
      <c r="C121" s="201"/>
      <c r="E121" s="1310"/>
    </row>
    <row r="122" spans="1:5">
      <c r="A122" s="1305"/>
      <c r="B122" s="1306" t="s">
        <v>2686</v>
      </c>
      <c r="C122" s="201"/>
      <c r="E122" s="1310"/>
    </row>
    <row r="123" spans="1:5">
      <c r="A123" s="1305"/>
      <c r="B123" s="1307"/>
      <c r="C123" s="201"/>
      <c r="E123" s="1310"/>
    </row>
    <row r="124" spans="1:5">
      <c r="A124" s="1305"/>
      <c r="B124" s="1308" t="s">
        <v>2699</v>
      </c>
      <c r="C124" s="201"/>
      <c r="E124" s="1310"/>
    </row>
    <row r="125" spans="1:5">
      <c r="A125" s="1305"/>
      <c r="B125" s="1307"/>
      <c r="C125" s="201"/>
      <c r="E125" s="1310"/>
    </row>
    <row r="126" spans="1:5">
      <c r="A126" s="1305"/>
      <c r="B126" s="1307" t="s">
        <v>2700</v>
      </c>
      <c r="C126" s="201"/>
      <c r="E126" s="1310"/>
    </row>
    <row r="127" spans="1:5">
      <c r="A127" s="1305"/>
      <c r="B127" s="1307"/>
      <c r="C127" s="201"/>
      <c r="E127" s="1310"/>
    </row>
    <row r="128" spans="1:5">
      <c r="A128" s="1305"/>
      <c r="B128" s="1309" t="s">
        <v>2701</v>
      </c>
      <c r="C128" s="201"/>
      <c r="E128" s="1310"/>
    </row>
    <row r="129" spans="1:5">
      <c r="A129" s="1305"/>
      <c r="B129" s="1307"/>
      <c r="C129" s="201"/>
      <c r="E129" s="1310"/>
    </row>
    <row r="130" spans="1:5">
      <c r="A130" s="1305" t="s">
        <v>1695</v>
      </c>
      <c r="B130" s="1307" t="s">
        <v>2702</v>
      </c>
      <c r="C130" s="201" t="s">
        <v>2703</v>
      </c>
      <c r="E130" s="1310"/>
    </row>
    <row r="131" spans="1:5">
      <c r="A131" s="1305"/>
      <c r="B131" s="1307"/>
      <c r="C131" s="201"/>
      <c r="E131" s="1310"/>
    </row>
    <row r="132" spans="1:5">
      <c r="A132" s="1305" t="s">
        <v>1697</v>
      </c>
      <c r="B132" s="1307" t="s">
        <v>2704</v>
      </c>
      <c r="C132" s="201" t="s">
        <v>2703</v>
      </c>
      <c r="E132" s="1310"/>
    </row>
    <row r="133" spans="1:5">
      <c r="A133" s="1305"/>
      <c r="B133" s="1307"/>
      <c r="C133" s="201"/>
      <c r="E133" s="1310"/>
    </row>
    <row r="134" spans="1:5">
      <c r="A134" s="1305" t="s">
        <v>1699</v>
      </c>
      <c r="B134" s="1307" t="s">
        <v>2705</v>
      </c>
      <c r="C134" s="201" t="s">
        <v>2703</v>
      </c>
      <c r="E134" s="1310"/>
    </row>
    <row r="135" spans="1:5">
      <c r="A135" s="1305"/>
      <c r="B135" s="1307"/>
      <c r="C135" s="201"/>
      <c r="E135" s="1310"/>
    </row>
    <row r="136" spans="1:5">
      <c r="A136" s="1305" t="s">
        <v>1701</v>
      </c>
      <c r="B136" s="1307" t="s">
        <v>2706</v>
      </c>
      <c r="C136" s="201" t="s">
        <v>2703</v>
      </c>
      <c r="E136" s="1310"/>
    </row>
    <row r="137" spans="1:5">
      <c r="A137" s="1305"/>
      <c r="B137" s="1307"/>
      <c r="C137" s="201"/>
      <c r="E137" s="1310"/>
    </row>
    <row r="138" spans="1:5">
      <c r="A138" s="1305" t="s">
        <v>1703</v>
      </c>
      <c r="B138" s="1307" t="s">
        <v>2707</v>
      </c>
      <c r="C138" s="201" t="s">
        <v>2703</v>
      </c>
      <c r="E138" s="1310"/>
    </row>
    <row r="139" spans="1:5">
      <c r="A139" s="1305"/>
      <c r="B139" s="1307"/>
      <c r="C139" s="201"/>
      <c r="E139" s="1310"/>
    </row>
    <row r="140" spans="1:5">
      <c r="A140" s="1305" t="s">
        <v>1706</v>
      </c>
      <c r="B140" s="1307" t="s">
        <v>2708</v>
      </c>
      <c r="C140" s="201" t="s">
        <v>2703</v>
      </c>
      <c r="E140" s="1310"/>
    </row>
    <row r="141" spans="1:5">
      <c r="A141" s="1305"/>
      <c r="B141" s="1307"/>
      <c r="C141" s="201"/>
      <c r="E141" s="1310"/>
    </row>
    <row r="142" spans="1:5">
      <c r="A142" s="1305"/>
      <c r="B142" s="1309" t="s">
        <v>2709</v>
      </c>
      <c r="C142" s="201"/>
      <c r="E142" s="1310"/>
    </row>
    <row r="143" spans="1:5">
      <c r="A143" s="1305"/>
      <c r="B143" s="1307"/>
      <c r="C143" s="201"/>
      <c r="E143" s="1310"/>
    </row>
    <row r="144" spans="1:5">
      <c r="A144" s="1305"/>
      <c r="B144" s="1307" t="s">
        <v>2710</v>
      </c>
      <c r="C144" s="201"/>
      <c r="E144" s="1310"/>
    </row>
    <row r="145" spans="1:5">
      <c r="A145" s="1305"/>
      <c r="B145" s="1307"/>
      <c r="C145" s="201"/>
      <c r="E145" s="1310"/>
    </row>
    <row r="146" spans="1:5">
      <c r="A146" s="1305" t="s">
        <v>1686</v>
      </c>
      <c r="B146" s="1307" t="s">
        <v>2711</v>
      </c>
      <c r="C146" s="201" t="s">
        <v>2703</v>
      </c>
      <c r="E146" s="1310"/>
    </row>
    <row r="147" spans="1:5">
      <c r="A147" s="1305"/>
      <c r="B147" s="1307"/>
      <c r="C147" s="201"/>
      <c r="E147" s="1310"/>
    </row>
    <row r="148" spans="1:5">
      <c r="A148" s="1305" t="s">
        <v>1688</v>
      </c>
      <c r="B148" s="1307" t="s">
        <v>2712</v>
      </c>
      <c r="C148" s="201" t="s">
        <v>2703</v>
      </c>
      <c r="E148" s="1310"/>
    </row>
    <row r="149" spans="1:5">
      <c r="A149" s="1305"/>
      <c r="B149" s="1307"/>
      <c r="C149" s="201"/>
      <c r="E149" s="1310"/>
    </row>
    <row r="150" spans="1:5">
      <c r="A150" s="1305" t="s">
        <v>1691</v>
      </c>
      <c r="B150" s="1307" t="s">
        <v>2713</v>
      </c>
      <c r="C150" s="201" t="s">
        <v>2703</v>
      </c>
      <c r="E150" s="1310"/>
    </row>
    <row r="151" spans="1:5">
      <c r="A151" s="1305"/>
      <c r="B151" s="1307"/>
      <c r="C151" s="201"/>
      <c r="E151" s="1310"/>
    </row>
    <row r="152" spans="1:5">
      <c r="A152" s="1305" t="s">
        <v>1693</v>
      </c>
      <c r="B152" s="1307" t="s">
        <v>2714</v>
      </c>
      <c r="C152" s="201" t="s">
        <v>2703</v>
      </c>
      <c r="E152" s="1310"/>
    </row>
    <row r="153" spans="1:5">
      <c r="A153" s="1305"/>
      <c r="B153" s="1307"/>
      <c r="C153" s="201"/>
      <c r="E153" s="1310"/>
    </row>
    <row r="154" spans="1:5">
      <c r="A154" s="1305" t="s">
        <v>1695</v>
      </c>
      <c r="B154" s="1307" t="s">
        <v>2715</v>
      </c>
      <c r="C154" s="201" t="s">
        <v>2703</v>
      </c>
      <c r="E154" s="1310"/>
    </row>
    <row r="155" spans="1:5">
      <c r="A155" s="1305"/>
      <c r="B155" s="1307"/>
      <c r="C155" s="201"/>
      <c r="E155" s="1310"/>
    </row>
    <row r="156" spans="1:5">
      <c r="A156" s="1305" t="s">
        <v>1697</v>
      </c>
      <c r="B156" s="1307" t="s">
        <v>2716</v>
      </c>
      <c r="C156" s="201" t="s">
        <v>2703</v>
      </c>
      <c r="E156" s="1310"/>
    </row>
    <row r="157" spans="1:5">
      <c r="A157" s="1305"/>
      <c r="B157" s="1307"/>
      <c r="C157" s="201"/>
      <c r="E157" s="1310"/>
    </row>
    <row r="158" spans="1:5">
      <c r="A158" s="1305" t="s">
        <v>1699</v>
      </c>
      <c r="B158" s="1307" t="s">
        <v>2717</v>
      </c>
      <c r="C158" s="201" t="s">
        <v>2703</v>
      </c>
      <c r="E158" s="1310"/>
    </row>
    <row r="159" spans="1:5">
      <c r="A159" s="1305"/>
      <c r="B159" s="1307"/>
      <c r="C159" s="201"/>
      <c r="E159" s="1310"/>
    </row>
    <row r="160" spans="1:5">
      <c r="A160" s="1305" t="s">
        <v>1701</v>
      </c>
      <c r="B160" s="1307" t="s">
        <v>2718</v>
      </c>
      <c r="C160" s="201" t="s">
        <v>2703</v>
      </c>
      <c r="E160" s="1310"/>
    </row>
    <row r="161" spans="1:5">
      <c r="A161" s="1305"/>
      <c r="B161" s="1307"/>
      <c r="C161" s="201"/>
      <c r="E161" s="1310"/>
    </row>
    <row r="162" spans="1:5">
      <c r="A162" s="1305" t="s">
        <v>1703</v>
      </c>
      <c r="B162" s="1307" t="s">
        <v>2719</v>
      </c>
      <c r="C162" s="201" t="s">
        <v>2703</v>
      </c>
      <c r="E162" s="1310"/>
    </row>
    <row r="163" spans="1:5">
      <c r="A163" s="1305"/>
      <c r="B163" s="1307"/>
      <c r="C163" s="201"/>
      <c r="E163" s="1310"/>
    </row>
    <row r="164" spans="1:5">
      <c r="A164" s="1305" t="s">
        <v>1706</v>
      </c>
      <c r="B164" s="1307" t="s">
        <v>2720</v>
      </c>
      <c r="C164" s="201" t="s">
        <v>2703</v>
      </c>
      <c r="E164" s="1310"/>
    </row>
    <row r="165" spans="1:5">
      <c r="A165" s="1305"/>
      <c r="B165" s="1307"/>
      <c r="C165" s="201"/>
      <c r="E165" s="1310"/>
    </row>
    <row r="166" spans="1:5">
      <c r="A166" s="1305" t="s">
        <v>1708</v>
      </c>
      <c r="B166" s="1307" t="s">
        <v>2721</v>
      </c>
      <c r="C166" s="201" t="s">
        <v>2703</v>
      </c>
      <c r="E166" s="1310"/>
    </row>
    <row r="167" spans="1:5">
      <c r="A167" s="1305"/>
      <c r="B167" s="1307"/>
      <c r="C167" s="201"/>
      <c r="E167" s="1310"/>
    </row>
    <row r="168" spans="1:5">
      <c r="A168" s="1305" t="s">
        <v>1710</v>
      </c>
      <c r="B168" s="1307" t="s">
        <v>2722</v>
      </c>
      <c r="C168" s="201" t="s">
        <v>2703</v>
      </c>
      <c r="E168" s="1310"/>
    </row>
    <row r="169" spans="1:5">
      <c r="A169" s="1305"/>
      <c r="B169" s="1307"/>
      <c r="C169" s="201"/>
      <c r="E169" s="1310"/>
    </row>
    <row r="170" spans="1:5">
      <c r="A170" s="1305" t="s">
        <v>1712</v>
      </c>
      <c r="B170" s="1307" t="s">
        <v>2723</v>
      </c>
      <c r="C170" s="201" t="s">
        <v>2703</v>
      </c>
      <c r="E170" s="1310"/>
    </row>
    <row r="171" spans="1:5">
      <c r="A171" s="1305"/>
      <c r="B171" s="1307"/>
      <c r="C171" s="201"/>
      <c r="E171" s="1310"/>
    </row>
    <row r="172" spans="1:5">
      <c r="A172" s="1305" t="s">
        <v>1834</v>
      </c>
      <c r="B172" s="1307" t="s">
        <v>2724</v>
      </c>
      <c r="C172" s="201" t="s">
        <v>2703</v>
      </c>
      <c r="E172" s="1310"/>
    </row>
    <row r="173" spans="1:5">
      <c r="A173" s="1305"/>
      <c r="B173" s="1307"/>
      <c r="C173" s="201"/>
      <c r="E173" s="1310"/>
    </row>
    <row r="174" spans="1:5">
      <c r="A174" s="1305"/>
      <c r="B174" s="1306" t="s">
        <v>2725</v>
      </c>
      <c r="C174" s="201"/>
      <c r="E174" s="1310"/>
    </row>
    <row r="175" spans="1:5">
      <c r="A175" s="1305"/>
      <c r="B175" s="1307"/>
      <c r="C175" s="201"/>
      <c r="E175" s="1310"/>
    </row>
    <row r="176" spans="1:5">
      <c r="A176" s="1305"/>
      <c r="B176" s="1308" t="s">
        <v>2726</v>
      </c>
      <c r="C176" s="201"/>
      <c r="E176" s="1310"/>
    </row>
    <row r="177" spans="1:5">
      <c r="A177" s="1305"/>
      <c r="B177" s="1307"/>
      <c r="C177" s="201"/>
      <c r="E177" s="1310"/>
    </row>
    <row r="178" spans="1:5" ht="75">
      <c r="A178" s="1305" t="s">
        <v>1686</v>
      </c>
      <c r="B178" s="1307" t="s">
        <v>2727</v>
      </c>
      <c r="C178" s="201" t="s">
        <v>1299</v>
      </c>
      <c r="E178" s="1310"/>
    </row>
    <row r="179" spans="1:5">
      <c r="A179" s="1305"/>
      <c r="B179" s="1307"/>
      <c r="C179" s="201"/>
      <c r="E179" s="1310"/>
    </row>
    <row r="180" spans="1:5" ht="60">
      <c r="A180" s="1305" t="s">
        <v>1688</v>
      </c>
      <c r="B180" s="1307" t="s">
        <v>2728</v>
      </c>
      <c r="C180" s="201" t="s">
        <v>1299</v>
      </c>
      <c r="E180" s="1310"/>
    </row>
    <row r="181" spans="1:5">
      <c r="A181" s="1305"/>
      <c r="B181" s="1307"/>
      <c r="C181" s="201"/>
      <c r="E181" s="1310"/>
    </row>
    <row r="182" spans="1:5" ht="45">
      <c r="A182" s="1305" t="s">
        <v>1691</v>
      </c>
      <c r="B182" s="1307" t="s">
        <v>2729</v>
      </c>
      <c r="C182" s="201" t="s">
        <v>1293</v>
      </c>
      <c r="E182" s="1310"/>
    </row>
    <row r="183" spans="1:5">
      <c r="A183" s="1305"/>
      <c r="B183" s="1307"/>
      <c r="C183" s="201"/>
      <c r="E183" s="1310"/>
    </row>
    <row r="184" spans="1:5" ht="75">
      <c r="A184" s="1305" t="s">
        <v>1693</v>
      </c>
      <c r="B184" s="1307" t="s">
        <v>2730</v>
      </c>
      <c r="C184" s="201" t="s">
        <v>1299</v>
      </c>
      <c r="E184" s="1310"/>
    </row>
    <row r="185" spans="1:5">
      <c r="A185" s="1305"/>
      <c r="B185" s="1307"/>
      <c r="C185" s="201"/>
      <c r="E185" s="1310"/>
    </row>
    <row r="186" spans="1:5">
      <c r="A186" s="1305"/>
      <c r="B186" s="1308" t="s">
        <v>2731</v>
      </c>
      <c r="C186" s="201"/>
      <c r="E186" s="1310"/>
    </row>
    <row r="187" spans="1:5">
      <c r="A187" s="1305"/>
      <c r="B187" s="1307"/>
      <c r="C187" s="201"/>
      <c r="E187" s="1310"/>
    </row>
    <row r="188" spans="1:5" ht="75">
      <c r="A188" s="1305" t="s">
        <v>1695</v>
      </c>
      <c r="B188" s="1307" t="s">
        <v>2732</v>
      </c>
      <c r="C188" s="201" t="s">
        <v>215</v>
      </c>
      <c r="E188" s="1310"/>
    </row>
    <row r="189" spans="1:5">
      <c r="A189" s="1305"/>
      <c r="B189" s="1307"/>
      <c r="C189" s="201"/>
      <c r="E189" s="1310"/>
    </row>
    <row r="190" spans="1:5" ht="75">
      <c r="A190" s="1305" t="s">
        <v>1686</v>
      </c>
      <c r="B190" s="1307" t="s">
        <v>2733</v>
      </c>
      <c r="C190" s="201" t="s">
        <v>215</v>
      </c>
      <c r="E190" s="1310"/>
    </row>
    <row r="191" spans="1:5">
      <c r="A191" s="1305"/>
      <c r="B191" s="1307"/>
      <c r="C191" s="201"/>
      <c r="E191" s="1310"/>
    </row>
    <row r="192" spans="1:5" ht="30">
      <c r="A192" s="1305" t="s">
        <v>1688</v>
      </c>
      <c r="B192" s="1307" t="s">
        <v>2734</v>
      </c>
      <c r="C192" s="201" t="s">
        <v>215</v>
      </c>
      <c r="E192" s="1310"/>
    </row>
    <row r="193" spans="1:5">
      <c r="A193" s="1305"/>
      <c r="B193" s="1307"/>
      <c r="C193" s="201"/>
      <c r="E193" s="1310"/>
    </row>
    <row r="194" spans="1:5" ht="75">
      <c r="A194" s="1305" t="s">
        <v>1691</v>
      </c>
      <c r="B194" s="1307" t="s">
        <v>2735</v>
      </c>
      <c r="C194" s="201" t="s">
        <v>215</v>
      </c>
      <c r="E194" s="1310"/>
    </row>
    <row r="195" spans="1:5">
      <c r="A195" s="1305"/>
      <c r="B195" s="1307"/>
      <c r="C195" s="201"/>
      <c r="E195" s="1310"/>
    </row>
    <row r="196" spans="1:5" ht="30">
      <c r="A196" s="1305" t="s">
        <v>1693</v>
      </c>
      <c r="B196" s="1307" t="s">
        <v>2736</v>
      </c>
      <c r="C196" s="201" t="s">
        <v>215</v>
      </c>
      <c r="E196" s="1310"/>
    </row>
    <row r="197" spans="1:5">
      <c r="A197" s="1305"/>
      <c r="B197" s="1307"/>
      <c r="C197" s="201"/>
      <c r="E197" s="1310"/>
    </row>
    <row r="198" spans="1:5" ht="75">
      <c r="A198" s="1305" t="s">
        <v>1695</v>
      </c>
      <c r="B198" s="1307" t="s">
        <v>2737</v>
      </c>
      <c r="C198" s="201" t="s">
        <v>1299</v>
      </c>
      <c r="E198" s="1310"/>
    </row>
    <row r="199" spans="1:5">
      <c r="A199" s="1305"/>
      <c r="B199" s="1307"/>
      <c r="C199" s="201"/>
      <c r="E199" s="1310"/>
    </row>
    <row r="200" spans="1:5" ht="60">
      <c r="A200" s="1305" t="s">
        <v>1697</v>
      </c>
      <c r="B200" s="1307" t="s">
        <v>2738</v>
      </c>
      <c r="C200" s="201" t="s">
        <v>1357</v>
      </c>
      <c r="E200" s="1310"/>
    </row>
    <row r="201" spans="1:5">
      <c r="A201" s="1305"/>
      <c r="B201" s="1307"/>
      <c r="C201" s="201"/>
      <c r="E201" s="1310"/>
    </row>
    <row r="202" spans="1:5" ht="60">
      <c r="A202" s="1305" t="s">
        <v>1699</v>
      </c>
      <c r="B202" s="1307" t="s">
        <v>2739</v>
      </c>
      <c r="C202" s="201" t="s">
        <v>2740</v>
      </c>
      <c r="E202" s="1310"/>
    </row>
    <row r="203" spans="1:5">
      <c r="A203" s="1305"/>
      <c r="B203" s="1307"/>
      <c r="C203" s="201"/>
      <c r="E203" s="1310"/>
    </row>
    <row r="204" spans="1:5">
      <c r="A204" s="1305"/>
      <c r="B204" s="1308" t="s">
        <v>2741</v>
      </c>
      <c r="C204" s="201"/>
      <c r="E204" s="1310"/>
    </row>
    <row r="205" spans="1:5">
      <c r="A205" s="1305"/>
      <c r="B205" s="1307"/>
      <c r="C205" s="201"/>
      <c r="E205" s="1310"/>
    </row>
    <row r="206" spans="1:5" ht="60">
      <c r="A206" s="1305" t="s">
        <v>1686</v>
      </c>
      <c r="B206" s="1307" t="s">
        <v>2742</v>
      </c>
      <c r="C206" s="201" t="s">
        <v>1293</v>
      </c>
      <c r="E206" s="1310"/>
    </row>
    <row r="207" spans="1:5">
      <c r="A207" s="1305"/>
      <c r="B207" s="1307"/>
      <c r="C207" s="201"/>
      <c r="E207" s="1310"/>
    </row>
    <row r="208" spans="1:5" ht="60">
      <c r="A208" s="1305" t="s">
        <v>1688</v>
      </c>
      <c r="B208" s="1307" t="s">
        <v>2743</v>
      </c>
      <c r="C208" s="201" t="s">
        <v>1293</v>
      </c>
      <c r="E208" s="1310"/>
    </row>
    <row r="209" spans="1:5">
      <c r="A209" s="1305"/>
      <c r="B209" s="1307"/>
      <c r="C209" s="201"/>
      <c r="E209" s="1310"/>
    </row>
    <row r="210" spans="1:5">
      <c r="A210" s="1305"/>
      <c r="B210" s="1308" t="s">
        <v>2744</v>
      </c>
      <c r="C210" s="201"/>
      <c r="E210" s="1310"/>
    </row>
    <row r="211" spans="1:5">
      <c r="A211" s="1305"/>
      <c r="B211" s="1307"/>
      <c r="C211" s="201"/>
      <c r="E211" s="1310"/>
    </row>
    <row r="212" spans="1:5" ht="30">
      <c r="A212" s="1305" t="s">
        <v>1691</v>
      </c>
      <c r="B212" s="1307" t="s">
        <v>2745</v>
      </c>
      <c r="C212" s="201" t="s">
        <v>215</v>
      </c>
      <c r="E212" s="1310"/>
    </row>
    <row r="213" spans="1:5">
      <c r="A213" s="1305"/>
      <c r="B213" s="1307"/>
      <c r="C213" s="201"/>
      <c r="E213" s="1310"/>
    </row>
    <row r="214" spans="1:5" ht="30">
      <c r="A214" s="1305" t="s">
        <v>1693</v>
      </c>
      <c r="B214" s="1307" t="s">
        <v>2746</v>
      </c>
      <c r="C214" s="201" t="s">
        <v>217</v>
      </c>
      <c r="E214" s="1310"/>
    </row>
    <row r="215" spans="1:5">
      <c r="A215" s="1305"/>
      <c r="B215" s="1307"/>
      <c r="C215" s="201"/>
      <c r="E215" s="1310"/>
    </row>
    <row r="216" spans="1:5">
      <c r="A216" s="1305"/>
      <c r="B216" s="1308" t="s">
        <v>2747</v>
      </c>
      <c r="C216" s="201"/>
      <c r="E216" s="1310"/>
    </row>
    <row r="217" spans="1:5">
      <c r="A217" s="1305"/>
      <c r="B217" s="1307"/>
      <c r="C217" s="201"/>
      <c r="E217" s="1310"/>
    </row>
    <row r="218" spans="1:5">
      <c r="A218" s="1305" t="s">
        <v>1695</v>
      </c>
      <c r="B218" s="1307" t="s">
        <v>2748</v>
      </c>
      <c r="C218" s="201" t="s">
        <v>1299</v>
      </c>
      <c r="E218" s="1310"/>
    </row>
    <row r="219" spans="1:5">
      <c r="A219" s="1305"/>
      <c r="B219" s="1307"/>
      <c r="C219" s="201"/>
      <c r="E219" s="1310"/>
    </row>
    <row r="220" spans="1:5">
      <c r="A220" s="1305" t="s">
        <v>1697</v>
      </c>
      <c r="B220" s="1307" t="s">
        <v>2749</v>
      </c>
      <c r="C220" s="201" t="s">
        <v>1299</v>
      </c>
      <c r="E220" s="1310"/>
    </row>
    <row r="221" spans="1:5">
      <c r="A221" s="1305"/>
      <c r="B221" s="1307"/>
      <c r="C221" s="201"/>
      <c r="E221" s="1310"/>
    </row>
    <row r="222" spans="1:5">
      <c r="A222" s="1305" t="s">
        <v>1699</v>
      </c>
      <c r="B222" s="1307" t="s">
        <v>2750</v>
      </c>
      <c r="C222" s="201" t="s">
        <v>1299</v>
      </c>
      <c r="E222" s="1310"/>
    </row>
    <row r="223" spans="1:5">
      <c r="A223" s="1305"/>
      <c r="B223" s="1307"/>
      <c r="C223" s="201"/>
      <c r="E223" s="1310"/>
    </row>
    <row r="224" spans="1:5">
      <c r="A224" s="1305" t="s">
        <v>1701</v>
      </c>
      <c r="B224" s="1307" t="s">
        <v>2751</v>
      </c>
      <c r="C224" s="201" t="s">
        <v>1299</v>
      </c>
      <c r="E224" s="1310"/>
    </row>
    <row r="225" spans="1:5">
      <c r="A225" s="1305"/>
      <c r="B225" s="1307"/>
      <c r="C225" s="201"/>
      <c r="E225" s="1310"/>
    </row>
    <row r="226" spans="1:5">
      <c r="A226" s="1305" t="s">
        <v>1703</v>
      </c>
      <c r="B226" s="1307" t="s">
        <v>2752</v>
      </c>
      <c r="C226" s="201" t="s">
        <v>1299</v>
      </c>
      <c r="E226" s="1310"/>
    </row>
    <row r="227" spans="1:5">
      <c r="A227" s="1305"/>
      <c r="B227" s="1307"/>
      <c r="C227" s="201"/>
      <c r="E227" s="1310"/>
    </row>
    <row r="228" spans="1:5">
      <c r="A228" s="1305"/>
      <c r="B228" s="1308" t="s">
        <v>2753</v>
      </c>
      <c r="C228" s="201"/>
      <c r="E228" s="1310"/>
    </row>
    <row r="229" spans="1:5">
      <c r="A229" s="1305"/>
      <c r="B229" s="1307"/>
      <c r="C229" s="201"/>
      <c r="E229" s="1310"/>
    </row>
    <row r="230" spans="1:5">
      <c r="A230" s="1305" t="s">
        <v>1706</v>
      </c>
      <c r="B230" s="1307" t="s">
        <v>2754</v>
      </c>
      <c r="C230" s="201" t="s">
        <v>215</v>
      </c>
      <c r="E230" s="1310"/>
    </row>
    <row r="231" spans="1:5">
      <c r="A231" s="1305"/>
      <c r="B231" s="1307"/>
      <c r="C231" s="201"/>
      <c r="E231" s="1310"/>
    </row>
    <row r="232" spans="1:5">
      <c r="A232" s="1305" t="s">
        <v>1686</v>
      </c>
      <c r="B232" s="1307" t="s">
        <v>2755</v>
      </c>
      <c r="C232" s="201" t="s">
        <v>215</v>
      </c>
      <c r="E232" s="1310"/>
    </row>
    <row r="233" spans="1:5">
      <c r="A233" s="1305"/>
      <c r="B233" s="1307"/>
      <c r="C233" s="201"/>
      <c r="E233" s="1310"/>
    </row>
    <row r="234" spans="1:5">
      <c r="A234" s="1305" t="s">
        <v>1688</v>
      </c>
      <c r="B234" s="1307" t="s">
        <v>2756</v>
      </c>
      <c r="C234" s="201" t="s">
        <v>215</v>
      </c>
      <c r="E234" s="1310"/>
    </row>
    <row r="235" spans="1:5">
      <c r="A235" s="1305"/>
      <c r="B235" s="1307"/>
      <c r="C235" s="201"/>
      <c r="E235" s="1310"/>
    </row>
    <row r="236" spans="1:5">
      <c r="A236" s="1305" t="s">
        <v>1691</v>
      </c>
      <c r="B236" s="1307" t="s">
        <v>2757</v>
      </c>
      <c r="C236" s="201" t="s">
        <v>215</v>
      </c>
      <c r="E236" s="1310"/>
    </row>
    <row r="237" spans="1:5">
      <c r="A237" s="1305"/>
      <c r="B237" s="1307"/>
      <c r="C237" s="201"/>
      <c r="E237" s="1310"/>
    </row>
    <row r="238" spans="1:5">
      <c r="A238" s="1305" t="s">
        <v>1693</v>
      </c>
      <c r="B238" s="1307" t="s">
        <v>2758</v>
      </c>
      <c r="C238" s="201" t="s">
        <v>215</v>
      </c>
      <c r="E238" s="1310"/>
    </row>
    <row r="239" spans="1:5">
      <c r="A239" s="1305"/>
      <c r="B239" s="1307"/>
      <c r="C239" s="201"/>
      <c r="E239" s="1310"/>
    </row>
    <row r="240" spans="1:5">
      <c r="A240" s="1305"/>
      <c r="B240" s="1308" t="s">
        <v>2759</v>
      </c>
      <c r="C240" s="201"/>
      <c r="E240" s="1310"/>
    </row>
    <row r="241" spans="1:5">
      <c r="A241" s="1305"/>
      <c r="B241" s="1307"/>
      <c r="C241" s="201"/>
      <c r="E241" s="1310"/>
    </row>
    <row r="242" spans="1:5" ht="120">
      <c r="A242" s="1305" t="s">
        <v>1695</v>
      </c>
      <c r="B242" s="1307" t="s">
        <v>2760</v>
      </c>
      <c r="C242" s="201" t="s">
        <v>1293</v>
      </c>
      <c r="E242" s="1310"/>
    </row>
    <row r="243" spans="1:5">
      <c r="A243" s="1305"/>
      <c r="B243" s="1307"/>
      <c r="C243" s="201"/>
      <c r="E243" s="1310"/>
    </row>
    <row r="244" spans="1:5" ht="105">
      <c r="A244" s="1305" t="s">
        <v>1697</v>
      </c>
      <c r="B244" s="1307" t="s">
        <v>2761</v>
      </c>
      <c r="C244" s="201" t="s">
        <v>1299</v>
      </c>
      <c r="E244" s="1310"/>
    </row>
    <row r="245" spans="1:5">
      <c r="A245" s="1305"/>
      <c r="B245" s="1307"/>
      <c r="C245" s="201"/>
      <c r="E245" s="1310"/>
    </row>
    <row r="246" spans="1:5" ht="120">
      <c r="A246" s="1305" t="s">
        <v>1686</v>
      </c>
      <c r="B246" s="1307" t="s">
        <v>2762</v>
      </c>
      <c r="C246" s="201" t="s">
        <v>1293</v>
      </c>
      <c r="E246" s="1310"/>
    </row>
    <row r="247" spans="1:5">
      <c r="A247" s="1305"/>
      <c r="B247" s="1307"/>
      <c r="C247" s="201"/>
      <c r="E247" s="1310"/>
    </row>
    <row r="248" spans="1:5" ht="105">
      <c r="A248" s="1305" t="s">
        <v>1688</v>
      </c>
      <c r="B248" s="1307" t="s">
        <v>2763</v>
      </c>
      <c r="C248" s="201" t="s">
        <v>1299</v>
      </c>
      <c r="E248" s="1310"/>
    </row>
    <row r="249" spans="1:5">
      <c r="A249" s="1305"/>
      <c r="B249" s="1307"/>
      <c r="C249" s="201"/>
      <c r="E249" s="1310"/>
    </row>
    <row r="250" spans="1:5" ht="90">
      <c r="A250" s="1305" t="s">
        <v>1691</v>
      </c>
      <c r="B250" s="1307" t="s">
        <v>2764</v>
      </c>
      <c r="C250" s="201" t="s">
        <v>1293</v>
      </c>
      <c r="E250" s="1310"/>
    </row>
    <row r="251" spans="1:5">
      <c r="A251" s="1305"/>
      <c r="B251" s="1307"/>
      <c r="C251" s="201"/>
      <c r="E251" s="1310"/>
    </row>
    <row r="252" spans="1:5" ht="75">
      <c r="A252" s="1305" t="s">
        <v>1693</v>
      </c>
      <c r="B252" s="1307" t="s">
        <v>2765</v>
      </c>
      <c r="C252" s="201" t="s">
        <v>1299</v>
      </c>
      <c r="E252" s="1310"/>
    </row>
    <row r="253" spans="1:5">
      <c r="A253" s="1305"/>
      <c r="B253" s="1307"/>
      <c r="C253" s="201"/>
      <c r="E253" s="1310"/>
    </row>
    <row r="254" spans="1:5" ht="30">
      <c r="A254" s="1305" t="s">
        <v>1686</v>
      </c>
      <c r="B254" s="1307" t="s">
        <v>2766</v>
      </c>
      <c r="C254" s="201" t="s">
        <v>215</v>
      </c>
      <c r="E254" s="1310"/>
    </row>
    <row r="255" spans="1:5">
      <c r="A255" s="1305"/>
      <c r="B255" s="1307"/>
      <c r="C255" s="201"/>
      <c r="E255" s="1310"/>
    </row>
    <row r="256" spans="1:5" ht="26.25">
      <c r="A256" s="1305"/>
      <c r="B256" s="1308" t="s">
        <v>2767</v>
      </c>
      <c r="C256" s="201"/>
      <c r="E256" s="1310"/>
    </row>
    <row r="257" spans="1:5">
      <c r="A257" s="1305"/>
      <c r="B257" s="1307"/>
      <c r="C257" s="201"/>
      <c r="E257" s="1310"/>
    </row>
    <row r="258" spans="1:5">
      <c r="A258" s="1305"/>
      <c r="B258" s="1306" t="s">
        <v>2768</v>
      </c>
      <c r="C258" s="201"/>
      <c r="E258" s="1310"/>
    </row>
    <row r="259" spans="1:5">
      <c r="A259" s="1305"/>
      <c r="B259" s="1307"/>
      <c r="C259" s="201"/>
      <c r="E259" s="1310"/>
    </row>
    <row r="260" spans="1:5" ht="60">
      <c r="A260" s="1305" t="s">
        <v>1686</v>
      </c>
      <c r="B260" s="1307" t="s">
        <v>2769</v>
      </c>
      <c r="C260" s="201" t="s">
        <v>1293</v>
      </c>
      <c r="E260" s="1310"/>
    </row>
    <row r="261" spans="1:5">
      <c r="A261" s="1305"/>
      <c r="B261" s="1307"/>
      <c r="C261" s="201"/>
      <c r="E261" s="1310"/>
    </row>
    <row r="262" spans="1:5" ht="75">
      <c r="A262" s="1305" t="s">
        <v>1688</v>
      </c>
      <c r="B262" s="1307" t="s">
        <v>2770</v>
      </c>
      <c r="C262" s="201" t="s">
        <v>1299</v>
      </c>
      <c r="E262" s="1310"/>
    </row>
    <row r="263" spans="1:5">
      <c r="A263" s="1305"/>
      <c r="B263" s="1307"/>
      <c r="C263" s="201"/>
      <c r="E263" s="1310"/>
    </row>
    <row r="264" spans="1:5">
      <c r="A264" s="1305"/>
      <c r="B264" s="1308" t="s">
        <v>2771</v>
      </c>
      <c r="C264" s="201"/>
      <c r="E264" s="1310"/>
    </row>
    <row r="265" spans="1:5">
      <c r="A265" s="1305"/>
      <c r="B265" s="1307"/>
      <c r="C265" s="201"/>
      <c r="E265" s="1310"/>
    </row>
    <row r="266" spans="1:5" ht="30">
      <c r="A266" s="1305" t="s">
        <v>1691</v>
      </c>
      <c r="B266" s="1307" t="s">
        <v>2772</v>
      </c>
      <c r="C266" s="201" t="s">
        <v>1293</v>
      </c>
      <c r="E266" s="1310"/>
    </row>
    <row r="267" spans="1:5">
      <c r="A267" s="1305"/>
      <c r="B267" s="1307"/>
      <c r="C267" s="201"/>
      <c r="E267" s="1310"/>
    </row>
    <row r="268" spans="1:5" ht="75">
      <c r="A268" s="1305" t="s">
        <v>1693</v>
      </c>
      <c r="B268" s="1307" t="s">
        <v>2732</v>
      </c>
      <c r="C268" s="201" t="s">
        <v>215</v>
      </c>
      <c r="E268" s="1310"/>
    </row>
    <row r="269" spans="1:5">
      <c r="A269" s="1305"/>
      <c r="B269" s="1307"/>
      <c r="C269" s="201"/>
      <c r="E269" s="1310"/>
    </row>
    <row r="270" spans="1:5" ht="75">
      <c r="A270" s="1305" t="s">
        <v>1695</v>
      </c>
      <c r="B270" s="1307" t="s">
        <v>2735</v>
      </c>
      <c r="C270" s="201" t="s">
        <v>215</v>
      </c>
      <c r="E270" s="1310"/>
    </row>
    <row r="271" spans="1:5">
      <c r="A271" s="1305"/>
      <c r="B271" s="1307"/>
      <c r="C271" s="201"/>
      <c r="E271" s="1310"/>
    </row>
    <row r="272" spans="1:5">
      <c r="A272" s="1305"/>
      <c r="B272" s="1306" t="s">
        <v>1290</v>
      </c>
      <c r="C272" s="201"/>
      <c r="E272" s="1310"/>
    </row>
    <row r="273" spans="1:5">
      <c r="A273" s="1305"/>
      <c r="B273" s="1307"/>
      <c r="C273" s="201"/>
      <c r="E273" s="1310"/>
    </row>
    <row r="274" spans="1:5">
      <c r="A274" s="1305"/>
      <c r="B274" s="1308" t="s">
        <v>2773</v>
      </c>
      <c r="C274" s="201"/>
      <c r="E274" s="1310"/>
    </row>
    <row r="275" spans="1:5">
      <c r="A275" s="1305"/>
      <c r="B275" s="1307"/>
      <c r="C275" s="201"/>
      <c r="E275" s="1310"/>
    </row>
    <row r="276" spans="1:5" ht="39">
      <c r="A276" s="1305"/>
      <c r="B276" s="1309" t="s">
        <v>2774</v>
      </c>
      <c r="C276" s="201"/>
      <c r="E276" s="1310"/>
    </row>
    <row r="277" spans="1:5">
      <c r="A277" s="1305"/>
      <c r="B277" s="1307"/>
      <c r="C277" s="201"/>
      <c r="E277" s="1310"/>
    </row>
    <row r="278" spans="1:5" ht="30">
      <c r="A278" s="1305" t="s">
        <v>1686</v>
      </c>
      <c r="B278" s="1307" t="s">
        <v>2775</v>
      </c>
      <c r="C278" s="201" t="s">
        <v>1299</v>
      </c>
      <c r="E278" s="1310"/>
    </row>
    <row r="279" spans="1:5">
      <c r="A279" s="1305"/>
      <c r="B279" s="1307"/>
      <c r="C279" s="201"/>
      <c r="E279" s="1310"/>
    </row>
    <row r="280" spans="1:5" ht="30">
      <c r="A280" s="1305" t="s">
        <v>1688</v>
      </c>
      <c r="B280" s="1307" t="s">
        <v>2776</v>
      </c>
      <c r="C280" s="201" t="s">
        <v>1299</v>
      </c>
      <c r="E280" s="1310"/>
    </row>
    <row r="281" spans="1:5">
      <c r="A281" s="1305"/>
      <c r="B281" s="1307"/>
      <c r="C281" s="201"/>
      <c r="E281" s="1310"/>
    </row>
    <row r="282" spans="1:5">
      <c r="A282" s="1305"/>
      <c r="B282" s="1309" t="s">
        <v>2777</v>
      </c>
      <c r="C282" s="201"/>
      <c r="E282" s="1310"/>
    </row>
    <row r="283" spans="1:5">
      <c r="A283" s="1305"/>
      <c r="B283" s="1307"/>
      <c r="C283" s="201"/>
      <c r="E283" s="1310"/>
    </row>
    <row r="284" spans="1:5">
      <c r="A284" s="1305" t="s">
        <v>1691</v>
      </c>
      <c r="B284" s="1307" t="s">
        <v>2778</v>
      </c>
      <c r="C284" s="201" t="s">
        <v>1299</v>
      </c>
      <c r="E284" s="1310"/>
    </row>
    <row r="285" spans="1:5">
      <c r="A285" s="1305"/>
      <c r="B285" s="1307"/>
      <c r="C285" s="201"/>
      <c r="E285" s="1310"/>
    </row>
    <row r="286" spans="1:5">
      <c r="A286" s="1305" t="s">
        <v>1693</v>
      </c>
      <c r="B286" s="1307" t="s">
        <v>2779</v>
      </c>
      <c r="C286" s="201" t="s">
        <v>1299</v>
      </c>
      <c r="E286" s="1310"/>
    </row>
    <row r="287" spans="1:5">
      <c r="A287" s="1305"/>
      <c r="B287" s="1307"/>
      <c r="C287" s="201"/>
      <c r="E287" s="1310"/>
    </row>
    <row r="288" spans="1:5" ht="60">
      <c r="A288" s="1305" t="s">
        <v>1695</v>
      </c>
      <c r="B288" s="1307" t="s">
        <v>2780</v>
      </c>
      <c r="C288" s="201" t="s">
        <v>2740</v>
      </c>
      <c r="E288" s="1310"/>
    </row>
    <row r="289" spans="1:5">
      <c r="A289" s="1305"/>
      <c r="B289" s="1307"/>
      <c r="C289" s="201"/>
      <c r="E289" s="1310"/>
    </row>
    <row r="290" spans="1:5">
      <c r="A290" s="1305"/>
      <c r="B290" s="1308" t="s">
        <v>2781</v>
      </c>
      <c r="C290" s="201"/>
      <c r="E290" s="1310"/>
    </row>
    <row r="291" spans="1:5">
      <c r="A291" s="1305"/>
      <c r="B291" s="1307"/>
      <c r="C291" s="201"/>
      <c r="E291" s="1310"/>
    </row>
    <row r="292" spans="1:5" ht="165">
      <c r="A292" s="1305"/>
      <c r="B292" s="1307" t="s">
        <v>2782</v>
      </c>
      <c r="C292" s="201"/>
      <c r="E292" s="1310"/>
    </row>
    <row r="293" spans="1:5">
      <c r="A293" s="1305"/>
      <c r="B293" s="1307"/>
      <c r="C293" s="201"/>
      <c r="E293" s="1310"/>
    </row>
    <row r="294" spans="1:5" ht="30">
      <c r="A294" s="1305" t="s">
        <v>1686</v>
      </c>
      <c r="B294" s="1307" t="s">
        <v>2783</v>
      </c>
      <c r="C294" s="201" t="s">
        <v>1293</v>
      </c>
      <c r="E294" s="1310"/>
    </row>
    <row r="295" spans="1:5">
      <c r="A295" s="1305"/>
      <c r="B295" s="1307"/>
      <c r="C295" s="201"/>
      <c r="E295" s="1310"/>
    </row>
    <row r="296" spans="1:5" ht="30">
      <c r="A296" s="1305" t="s">
        <v>1688</v>
      </c>
      <c r="B296" s="1307" t="s">
        <v>2784</v>
      </c>
      <c r="C296" s="201" t="s">
        <v>1299</v>
      </c>
      <c r="E296" s="1310"/>
    </row>
    <row r="297" spans="1:5">
      <c r="A297" s="1305"/>
      <c r="B297" s="1307"/>
      <c r="C297" s="201"/>
      <c r="E297" s="1310"/>
    </row>
    <row r="298" spans="1:5" ht="39">
      <c r="A298" s="1305"/>
      <c r="B298" s="1309" t="s">
        <v>2785</v>
      </c>
      <c r="C298" s="201"/>
      <c r="E298" s="1310"/>
    </row>
    <row r="299" spans="1:5">
      <c r="A299" s="1305"/>
      <c r="B299" s="1307"/>
      <c r="C299" s="201"/>
      <c r="E299" s="1310"/>
    </row>
    <row r="300" spans="1:5">
      <c r="A300" s="1305" t="s">
        <v>1691</v>
      </c>
      <c r="B300" s="1307" t="s">
        <v>2786</v>
      </c>
      <c r="C300" s="201" t="s">
        <v>1299</v>
      </c>
      <c r="E300" s="1310"/>
    </row>
    <row r="301" spans="1:5">
      <c r="A301" s="1305"/>
      <c r="B301" s="1307"/>
      <c r="C301" s="201"/>
      <c r="E301" s="1310"/>
    </row>
    <row r="302" spans="1:5">
      <c r="A302" s="1305"/>
      <c r="B302" s="1309" t="s">
        <v>2777</v>
      </c>
      <c r="C302" s="201"/>
      <c r="E302" s="1310"/>
    </row>
    <row r="303" spans="1:5">
      <c r="A303" s="1305"/>
      <c r="B303" s="1307"/>
      <c r="C303" s="201"/>
      <c r="E303" s="1310"/>
    </row>
    <row r="304" spans="1:5">
      <c r="A304" s="1305" t="s">
        <v>1686</v>
      </c>
      <c r="B304" s="1307" t="s">
        <v>2778</v>
      </c>
      <c r="C304" s="201" t="s">
        <v>1299</v>
      </c>
      <c r="E304" s="1310"/>
    </row>
    <row r="305" spans="1:5">
      <c r="A305" s="1305"/>
      <c r="B305" s="1307"/>
      <c r="C305" s="201"/>
      <c r="E305" s="1310"/>
    </row>
    <row r="306" spans="1:5">
      <c r="A306" s="1305" t="s">
        <v>1688</v>
      </c>
      <c r="B306" s="1307" t="s">
        <v>2779</v>
      </c>
      <c r="C306" s="201" t="s">
        <v>1299</v>
      </c>
      <c r="E306" s="1310"/>
    </row>
    <row r="307" spans="1:5">
      <c r="A307" s="1305"/>
      <c r="B307" s="1307"/>
      <c r="C307" s="201"/>
      <c r="E307" s="1310"/>
    </row>
    <row r="308" spans="1:5" ht="26.25">
      <c r="A308" s="1305"/>
      <c r="B308" s="1309" t="s">
        <v>2787</v>
      </c>
      <c r="C308" s="201"/>
      <c r="E308" s="1310"/>
    </row>
    <row r="309" spans="1:5">
      <c r="A309" s="1305"/>
      <c r="B309" s="1307"/>
      <c r="C309" s="201"/>
      <c r="E309" s="1310"/>
    </row>
    <row r="310" spans="1:5">
      <c r="A310" s="1305" t="s">
        <v>1691</v>
      </c>
      <c r="B310" s="1307" t="s">
        <v>2788</v>
      </c>
      <c r="C310" s="201" t="s">
        <v>1299</v>
      </c>
      <c r="E310" s="1310"/>
    </row>
    <row r="311" spans="1:5">
      <c r="A311" s="1305"/>
      <c r="B311" s="1307"/>
      <c r="C311" s="201"/>
      <c r="E311" s="1310"/>
    </row>
    <row r="312" spans="1:5">
      <c r="A312" s="1305"/>
      <c r="B312" s="1309" t="s">
        <v>2789</v>
      </c>
      <c r="C312" s="201"/>
      <c r="E312" s="1310"/>
    </row>
    <row r="313" spans="1:5">
      <c r="A313" s="1305"/>
      <c r="B313" s="1307"/>
      <c r="C313" s="201"/>
      <c r="E313" s="1310"/>
    </row>
    <row r="314" spans="1:5">
      <c r="A314" s="1305" t="s">
        <v>1693</v>
      </c>
      <c r="B314" s="1307" t="s">
        <v>2778</v>
      </c>
      <c r="C314" s="201" t="s">
        <v>1299</v>
      </c>
      <c r="E314" s="1310"/>
    </row>
    <row r="315" spans="1:5">
      <c r="A315" s="1305"/>
      <c r="B315" s="1307"/>
      <c r="C315" s="201"/>
      <c r="E315" s="1310"/>
    </row>
    <row r="316" spans="1:5">
      <c r="A316" s="1305" t="s">
        <v>1695</v>
      </c>
      <c r="B316" s="1307" t="s">
        <v>2779</v>
      </c>
      <c r="C316" s="201" t="s">
        <v>1299</v>
      </c>
      <c r="E316" s="1310"/>
    </row>
    <row r="317" spans="1:5">
      <c r="A317" s="1305"/>
      <c r="B317" s="1307"/>
      <c r="C317" s="201"/>
      <c r="E317" s="1310"/>
    </row>
    <row r="318" spans="1:5" ht="30">
      <c r="A318" s="1305" t="s">
        <v>1697</v>
      </c>
      <c r="B318" s="1307" t="s">
        <v>2790</v>
      </c>
      <c r="C318" s="201" t="s">
        <v>1299</v>
      </c>
      <c r="E318" s="1310"/>
    </row>
    <row r="319" spans="1:5">
      <c r="A319" s="1305"/>
      <c r="B319" s="1307"/>
      <c r="C319" s="201"/>
      <c r="E319" s="1310"/>
    </row>
    <row r="320" spans="1:5">
      <c r="A320" s="1305"/>
      <c r="B320" s="1308" t="s">
        <v>2791</v>
      </c>
      <c r="C320" s="201"/>
      <c r="E320" s="1310"/>
    </row>
    <row r="321" spans="1:5">
      <c r="A321" s="1305"/>
      <c r="B321" s="1307"/>
      <c r="C321" s="201"/>
      <c r="E321" s="1310"/>
    </row>
    <row r="322" spans="1:5" ht="60">
      <c r="A322" s="1305" t="s">
        <v>1699</v>
      </c>
      <c r="B322" s="1307" t="s">
        <v>2792</v>
      </c>
      <c r="C322" s="201" t="s">
        <v>1299</v>
      </c>
      <c r="E322" s="1310"/>
    </row>
    <row r="323" spans="1:5">
      <c r="A323" s="1305"/>
      <c r="B323" s="1307"/>
      <c r="C323" s="201"/>
      <c r="E323" s="1310"/>
    </row>
    <row r="324" spans="1:5" ht="75">
      <c r="A324" s="1305" t="s">
        <v>1701</v>
      </c>
      <c r="B324" s="1307" t="s">
        <v>2793</v>
      </c>
      <c r="C324" s="201" t="s">
        <v>1299</v>
      </c>
      <c r="E324" s="1310"/>
    </row>
    <row r="325" spans="1:5">
      <c r="A325" s="1305"/>
      <c r="B325" s="1307"/>
      <c r="C325" s="201"/>
      <c r="E325" s="1310"/>
    </row>
    <row r="326" spans="1:5">
      <c r="A326" s="1305" t="s">
        <v>1703</v>
      </c>
      <c r="B326" s="1307" t="s">
        <v>2794</v>
      </c>
      <c r="C326" s="201" t="s">
        <v>1299</v>
      </c>
      <c r="E326" s="1310"/>
    </row>
    <row r="327" spans="1:5">
      <c r="A327" s="1305"/>
      <c r="B327" s="1307"/>
      <c r="C327" s="201"/>
      <c r="E327" s="1310"/>
    </row>
    <row r="328" spans="1:5">
      <c r="A328" s="1305"/>
      <c r="B328" s="1308" t="s">
        <v>2795</v>
      </c>
      <c r="C328" s="201"/>
      <c r="E328" s="1310"/>
    </row>
    <row r="329" spans="1:5">
      <c r="A329" s="1305"/>
      <c r="B329" s="1307"/>
      <c r="C329" s="201"/>
      <c r="E329" s="1310"/>
    </row>
    <row r="330" spans="1:5" ht="75">
      <c r="A330" s="1305"/>
      <c r="B330" s="1307" t="s">
        <v>2796</v>
      </c>
      <c r="C330" s="201"/>
      <c r="E330" s="1310"/>
    </row>
    <row r="331" spans="1:5">
      <c r="A331" s="1305"/>
      <c r="B331" s="1307"/>
      <c r="C331" s="201"/>
      <c r="E331" s="1310"/>
    </row>
    <row r="332" spans="1:5" ht="60">
      <c r="A332" s="1305" t="s">
        <v>1686</v>
      </c>
      <c r="B332" s="1307" t="s">
        <v>2797</v>
      </c>
      <c r="C332" s="201" t="s">
        <v>1299</v>
      </c>
      <c r="E332" s="1310"/>
    </row>
    <row r="333" spans="1:5">
      <c r="A333" s="1305"/>
      <c r="B333" s="1307"/>
      <c r="C333" s="201"/>
      <c r="E333" s="1310"/>
    </row>
    <row r="334" spans="1:5">
      <c r="A334" s="1305"/>
      <c r="B334" s="1308" t="s">
        <v>2791</v>
      </c>
      <c r="C334" s="201"/>
      <c r="E334" s="1310"/>
    </row>
    <row r="335" spans="1:5">
      <c r="A335" s="1305"/>
      <c r="B335" s="1307"/>
      <c r="C335" s="201"/>
      <c r="E335" s="1310"/>
    </row>
    <row r="336" spans="1:5" ht="90">
      <c r="A336" s="1305" t="s">
        <v>1688</v>
      </c>
      <c r="B336" s="1307" t="s">
        <v>2798</v>
      </c>
      <c r="C336" s="201" t="s">
        <v>1299</v>
      </c>
      <c r="E336" s="1310"/>
    </row>
    <row r="337" spans="1:5">
      <c r="A337" s="1305"/>
      <c r="B337" s="1307"/>
      <c r="C337" s="201"/>
      <c r="E337" s="1310"/>
    </row>
    <row r="338" spans="1:5" ht="60">
      <c r="A338" s="1305" t="s">
        <v>1691</v>
      </c>
      <c r="B338" s="1307" t="s">
        <v>2799</v>
      </c>
      <c r="C338" s="201" t="s">
        <v>1299</v>
      </c>
      <c r="E338" s="1310"/>
    </row>
    <row r="339" spans="1:5">
      <c r="A339" s="1305"/>
      <c r="B339" s="1307"/>
      <c r="C339" s="201"/>
      <c r="E339" s="1310"/>
    </row>
    <row r="340" spans="1:5" ht="75">
      <c r="A340" s="1305" t="s">
        <v>1693</v>
      </c>
      <c r="B340" s="1307" t="s">
        <v>2800</v>
      </c>
      <c r="C340" s="201" t="s">
        <v>1299</v>
      </c>
      <c r="E340" s="1310"/>
    </row>
    <row r="341" spans="1:5">
      <c r="A341" s="1305"/>
      <c r="B341" s="1307"/>
      <c r="C341" s="201"/>
      <c r="E341" s="1310"/>
    </row>
    <row r="342" spans="1:5" ht="45">
      <c r="A342" s="1305" t="s">
        <v>1686</v>
      </c>
      <c r="B342" s="1307" t="s">
        <v>2801</v>
      </c>
      <c r="C342" s="201" t="s">
        <v>1293</v>
      </c>
      <c r="E342" s="1310"/>
    </row>
    <row r="343" spans="1:5">
      <c r="A343" s="1305"/>
      <c r="B343" s="1307"/>
      <c r="C343" s="201"/>
      <c r="E343" s="1310"/>
    </row>
    <row r="344" spans="1:5">
      <c r="A344" s="1305"/>
      <c r="B344" s="1306" t="s">
        <v>2802</v>
      </c>
      <c r="C344" s="201"/>
      <c r="E344" s="1310"/>
    </row>
    <row r="345" spans="1:5">
      <c r="A345" s="1305"/>
      <c r="B345" s="1307"/>
      <c r="C345" s="201"/>
      <c r="E345" s="1310"/>
    </row>
    <row r="346" spans="1:5">
      <c r="A346" s="1305"/>
      <c r="B346" s="1308" t="s">
        <v>2803</v>
      </c>
      <c r="C346" s="201"/>
      <c r="E346" s="1310"/>
    </row>
    <row r="347" spans="1:5">
      <c r="A347" s="1305"/>
      <c r="B347" s="1307"/>
      <c r="C347" s="201"/>
      <c r="E347" s="1310"/>
    </row>
    <row r="348" spans="1:5" ht="60">
      <c r="A348" s="1305" t="s">
        <v>1688</v>
      </c>
      <c r="B348" s="1307" t="s">
        <v>2804</v>
      </c>
      <c r="C348" s="201" t="s">
        <v>1299</v>
      </c>
      <c r="E348" s="1310"/>
    </row>
    <row r="349" spans="1:5">
      <c r="A349" s="1305"/>
      <c r="B349" s="1307"/>
      <c r="C349" s="201"/>
      <c r="E349" s="1310"/>
    </row>
    <row r="350" spans="1:5">
      <c r="A350" s="1305"/>
      <c r="B350" s="1308" t="s">
        <v>2805</v>
      </c>
      <c r="C350" s="201"/>
      <c r="E350" s="1310"/>
    </row>
    <row r="351" spans="1:5">
      <c r="A351" s="1305"/>
      <c r="B351" s="1307"/>
      <c r="C351" s="201"/>
      <c r="E351" s="1310"/>
    </row>
    <row r="352" spans="1:5" ht="45">
      <c r="A352" s="1305" t="s">
        <v>1691</v>
      </c>
      <c r="B352" s="1307" t="s">
        <v>2806</v>
      </c>
      <c r="C352" s="201" t="s">
        <v>2659</v>
      </c>
      <c r="E352" s="1310"/>
    </row>
    <row r="353" spans="1:5">
      <c r="A353" s="1305"/>
      <c r="B353" s="1307"/>
      <c r="C353" s="201"/>
      <c r="E353" s="1310"/>
    </row>
    <row r="354" spans="1:5" ht="60">
      <c r="A354" s="1305" t="s">
        <v>1693</v>
      </c>
      <c r="B354" s="1307" t="s">
        <v>2807</v>
      </c>
      <c r="C354" s="201" t="s">
        <v>2659</v>
      </c>
      <c r="E354" s="1310"/>
    </row>
    <row r="355" spans="1:5">
      <c r="A355" s="1305"/>
      <c r="B355" s="1307"/>
      <c r="C355" s="201"/>
      <c r="E355" s="1310"/>
    </row>
    <row r="356" spans="1:5">
      <c r="A356" s="1305"/>
      <c r="B356" s="1306" t="s">
        <v>2808</v>
      </c>
      <c r="C356" s="201"/>
      <c r="E356" s="1310"/>
    </row>
    <row r="357" spans="1:5">
      <c r="A357" s="1305"/>
      <c r="B357" s="1307"/>
      <c r="C357" s="201"/>
      <c r="E357" s="1310"/>
    </row>
    <row r="358" spans="1:5">
      <c r="A358" s="1305"/>
      <c r="B358" s="1306" t="s">
        <v>2809</v>
      </c>
      <c r="C358" s="201"/>
      <c r="E358" s="1310"/>
    </row>
    <row r="359" spans="1:5">
      <c r="A359" s="1305"/>
      <c r="B359" s="1307"/>
      <c r="C359" s="201"/>
      <c r="E359" s="1310"/>
    </row>
    <row r="360" spans="1:5">
      <c r="A360" s="1305"/>
      <c r="B360" s="1308" t="s">
        <v>2773</v>
      </c>
      <c r="C360" s="201"/>
      <c r="E360" s="1310"/>
    </row>
    <row r="361" spans="1:5">
      <c r="A361" s="1305"/>
      <c r="B361" s="1307"/>
      <c r="C361" s="201"/>
      <c r="E361" s="1310"/>
    </row>
    <row r="362" spans="1:5" ht="51.75">
      <c r="A362" s="1305"/>
      <c r="B362" s="1309" t="s">
        <v>2810</v>
      </c>
      <c r="C362" s="201"/>
      <c r="E362" s="1310"/>
    </row>
    <row r="363" spans="1:5">
      <c r="A363" s="1305"/>
      <c r="B363" s="1307"/>
      <c r="C363" s="201"/>
      <c r="E363" s="1310"/>
    </row>
    <row r="364" spans="1:5">
      <c r="A364" s="1305" t="s">
        <v>1686</v>
      </c>
      <c r="B364" s="1307" t="s">
        <v>2811</v>
      </c>
      <c r="C364" s="201" t="s">
        <v>215</v>
      </c>
      <c r="E364" s="1310"/>
    </row>
    <row r="365" spans="1:5">
      <c r="A365" s="1305"/>
      <c r="B365" s="1307"/>
      <c r="C365" s="201"/>
      <c r="E365" s="1310"/>
    </row>
    <row r="366" spans="1:5">
      <c r="A366" s="1305" t="s">
        <v>1688</v>
      </c>
      <c r="B366" s="1307" t="s">
        <v>2812</v>
      </c>
      <c r="C366" s="201" t="s">
        <v>215</v>
      </c>
      <c r="E366" s="1310"/>
    </row>
    <row r="367" spans="1:5">
      <c r="A367" s="1305"/>
      <c r="B367" s="1307"/>
      <c r="C367" s="201"/>
      <c r="E367" s="1310"/>
    </row>
    <row r="368" spans="1:5" ht="75">
      <c r="A368" s="1305"/>
      <c r="B368" s="1307" t="s">
        <v>2813</v>
      </c>
      <c r="C368" s="201"/>
      <c r="E368" s="1310"/>
    </row>
    <row r="369" spans="1:5">
      <c r="A369" s="1305"/>
      <c r="B369" s="1307"/>
      <c r="C369" s="201"/>
      <c r="E369" s="1310"/>
    </row>
    <row r="370" spans="1:5">
      <c r="A370" s="1305" t="s">
        <v>1691</v>
      </c>
      <c r="B370" s="1307" t="s">
        <v>2811</v>
      </c>
      <c r="C370" s="201" t="s">
        <v>215</v>
      </c>
      <c r="E370" s="1310"/>
    </row>
    <row r="371" spans="1:5">
      <c r="A371" s="1305"/>
      <c r="B371" s="1307"/>
      <c r="C371" s="201"/>
      <c r="E371" s="1310"/>
    </row>
    <row r="372" spans="1:5">
      <c r="A372" s="1305" t="s">
        <v>1693</v>
      </c>
      <c r="B372" s="1307" t="s">
        <v>2812</v>
      </c>
      <c r="C372" s="201" t="s">
        <v>215</v>
      </c>
      <c r="E372" s="1310"/>
    </row>
    <row r="373" spans="1:5">
      <c r="A373" s="1305"/>
      <c r="B373" s="1307"/>
      <c r="C373" s="201"/>
      <c r="E373" s="1310"/>
    </row>
    <row r="374" spans="1:5" ht="75">
      <c r="A374" s="1305"/>
      <c r="B374" s="1307" t="s">
        <v>2814</v>
      </c>
      <c r="C374" s="201"/>
      <c r="E374" s="1310"/>
    </row>
    <row r="375" spans="1:5">
      <c r="A375" s="1305"/>
      <c r="B375" s="1307"/>
      <c r="C375" s="201"/>
      <c r="E375" s="1310"/>
    </row>
    <row r="376" spans="1:5">
      <c r="A376" s="1305" t="s">
        <v>1686</v>
      </c>
      <c r="B376" s="1307" t="s">
        <v>2812</v>
      </c>
      <c r="C376" s="201" t="s">
        <v>215</v>
      </c>
      <c r="E376" s="1310"/>
    </row>
    <row r="377" spans="1:5">
      <c r="A377" s="1305"/>
      <c r="B377" s="1307"/>
      <c r="C377" s="201"/>
      <c r="E377" s="1310"/>
    </row>
    <row r="378" spans="1:5">
      <c r="A378" s="1305"/>
      <c r="B378" s="1309" t="s">
        <v>2815</v>
      </c>
      <c r="C378" s="201"/>
      <c r="E378" s="1310"/>
    </row>
    <row r="379" spans="1:5">
      <c r="A379" s="1305"/>
      <c r="B379" s="1307"/>
      <c r="C379" s="201"/>
      <c r="E379" s="1310"/>
    </row>
    <row r="380" spans="1:5">
      <c r="A380" s="1305" t="s">
        <v>1688</v>
      </c>
      <c r="B380" s="1307" t="s">
        <v>2816</v>
      </c>
      <c r="C380" s="201" t="s">
        <v>1299</v>
      </c>
      <c r="E380" s="1310"/>
    </row>
    <row r="381" spans="1:5">
      <c r="A381" s="1305"/>
      <c r="B381" s="1307"/>
      <c r="C381" s="201"/>
      <c r="E381" s="1310"/>
    </row>
    <row r="382" spans="1:5">
      <c r="A382" s="1305" t="s">
        <v>1691</v>
      </c>
      <c r="B382" s="1307" t="s">
        <v>2817</v>
      </c>
      <c r="C382" s="201" t="s">
        <v>1299</v>
      </c>
      <c r="E382" s="1310"/>
    </row>
    <row r="383" spans="1:5">
      <c r="A383" s="1305"/>
      <c r="B383" s="1307"/>
      <c r="C383" s="201"/>
      <c r="E383" s="1310"/>
    </row>
    <row r="384" spans="1:5" ht="30">
      <c r="A384" s="1305" t="s">
        <v>1693</v>
      </c>
      <c r="B384" s="1307" t="s">
        <v>2818</v>
      </c>
      <c r="C384" s="201" t="s">
        <v>1299</v>
      </c>
      <c r="E384" s="1310"/>
    </row>
    <row r="385" spans="1:5">
      <c r="A385" s="1305"/>
      <c r="B385" s="1307"/>
      <c r="C385" s="201"/>
      <c r="E385" s="1310"/>
    </row>
    <row r="386" spans="1:5">
      <c r="A386" s="1305"/>
      <c r="B386" s="1308" t="s">
        <v>2819</v>
      </c>
      <c r="C386" s="201"/>
      <c r="E386" s="1310"/>
    </row>
    <row r="387" spans="1:5">
      <c r="A387" s="1305"/>
      <c r="B387" s="1307"/>
      <c r="C387" s="201"/>
      <c r="E387" s="1310"/>
    </row>
    <row r="388" spans="1:5">
      <c r="A388" s="1305"/>
      <c r="B388" s="1307" t="s">
        <v>2820</v>
      </c>
      <c r="C388" s="201"/>
      <c r="E388" s="1310"/>
    </row>
    <row r="389" spans="1:5">
      <c r="A389" s="1305"/>
      <c r="B389" s="1307"/>
      <c r="C389" s="201"/>
      <c r="E389" s="1310"/>
    </row>
    <row r="390" spans="1:5">
      <c r="A390" s="1305" t="s">
        <v>1695</v>
      </c>
      <c r="B390" s="1307" t="s">
        <v>2821</v>
      </c>
      <c r="C390" s="201" t="s">
        <v>1299</v>
      </c>
      <c r="E390" s="1310"/>
    </row>
    <row r="391" spans="1:5">
      <c r="A391" s="1305"/>
      <c r="B391" s="1307"/>
      <c r="C391" s="201"/>
      <c r="E391" s="1310"/>
    </row>
    <row r="392" spans="1:5" ht="30">
      <c r="A392" s="1305" t="s">
        <v>1697</v>
      </c>
      <c r="B392" s="1307" t="s">
        <v>2822</v>
      </c>
      <c r="C392" s="201" t="s">
        <v>1299</v>
      </c>
      <c r="E392" s="1310"/>
    </row>
    <row r="393" spans="1:5">
      <c r="A393" s="1305"/>
      <c r="B393" s="1307"/>
      <c r="C393" s="201"/>
      <c r="E393" s="1310"/>
    </row>
    <row r="394" spans="1:5">
      <c r="A394" s="1305" t="s">
        <v>1699</v>
      </c>
      <c r="B394" s="1307" t="s">
        <v>2823</v>
      </c>
      <c r="C394" s="201" t="s">
        <v>1299</v>
      </c>
      <c r="E394" s="1310"/>
    </row>
    <row r="395" spans="1:5">
      <c r="A395" s="1305"/>
      <c r="B395" s="1307"/>
      <c r="C395" s="201"/>
      <c r="E395" s="1310"/>
    </row>
    <row r="396" spans="1:5" ht="26.25">
      <c r="A396" s="1305"/>
      <c r="B396" s="1309" t="s">
        <v>2824</v>
      </c>
      <c r="C396" s="201"/>
      <c r="E396" s="1310"/>
    </row>
    <row r="397" spans="1:5">
      <c r="A397" s="1305"/>
      <c r="B397" s="1307"/>
      <c r="C397" s="201"/>
      <c r="E397" s="1310"/>
    </row>
    <row r="398" spans="1:5" ht="30">
      <c r="A398" s="1305" t="s">
        <v>1701</v>
      </c>
      <c r="B398" s="1307" t="s">
        <v>2825</v>
      </c>
      <c r="C398" s="201" t="s">
        <v>1293</v>
      </c>
      <c r="E398" s="1310"/>
    </row>
    <row r="399" spans="1:5">
      <c r="A399" s="1305"/>
      <c r="B399" s="1307"/>
      <c r="C399" s="201"/>
      <c r="E399" s="1310"/>
    </row>
    <row r="400" spans="1:5" ht="30">
      <c r="A400" s="1305" t="s">
        <v>1703</v>
      </c>
      <c r="B400" s="1307" t="s">
        <v>2826</v>
      </c>
      <c r="C400" s="201" t="s">
        <v>1293</v>
      </c>
      <c r="E400" s="1310"/>
    </row>
    <row r="401" spans="1:5">
      <c r="A401" s="1305"/>
      <c r="B401" s="1307"/>
      <c r="C401" s="201"/>
      <c r="E401" s="1310"/>
    </row>
    <row r="402" spans="1:5" ht="26.25">
      <c r="A402" s="1305"/>
      <c r="B402" s="1309" t="s">
        <v>2827</v>
      </c>
      <c r="C402" s="201"/>
      <c r="E402" s="1310"/>
    </row>
    <row r="403" spans="1:5">
      <c r="A403" s="1305"/>
      <c r="B403" s="1307"/>
      <c r="C403" s="201"/>
      <c r="E403" s="1310"/>
    </row>
    <row r="404" spans="1:5" ht="30">
      <c r="A404" s="1305" t="s">
        <v>1686</v>
      </c>
      <c r="B404" s="1307" t="s">
        <v>2828</v>
      </c>
      <c r="C404" s="201" t="s">
        <v>217</v>
      </c>
      <c r="E404" s="1310"/>
    </row>
    <row r="405" spans="1:5">
      <c r="A405" s="1305"/>
      <c r="B405" s="1307"/>
      <c r="C405" s="201"/>
      <c r="E405" s="1310"/>
    </row>
    <row r="406" spans="1:5" ht="30">
      <c r="A406" s="1305" t="s">
        <v>1688</v>
      </c>
      <c r="B406" s="1307" t="s">
        <v>2829</v>
      </c>
      <c r="C406" s="201" t="s">
        <v>2688</v>
      </c>
      <c r="E406" s="1310"/>
    </row>
    <row r="407" spans="1:5">
      <c r="A407" s="1305"/>
      <c r="B407" s="1307"/>
      <c r="C407" s="201"/>
      <c r="E407" s="1310"/>
    </row>
    <row r="408" spans="1:5">
      <c r="A408" s="1305" t="s">
        <v>1691</v>
      </c>
      <c r="B408" s="1307" t="s">
        <v>2830</v>
      </c>
      <c r="C408" s="201" t="s">
        <v>2659</v>
      </c>
      <c r="E408" s="1310"/>
    </row>
    <row r="409" spans="1:5">
      <c r="A409" s="1305"/>
      <c r="B409" s="1307"/>
      <c r="C409" s="201"/>
      <c r="E409" s="1310"/>
    </row>
    <row r="410" spans="1:5">
      <c r="A410" s="1305"/>
      <c r="B410" s="1308" t="s">
        <v>2759</v>
      </c>
      <c r="C410" s="201"/>
      <c r="E410" s="1310"/>
    </row>
    <row r="411" spans="1:5">
      <c r="A411" s="1305"/>
      <c r="B411" s="1307"/>
      <c r="C411" s="201"/>
      <c r="E411" s="1310"/>
    </row>
    <row r="412" spans="1:5">
      <c r="A412" s="1305"/>
      <c r="B412" s="1308" t="s">
        <v>2831</v>
      </c>
      <c r="C412" s="201"/>
      <c r="E412" s="1310"/>
    </row>
    <row r="413" spans="1:5">
      <c r="A413" s="1305"/>
      <c r="B413" s="1307"/>
      <c r="C413" s="201"/>
      <c r="E413" s="1310"/>
    </row>
    <row r="414" spans="1:5" ht="90">
      <c r="A414" s="1305" t="s">
        <v>1693</v>
      </c>
      <c r="B414" s="1307" t="s">
        <v>2832</v>
      </c>
      <c r="C414" s="201" t="s">
        <v>2659</v>
      </c>
      <c r="E414" s="1310"/>
    </row>
    <row r="415" spans="1:5">
      <c r="A415" s="1305"/>
      <c r="B415" s="1307"/>
      <c r="C415" s="201"/>
      <c r="E415" s="1310"/>
    </row>
    <row r="416" spans="1:5">
      <c r="A416" s="1305" t="s">
        <v>1695</v>
      </c>
      <c r="B416" s="1307" t="s">
        <v>2833</v>
      </c>
      <c r="C416" s="201" t="s">
        <v>2688</v>
      </c>
      <c r="E416" s="1310"/>
    </row>
    <row r="417" spans="1:5">
      <c r="A417" s="1305"/>
      <c r="B417" s="1307"/>
      <c r="C417" s="201"/>
      <c r="E417" s="1310"/>
    </row>
    <row r="418" spans="1:5" ht="30">
      <c r="A418" s="1305" t="s">
        <v>1697</v>
      </c>
      <c r="B418" s="1307" t="s">
        <v>2834</v>
      </c>
      <c r="C418" s="201" t="s">
        <v>1299</v>
      </c>
      <c r="E418" s="1310"/>
    </row>
    <row r="419" spans="1:5">
      <c r="A419" s="1305"/>
      <c r="B419" s="1307"/>
      <c r="C419" s="201"/>
      <c r="E419" s="1310"/>
    </row>
    <row r="420" spans="1:5">
      <c r="A420" s="1305"/>
      <c r="B420" s="1307" t="s">
        <v>2835</v>
      </c>
      <c r="C420" s="201"/>
      <c r="E420" s="1310"/>
    </row>
    <row r="421" spans="1:5">
      <c r="A421" s="1305"/>
      <c r="B421" s="1307"/>
      <c r="C421" s="201"/>
      <c r="E421" s="1310"/>
    </row>
    <row r="422" spans="1:5" ht="30">
      <c r="A422" s="1305" t="s">
        <v>1686</v>
      </c>
      <c r="B422" s="1307" t="s">
        <v>2836</v>
      </c>
      <c r="C422" s="201" t="s">
        <v>1299</v>
      </c>
      <c r="E422" s="1310"/>
    </row>
    <row r="423" spans="1:5">
      <c r="A423" s="1305"/>
      <c r="B423" s="1307"/>
      <c r="C423" s="201"/>
      <c r="E423" s="1310"/>
    </row>
    <row r="424" spans="1:5" ht="30">
      <c r="A424" s="1305" t="s">
        <v>1688</v>
      </c>
      <c r="B424" s="1307" t="s">
        <v>2837</v>
      </c>
      <c r="C424" s="201" t="s">
        <v>1293</v>
      </c>
      <c r="E424" s="1310"/>
    </row>
    <row r="425" spans="1:5">
      <c r="A425" s="1305"/>
      <c r="B425" s="1307"/>
      <c r="C425" s="201"/>
      <c r="E425" s="1310"/>
    </row>
    <row r="426" spans="1:5">
      <c r="A426" s="1305"/>
      <c r="B426" s="1309" t="s">
        <v>2838</v>
      </c>
      <c r="C426" s="201"/>
      <c r="E426" s="1310"/>
    </row>
    <row r="427" spans="1:5">
      <c r="A427" s="1305"/>
      <c r="B427" s="1307"/>
      <c r="C427" s="201"/>
      <c r="E427" s="1310"/>
    </row>
    <row r="428" spans="1:5">
      <c r="A428" s="1305" t="s">
        <v>1691</v>
      </c>
      <c r="B428" s="1307" t="s">
        <v>2839</v>
      </c>
      <c r="C428" s="201" t="s">
        <v>217</v>
      </c>
      <c r="E428" s="1310"/>
    </row>
    <row r="429" spans="1:5">
      <c r="A429" s="1305"/>
      <c r="B429" s="1307"/>
      <c r="C429" s="201"/>
      <c r="E429" s="1310"/>
    </row>
    <row r="430" spans="1:5">
      <c r="A430" s="1305" t="s">
        <v>1693</v>
      </c>
      <c r="B430" s="1307" t="s">
        <v>2840</v>
      </c>
      <c r="C430" s="201" t="s">
        <v>217</v>
      </c>
      <c r="E430" s="1310"/>
    </row>
    <row r="431" spans="1:5">
      <c r="A431" s="1305"/>
      <c r="B431" s="1307"/>
      <c r="C431" s="201"/>
      <c r="E431" s="1310"/>
    </row>
    <row r="432" spans="1:5">
      <c r="A432" s="1305" t="s">
        <v>1695</v>
      </c>
      <c r="B432" s="1307" t="s">
        <v>2841</v>
      </c>
      <c r="C432" s="201" t="s">
        <v>217</v>
      </c>
      <c r="E432" s="1310"/>
    </row>
    <row r="433" spans="1:5">
      <c r="A433" s="1305"/>
      <c r="B433" s="1307"/>
      <c r="C433" s="201"/>
      <c r="E433" s="1310"/>
    </row>
    <row r="434" spans="1:5" ht="39">
      <c r="A434" s="1305"/>
      <c r="B434" s="1309" t="s">
        <v>2842</v>
      </c>
      <c r="C434" s="201"/>
      <c r="E434" s="1310"/>
    </row>
    <row r="435" spans="1:5">
      <c r="A435" s="1305"/>
      <c r="B435" s="1307"/>
      <c r="C435" s="201"/>
      <c r="E435" s="1310"/>
    </row>
    <row r="436" spans="1:5">
      <c r="A436" s="1305" t="s">
        <v>1697</v>
      </c>
      <c r="B436" s="1307" t="s">
        <v>2843</v>
      </c>
      <c r="C436" s="201" t="s">
        <v>215</v>
      </c>
      <c r="E436" s="1310"/>
    </row>
    <row r="437" spans="1:5">
      <c r="A437" s="1305"/>
      <c r="B437" s="1307"/>
      <c r="C437" s="201"/>
      <c r="E437" s="1310"/>
    </row>
    <row r="438" spans="1:5">
      <c r="A438" s="1305" t="s">
        <v>1699</v>
      </c>
      <c r="B438" s="1307" t="s">
        <v>2844</v>
      </c>
      <c r="C438" s="201" t="s">
        <v>215</v>
      </c>
      <c r="E438" s="1310"/>
    </row>
    <row r="439" spans="1:5">
      <c r="A439" s="1305"/>
      <c r="B439" s="1307"/>
      <c r="C439" s="201"/>
      <c r="E439" s="1310"/>
    </row>
    <row r="440" spans="1:5">
      <c r="A440" s="1305" t="s">
        <v>1701</v>
      </c>
      <c r="B440" s="1307" t="s">
        <v>2845</v>
      </c>
      <c r="C440" s="201" t="s">
        <v>215</v>
      </c>
      <c r="E440" s="1310"/>
    </row>
    <row r="441" spans="1:5">
      <c r="A441" s="1305"/>
      <c r="B441" s="1307"/>
      <c r="C441" s="201"/>
      <c r="E441" s="1310"/>
    </row>
    <row r="442" spans="1:5">
      <c r="A442" s="1305"/>
      <c r="B442" s="1308" t="s">
        <v>2846</v>
      </c>
      <c r="C442" s="201"/>
      <c r="E442" s="1310"/>
    </row>
    <row r="443" spans="1:5">
      <c r="A443" s="1305"/>
      <c r="B443" s="1307"/>
      <c r="C443" s="201"/>
      <c r="E443" s="1310"/>
    </row>
    <row r="444" spans="1:5">
      <c r="A444" s="1305"/>
      <c r="B444" s="1308" t="s">
        <v>2847</v>
      </c>
      <c r="C444" s="201"/>
      <c r="E444" s="1310"/>
    </row>
    <row r="445" spans="1:5">
      <c r="A445" s="1305"/>
      <c r="B445" s="1307"/>
      <c r="C445" s="201"/>
      <c r="E445" s="1310"/>
    </row>
    <row r="446" spans="1:5" ht="45">
      <c r="A446" s="1305" t="s">
        <v>1703</v>
      </c>
      <c r="B446" s="1307" t="s">
        <v>2848</v>
      </c>
      <c r="C446" s="201" t="s">
        <v>1293</v>
      </c>
      <c r="E446" s="1310"/>
    </row>
    <row r="447" spans="1:5">
      <c r="A447" s="1305"/>
      <c r="B447" s="1307"/>
      <c r="C447" s="201"/>
      <c r="E447" s="1310"/>
    </row>
    <row r="448" spans="1:5">
      <c r="A448" s="1305" t="s">
        <v>1686</v>
      </c>
      <c r="B448" s="1307" t="s">
        <v>2849</v>
      </c>
      <c r="C448" s="201" t="s">
        <v>1299</v>
      </c>
      <c r="E448" s="1310"/>
    </row>
    <row r="449" spans="1:5">
      <c r="A449" s="1305"/>
      <c r="B449" s="1307"/>
      <c r="C449" s="201"/>
      <c r="E449" s="1310"/>
    </row>
    <row r="450" spans="1:5" ht="30">
      <c r="A450" s="1305" t="s">
        <v>1688</v>
      </c>
      <c r="B450" s="1307" t="s">
        <v>2850</v>
      </c>
      <c r="C450" s="201" t="s">
        <v>1293</v>
      </c>
      <c r="E450" s="1310"/>
    </row>
    <row r="451" spans="1:5">
      <c r="A451" s="1305"/>
      <c r="B451" s="1307"/>
      <c r="C451" s="201"/>
      <c r="E451" s="1310"/>
    </row>
    <row r="452" spans="1:5">
      <c r="A452" s="1305"/>
      <c r="B452" s="1306" t="s">
        <v>2851</v>
      </c>
      <c r="C452" s="201"/>
      <c r="E452" s="1310"/>
    </row>
    <row r="453" spans="1:5">
      <c r="A453" s="1305"/>
      <c r="B453" s="1307"/>
      <c r="C453" s="201"/>
      <c r="E453" s="1310"/>
    </row>
    <row r="454" spans="1:5" ht="30">
      <c r="A454" s="1305"/>
      <c r="B454" s="1307" t="s">
        <v>2852</v>
      </c>
      <c r="C454" s="201"/>
      <c r="E454" s="1310"/>
    </row>
    <row r="455" spans="1:5">
      <c r="A455" s="1305"/>
      <c r="B455" s="1307"/>
      <c r="C455" s="201"/>
      <c r="E455" s="1310"/>
    </row>
    <row r="456" spans="1:5">
      <c r="A456" s="1305" t="s">
        <v>1686</v>
      </c>
      <c r="B456" s="1307" t="s">
        <v>2853</v>
      </c>
      <c r="C456" s="201" t="s">
        <v>1299</v>
      </c>
      <c r="E456" s="1310"/>
    </row>
    <row r="457" spans="1:5">
      <c r="A457" s="1305"/>
      <c r="B457" s="1307"/>
      <c r="C457" s="201"/>
      <c r="E457" s="1310"/>
    </row>
    <row r="458" spans="1:5">
      <c r="A458" s="1305" t="s">
        <v>1688</v>
      </c>
      <c r="B458" s="1307" t="s">
        <v>2854</v>
      </c>
      <c r="C458" s="201" t="s">
        <v>1299</v>
      </c>
      <c r="E458" s="1310"/>
    </row>
    <row r="459" spans="1:5">
      <c r="A459" s="1305"/>
      <c r="B459" s="1307"/>
      <c r="C459" s="201"/>
      <c r="E459" s="1310"/>
    </row>
    <row r="460" spans="1:5">
      <c r="A460" s="1305"/>
      <c r="B460" s="1307" t="s">
        <v>2855</v>
      </c>
      <c r="C460" s="201"/>
      <c r="E460" s="1310"/>
    </row>
    <row r="461" spans="1:5">
      <c r="A461" s="1305"/>
      <c r="B461" s="1307"/>
      <c r="C461" s="201"/>
      <c r="E461" s="1310"/>
    </row>
    <row r="462" spans="1:5">
      <c r="A462" s="1305"/>
      <c r="B462" s="1309" t="s">
        <v>2856</v>
      </c>
      <c r="C462" s="201"/>
      <c r="E462" s="1310"/>
    </row>
    <row r="463" spans="1:5">
      <c r="A463" s="1305"/>
      <c r="B463" s="1307"/>
      <c r="C463" s="201"/>
      <c r="E463" s="1310"/>
    </row>
    <row r="464" spans="1:5">
      <c r="A464" s="1305" t="s">
        <v>1691</v>
      </c>
      <c r="B464" s="1307" t="s">
        <v>2857</v>
      </c>
      <c r="C464" s="201" t="s">
        <v>1299</v>
      </c>
      <c r="E464" s="1310"/>
    </row>
    <row r="465" spans="1:5">
      <c r="A465" s="1305"/>
      <c r="B465" s="1307"/>
      <c r="C465" s="201"/>
      <c r="E465" s="1310"/>
    </row>
    <row r="466" spans="1:5">
      <c r="A466" s="1305" t="s">
        <v>1693</v>
      </c>
      <c r="B466" s="1307" t="s">
        <v>2858</v>
      </c>
      <c r="C466" s="201" t="s">
        <v>1299</v>
      </c>
      <c r="E466" s="1310"/>
    </row>
    <row r="467" spans="1:5">
      <c r="A467" s="1305"/>
      <c r="B467" s="1307"/>
      <c r="C467" s="201"/>
      <c r="E467" s="1310"/>
    </row>
    <row r="468" spans="1:5">
      <c r="A468" s="1305" t="s">
        <v>1695</v>
      </c>
      <c r="B468" s="1307" t="s">
        <v>2859</v>
      </c>
      <c r="C468" s="201" t="s">
        <v>1299</v>
      </c>
      <c r="E468" s="1310"/>
    </row>
    <row r="469" spans="1:5">
      <c r="A469" s="1305"/>
      <c r="B469" s="1307"/>
      <c r="C469" s="201"/>
      <c r="E469" s="1310"/>
    </row>
    <row r="470" spans="1:5">
      <c r="A470" s="1305"/>
      <c r="B470" s="1306" t="s">
        <v>2860</v>
      </c>
      <c r="C470" s="201"/>
      <c r="E470" s="1310"/>
    </row>
    <row r="471" spans="1:5">
      <c r="A471" s="1305"/>
      <c r="B471" s="1307"/>
      <c r="C471" s="201"/>
      <c r="E471" s="1310"/>
    </row>
    <row r="472" spans="1:5" ht="51.75">
      <c r="A472" s="1305"/>
      <c r="B472" s="1308" t="s">
        <v>2861</v>
      </c>
      <c r="C472" s="201"/>
      <c r="E472" s="1310"/>
    </row>
    <row r="473" spans="1:5">
      <c r="A473" s="1305"/>
      <c r="B473" s="1307"/>
      <c r="C473" s="201"/>
      <c r="E473" s="1310"/>
    </row>
    <row r="474" spans="1:5">
      <c r="A474" s="1305" t="s">
        <v>1697</v>
      </c>
      <c r="B474" s="1307" t="s">
        <v>2862</v>
      </c>
      <c r="C474" s="201" t="s">
        <v>215</v>
      </c>
      <c r="E474" s="1310"/>
    </row>
    <row r="475" spans="1:5">
      <c r="A475" s="1305"/>
      <c r="B475" s="1307"/>
      <c r="C475" s="201"/>
      <c r="E475" s="1310"/>
    </row>
    <row r="476" spans="1:5">
      <c r="A476" s="1305" t="s">
        <v>1699</v>
      </c>
      <c r="B476" s="1307" t="s">
        <v>2863</v>
      </c>
      <c r="C476" s="201" t="s">
        <v>215</v>
      </c>
      <c r="E476" s="1310"/>
    </row>
    <row r="477" spans="1:5">
      <c r="A477" s="1305"/>
      <c r="B477" s="1307"/>
      <c r="C477" s="201"/>
      <c r="E477" s="1310"/>
    </row>
    <row r="478" spans="1:5">
      <c r="A478" s="1305" t="s">
        <v>1701</v>
      </c>
      <c r="B478" s="1307" t="s">
        <v>2864</v>
      </c>
      <c r="C478" s="201" t="s">
        <v>215</v>
      </c>
      <c r="E478" s="1310"/>
    </row>
    <row r="479" spans="1:5">
      <c r="A479" s="1305"/>
      <c r="B479" s="1307"/>
      <c r="C479" s="201"/>
      <c r="E479" s="1310"/>
    </row>
    <row r="480" spans="1:5" ht="60">
      <c r="A480" s="1305" t="s">
        <v>1703</v>
      </c>
      <c r="B480" s="1307" t="s">
        <v>2865</v>
      </c>
      <c r="C480" s="201" t="s">
        <v>215</v>
      </c>
      <c r="E480" s="1310"/>
    </row>
    <row r="481" spans="1:5">
      <c r="A481" s="1305"/>
      <c r="B481" s="1307"/>
      <c r="C481" s="201"/>
      <c r="E481" s="1310"/>
    </row>
    <row r="482" spans="1:5" ht="60">
      <c r="A482" s="1305" t="s">
        <v>1686</v>
      </c>
      <c r="B482" s="1307" t="s">
        <v>2866</v>
      </c>
      <c r="C482" s="201" t="s">
        <v>215</v>
      </c>
      <c r="E482" s="1310"/>
    </row>
    <row r="483" spans="1:5">
      <c r="A483" s="1305"/>
      <c r="B483" s="1307"/>
      <c r="C483" s="201"/>
      <c r="E483" s="1310"/>
    </row>
    <row r="484" spans="1:5" ht="51.75">
      <c r="A484" s="1305"/>
      <c r="B484" s="1308" t="s">
        <v>2867</v>
      </c>
      <c r="C484" s="201"/>
      <c r="E484" s="1310"/>
    </row>
    <row r="485" spans="1:5">
      <c r="A485" s="1305"/>
      <c r="B485" s="1307"/>
      <c r="C485" s="201"/>
      <c r="E485" s="1310"/>
    </row>
    <row r="486" spans="1:5">
      <c r="A486" s="1305" t="s">
        <v>1688</v>
      </c>
      <c r="B486" s="1307" t="s">
        <v>2862</v>
      </c>
      <c r="C486" s="201" t="s">
        <v>215</v>
      </c>
      <c r="E486" s="1310"/>
    </row>
    <row r="487" spans="1:5">
      <c r="A487" s="1305"/>
      <c r="B487" s="1307"/>
      <c r="C487" s="201"/>
      <c r="E487" s="1310"/>
    </row>
    <row r="488" spans="1:5">
      <c r="A488" s="1305" t="s">
        <v>1691</v>
      </c>
      <c r="B488" s="1307" t="s">
        <v>2863</v>
      </c>
      <c r="C488" s="201" t="s">
        <v>215</v>
      </c>
      <c r="E488" s="1310"/>
    </row>
    <row r="489" spans="1:5">
      <c r="A489" s="1305"/>
      <c r="B489" s="1307"/>
      <c r="C489" s="201"/>
      <c r="E489" s="1310"/>
    </row>
    <row r="490" spans="1:5">
      <c r="A490" s="1305" t="s">
        <v>1693</v>
      </c>
      <c r="B490" s="1307" t="s">
        <v>2864</v>
      </c>
      <c r="C490" s="201" t="s">
        <v>215</v>
      </c>
      <c r="E490" s="1310"/>
    </row>
    <row r="491" spans="1:5">
      <c r="A491" s="1305"/>
      <c r="B491" s="1307"/>
      <c r="C491" s="201"/>
      <c r="E491" s="1310"/>
    </row>
    <row r="492" spans="1:5" ht="60">
      <c r="A492" s="1305" t="s">
        <v>1695</v>
      </c>
      <c r="B492" s="1307" t="s">
        <v>2865</v>
      </c>
      <c r="C492" s="201" t="s">
        <v>215</v>
      </c>
      <c r="E492" s="1310"/>
    </row>
    <row r="493" spans="1:5">
      <c r="A493" s="1305"/>
      <c r="B493" s="1307"/>
      <c r="C493" s="201"/>
      <c r="E493" s="1310"/>
    </row>
    <row r="494" spans="1:5" ht="60">
      <c r="A494" s="1305" t="s">
        <v>1697</v>
      </c>
      <c r="B494" s="1307" t="s">
        <v>2866</v>
      </c>
      <c r="C494" s="201" t="s">
        <v>215</v>
      </c>
      <c r="E494" s="1310"/>
    </row>
    <row r="495" spans="1:5">
      <c r="A495" s="1305"/>
      <c r="B495" s="1307"/>
      <c r="C495" s="201"/>
      <c r="E495" s="1310"/>
    </row>
    <row r="496" spans="1:5" ht="39">
      <c r="A496" s="1305"/>
      <c r="B496" s="1308" t="s">
        <v>2868</v>
      </c>
      <c r="C496" s="201"/>
      <c r="E496" s="1310"/>
    </row>
    <row r="497" spans="1:5">
      <c r="A497" s="1305"/>
      <c r="B497" s="1307"/>
      <c r="C497" s="201"/>
      <c r="E497" s="1310"/>
    </row>
    <row r="498" spans="1:5">
      <c r="A498" s="1305" t="s">
        <v>1699</v>
      </c>
      <c r="B498" s="1307" t="s">
        <v>2869</v>
      </c>
      <c r="C498" s="201" t="s">
        <v>215</v>
      </c>
      <c r="E498" s="1310"/>
    </row>
    <row r="499" spans="1:5">
      <c r="A499" s="1305"/>
      <c r="B499" s="1307"/>
      <c r="C499" s="201"/>
      <c r="E499" s="1310"/>
    </row>
    <row r="500" spans="1:5">
      <c r="A500" s="1305" t="s">
        <v>1701</v>
      </c>
      <c r="B500" s="1307" t="s">
        <v>2870</v>
      </c>
      <c r="C500" s="201" t="s">
        <v>215</v>
      </c>
      <c r="E500" s="1310"/>
    </row>
    <row r="501" spans="1:5">
      <c r="A501" s="1305"/>
      <c r="B501" s="1307"/>
      <c r="C501" s="201"/>
      <c r="E501" s="1310"/>
    </row>
    <row r="502" spans="1:5">
      <c r="A502" s="1305" t="s">
        <v>1686</v>
      </c>
      <c r="B502" s="1307" t="s">
        <v>2871</v>
      </c>
      <c r="C502" s="201" t="s">
        <v>215</v>
      </c>
      <c r="E502" s="1310"/>
    </row>
    <row r="503" spans="1:5">
      <c r="A503" s="1305"/>
      <c r="B503" s="1307"/>
      <c r="C503" s="201"/>
      <c r="E503" s="1310"/>
    </row>
    <row r="504" spans="1:5" ht="45">
      <c r="A504" s="1305" t="s">
        <v>1688</v>
      </c>
      <c r="B504" s="1307" t="s">
        <v>2872</v>
      </c>
      <c r="C504" s="201" t="s">
        <v>215</v>
      </c>
      <c r="E504" s="1310"/>
    </row>
    <row r="505" spans="1:5">
      <c r="A505" s="1305"/>
      <c r="B505" s="1307"/>
      <c r="C505" s="201"/>
      <c r="E505" s="1310"/>
    </row>
    <row r="506" spans="1:5" ht="75">
      <c r="A506" s="1305" t="s">
        <v>1691</v>
      </c>
      <c r="B506" s="1307" t="s">
        <v>2873</v>
      </c>
      <c r="C506" s="201" t="s">
        <v>215</v>
      </c>
      <c r="E506" s="1310"/>
    </row>
    <row r="507" spans="1:5">
      <c r="A507" s="1305"/>
      <c r="B507" s="1307"/>
      <c r="C507" s="201"/>
      <c r="E507" s="1310"/>
    </row>
    <row r="508" spans="1:5">
      <c r="A508" s="1305" t="s">
        <v>1693</v>
      </c>
      <c r="B508" s="1307" t="s">
        <v>2874</v>
      </c>
      <c r="C508" s="201" t="s">
        <v>215</v>
      </c>
      <c r="E508" s="1310"/>
    </row>
    <row r="509" spans="1:5">
      <c r="A509" s="1305"/>
      <c r="B509" s="1307"/>
      <c r="C509" s="201"/>
      <c r="E509" s="1310"/>
    </row>
    <row r="510" spans="1:5" ht="26.25">
      <c r="A510" s="1305"/>
      <c r="B510" s="1308" t="s">
        <v>2875</v>
      </c>
      <c r="C510" s="201"/>
      <c r="E510" s="1310"/>
    </row>
    <row r="511" spans="1:5">
      <c r="A511" s="1305"/>
      <c r="B511" s="1307"/>
      <c r="C511" s="201"/>
      <c r="E511" s="1310"/>
    </row>
    <row r="512" spans="1:5">
      <c r="A512" s="1305" t="s">
        <v>1695</v>
      </c>
      <c r="B512" s="1307" t="s">
        <v>2869</v>
      </c>
      <c r="C512" s="201" t="s">
        <v>215</v>
      </c>
      <c r="E512" s="1310"/>
    </row>
    <row r="513" spans="1:5">
      <c r="A513" s="1305"/>
      <c r="B513" s="1307"/>
      <c r="C513" s="201"/>
      <c r="E513" s="1310"/>
    </row>
    <row r="514" spans="1:5">
      <c r="A514" s="1305" t="s">
        <v>1697</v>
      </c>
      <c r="B514" s="1307" t="s">
        <v>2870</v>
      </c>
      <c r="C514" s="201" t="s">
        <v>215</v>
      </c>
      <c r="E514" s="1310"/>
    </row>
    <row r="515" spans="1:5">
      <c r="A515" s="1305"/>
      <c r="B515" s="1307"/>
      <c r="C515" s="201"/>
      <c r="E515" s="1310"/>
    </row>
    <row r="516" spans="1:5">
      <c r="A516" s="1305" t="s">
        <v>1699</v>
      </c>
      <c r="B516" s="1307" t="s">
        <v>2871</v>
      </c>
      <c r="C516" s="201" t="s">
        <v>215</v>
      </c>
      <c r="E516" s="1310"/>
    </row>
    <row r="517" spans="1:5">
      <c r="A517" s="1305"/>
      <c r="B517" s="1307"/>
      <c r="C517" s="201"/>
      <c r="E517" s="1310"/>
    </row>
    <row r="518" spans="1:5" ht="26.25">
      <c r="A518" s="1305"/>
      <c r="B518" s="1308" t="s">
        <v>2876</v>
      </c>
      <c r="C518" s="201"/>
      <c r="E518" s="1310"/>
    </row>
    <row r="519" spans="1:5">
      <c r="A519" s="1305"/>
      <c r="B519" s="1307"/>
      <c r="C519" s="201"/>
      <c r="E519" s="1310"/>
    </row>
    <row r="520" spans="1:5">
      <c r="A520" s="1305" t="s">
        <v>1701</v>
      </c>
      <c r="B520" s="1307" t="s">
        <v>2877</v>
      </c>
      <c r="C520" s="201" t="s">
        <v>215</v>
      </c>
      <c r="E520" s="1310"/>
    </row>
    <row r="521" spans="1:5">
      <c r="A521" s="1305"/>
      <c r="B521" s="1307"/>
      <c r="C521" s="201"/>
      <c r="E521" s="1310"/>
    </row>
    <row r="522" spans="1:5">
      <c r="A522" s="1305"/>
      <c r="B522" s="1309" t="s">
        <v>2878</v>
      </c>
      <c r="C522" s="201"/>
      <c r="E522" s="1310"/>
    </row>
    <row r="523" spans="1:5">
      <c r="A523" s="1305"/>
      <c r="B523" s="1307"/>
      <c r="C523" s="201"/>
      <c r="E523" s="1310"/>
    </row>
    <row r="524" spans="1:5">
      <c r="A524" s="1305" t="s">
        <v>1703</v>
      </c>
      <c r="B524" s="1307" t="s">
        <v>2879</v>
      </c>
      <c r="C524" s="201" t="s">
        <v>2659</v>
      </c>
      <c r="E524" s="1310"/>
    </row>
    <row r="525" spans="1:5">
      <c r="A525" s="1305"/>
      <c r="B525" s="1307"/>
      <c r="C525" s="201"/>
      <c r="E525" s="1310"/>
    </row>
    <row r="526" spans="1:5">
      <c r="A526" s="1305" t="s">
        <v>1706</v>
      </c>
      <c r="B526" s="1307" t="s">
        <v>2880</v>
      </c>
      <c r="C526" s="201" t="s">
        <v>2659</v>
      </c>
      <c r="E526" s="1310"/>
    </row>
    <row r="527" spans="1:5">
      <c r="A527" s="1305"/>
      <c r="B527" s="1307"/>
      <c r="C527" s="201"/>
      <c r="E527" s="1310"/>
    </row>
    <row r="528" spans="1:5">
      <c r="A528" s="1305"/>
      <c r="B528" s="1306" t="s">
        <v>2881</v>
      </c>
      <c r="C528" s="201"/>
      <c r="E528" s="1310"/>
    </row>
    <row r="529" spans="1:5">
      <c r="A529" s="1305"/>
      <c r="B529" s="1307"/>
      <c r="C529" s="201"/>
      <c r="E529" s="1310"/>
    </row>
    <row r="530" spans="1:5" ht="26.25">
      <c r="A530" s="1305"/>
      <c r="B530" s="1308" t="s">
        <v>2882</v>
      </c>
      <c r="C530" s="201"/>
      <c r="E530" s="1310"/>
    </row>
    <row r="531" spans="1:5">
      <c r="A531" s="1305"/>
      <c r="B531" s="1307"/>
      <c r="C531" s="201"/>
      <c r="E531" s="1310"/>
    </row>
    <row r="532" spans="1:5" ht="26.25">
      <c r="A532" s="1305"/>
      <c r="B532" s="1309" t="s">
        <v>2883</v>
      </c>
      <c r="C532" s="201"/>
      <c r="E532" s="1310"/>
    </row>
    <row r="533" spans="1:5">
      <c r="A533" s="1305"/>
      <c r="B533" s="1307"/>
      <c r="C533" s="201"/>
      <c r="E533" s="1310"/>
    </row>
    <row r="534" spans="1:5">
      <c r="A534" s="1305" t="s">
        <v>1686</v>
      </c>
      <c r="B534" s="1307" t="s">
        <v>2884</v>
      </c>
      <c r="C534" s="201" t="s">
        <v>217</v>
      </c>
      <c r="E534" s="1310"/>
    </row>
    <row r="535" spans="1:5">
      <c r="A535" s="1305"/>
      <c r="B535" s="1307"/>
      <c r="C535" s="201"/>
      <c r="E535" s="1310"/>
    </row>
    <row r="536" spans="1:5">
      <c r="A536" s="1305" t="s">
        <v>1688</v>
      </c>
      <c r="B536" s="1307" t="s">
        <v>2885</v>
      </c>
      <c r="C536" s="201" t="s">
        <v>217</v>
      </c>
      <c r="E536" s="1310"/>
    </row>
    <row r="537" spans="1:5">
      <c r="A537" s="1305"/>
      <c r="B537" s="1307"/>
      <c r="C537" s="201"/>
      <c r="E537" s="1310"/>
    </row>
    <row r="538" spans="1:5">
      <c r="A538" s="1305" t="s">
        <v>1691</v>
      </c>
      <c r="B538" s="1307" t="s">
        <v>2886</v>
      </c>
      <c r="C538" s="201" t="s">
        <v>217</v>
      </c>
      <c r="E538" s="1310"/>
    </row>
    <row r="539" spans="1:5">
      <c r="A539" s="1305"/>
      <c r="B539" s="1307"/>
      <c r="C539" s="201"/>
      <c r="E539" s="1310"/>
    </row>
    <row r="540" spans="1:5">
      <c r="A540" s="1305" t="s">
        <v>1693</v>
      </c>
      <c r="B540" s="1307" t="s">
        <v>2886</v>
      </c>
      <c r="C540" s="201" t="s">
        <v>217</v>
      </c>
      <c r="E540" s="1310"/>
    </row>
    <row r="541" spans="1:5">
      <c r="A541" s="1305"/>
      <c r="B541" s="1307"/>
      <c r="C541" s="201"/>
      <c r="E541" s="1310"/>
    </row>
    <row r="542" spans="1:5">
      <c r="A542" s="1305" t="s">
        <v>1695</v>
      </c>
      <c r="B542" s="1307" t="s">
        <v>2887</v>
      </c>
      <c r="C542" s="201" t="s">
        <v>217</v>
      </c>
      <c r="E542" s="1310"/>
    </row>
    <row r="543" spans="1:5">
      <c r="A543" s="1305"/>
      <c r="B543" s="1307"/>
      <c r="C543" s="201"/>
      <c r="E543" s="1310"/>
    </row>
    <row r="544" spans="1:5">
      <c r="A544" s="1305" t="s">
        <v>1697</v>
      </c>
      <c r="B544" s="1307" t="s">
        <v>2888</v>
      </c>
      <c r="C544" s="201" t="s">
        <v>217</v>
      </c>
      <c r="E544" s="1310"/>
    </row>
    <row r="545" spans="1:5">
      <c r="A545" s="1305"/>
      <c r="B545" s="1307"/>
      <c r="C545" s="201"/>
      <c r="E545" s="1310"/>
    </row>
    <row r="546" spans="1:5">
      <c r="A546" s="1305" t="s">
        <v>1699</v>
      </c>
      <c r="B546" s="1307" t="s">
        <v>2889</v>
      </c>
      <c r="C546" s="201" t="s">
        <v>217</v>
      </c>
      <c r="E546" s="1310"/>
    </row>
    <row r="547" spans="1:5">
      <c r="A547" s="1305"/>
      <c r="B547" s="1307"/>
      <c r="C547" s="201"/>
      <c r="E547" s="1310"/>
    </row>
    <row r="548" spans="1:5">
      <c r="A548" s="1305" t="s">
        <v>1701</v>
      </c>
      <c r="B548" s="1307" t="s">
        <v>2890</v>
      </c>
      <c r="C548" s="201" t="s">
        <v>217</v>
      </c>
      <c r="E548" s="1310"/>
    </row>
    <row r="549" spans="1:5">
      <c r="A549" s="1305"/>
      <c r="B549" s="1307"/>
      <c r="C549" s="201"/>
      <c r="E549" s="1310"/>
    </row>
    <row r="550" spans="1:5">
      <c r="A550" s="1305" t="s">
        <v>1703</v>
      </c>
      <c r="B550" s="1307" t="s">
        <v>2891</v>
      </c>
      <c r="C550" s="201" t="s">
        <v>217</v>
      </c>
      <c r="E550" s="1310"/>
    </row>
    <row r="551" spans="1:5">
      <c r="A551" s="1305"/>
      <c r="B551" s="1307"/>
      <c r="C551" s="201"/>
      <c r="E551" s="1310"/>
    </row>
    <row r="552" spans="1:5">
      <c r="A552" s="1305" t="s">
        <v>1706</v>
      </c>
      <c r="B552" s="1307" t="s">
        <v>2892</v>
      </c>
      <c r="C552" s="201" t="s">
        <v>217</v>
      </c>
      <c r="E552" s="1310"/>
    </row>
    <row r="553" spans="1:5">
      <c r="A553" s="1305"/>
      <c r="B553" s="1307"/>
      <c r="C553" s="201"/>
      <c r="E553" s="1310"/>
    </row>
    <row r="554" spans="1:5">
      <c r="A554" s="1305" t="s">
        <v>1708</v>
      </c>
      <c r="B554" s="1307" t="s">
        <v>2893</v>
      </c>
      <c r="C554" s="201" t="s">
        <v>217</v>
      </c>
      <c r="E554" s="1310"/>
    </row>
    <row r="555" spans="1:5">
      <c r="A555" s="1305"/>
      <c r="B555" s="1307"/>
      <c r="C555" s="201"/>
      <c r="E555" s="1310"/>
    </row>
    <row r="556" spans="1:5">
      <c r="A556" s="1305" t="s">
        <v>1710</v>
      </c>
      <c r="B556" s="1307" t="s">
        <v>2894</v>
      </c>
      <c r="C556" s="201" t="s">
        <v>217</v>
      </c>
      <c r="E556" s="1310"/>
    </row>
    <row r="557" spans="1:5">
      <c r="A557" s="1305"/>
      <c r="B557" s="1307"/>
      <c r="C557" s="201"/>
      <c r="E557" s="1310"/>
    </row>
    <row r="558" spans="1:5">
      <c r="A558" s="1305" t="s">
        <v>1712</v>
      </c>
      <c r="B558" s="1307" t="s">
        <v>2895</v>
      </c>
      <c r="C558" s="201" t="s">
        <v>217</v>
      </c>
      <c r="E558" s="1310"/>
    </row>
    <row r="559" spans="1:5">
      <c r="A559" s="1305"/>
      <c r="B559" s="1307"/>
      <c r="C559" s="201"/>
      <c r="E559" s="1310"/>
    </row>
    <row r="560" spans="1:5">
      <c r="A560" s="1305" t="s">
        <v>1834</v>
      </c>
      <c r="B560" s="1307" t="s">
        <v>2896</v>
      </c>
      <c r="C560" s="201" t="s">
        <v>217</v>
      </c>
      <c r="E560" s="1310"/>
    </row>
    <row r="561" spans="1:5">
      <c r="A561" s="1305"/>
      <c r="B561" s="1307"/>
      <c r="C561" s="201"/>
      <c r="E561" s="1310"/>
    </row>
    <row r="562" spans="1:5">
      <c r="A562" s="1305" t="s">
        <v>1836</v>
      </c>
      <c r="B562" s="1307" t="s">
        <v>2897</v>
      </c>
      <c r="C562" s="201" t="s">
        <v>217</v>
      </c>
      <c r="E562" s="1310"/>
    </row>
    <row r="563" spans="1:5">
      <c r="A563" s="1305"/>
      <c r="B563" s="1307"/>
      <c r="C563" s="201"/>
      <c r="E563" s="1310"/>
    </row>
    <row r="564" spans="1:5">
      <c r="A564" s="1305" t="s">
        <v>1838</v>
      </c>
      <c r="B564" s="1307" t="s">
        <v>2898</v>
      </c>
      <c r="C564" s="201" t="s">
        <v>217</v>
      </c>
      <c r="E564" s="1310"/>
    </row>
    <row r="565" spans="1:5">
      <c r="A565" s="1305"/>
      <c r="B565" s="1307"/>
      <c r="C565" s="201"/>
      <c r="E565" s="1310"/>
    </row>
    <row r="566" spans="1:5">
      <c r="A566" s="1305"/>
      <c r="B566" s="1309" t="s">
        <v>2899</v>
      </c>
      <c r="C566" s="201"/>
      <c r="E566" s="1310"/>
    </row>
    <row r="567" spans="1:5">
      <c r="A567" s="1305"/>
      <c r="B567" s="1307"/>
      <c r="C567" s="201"/>
      <c r="E567" s="1310"/>
    </row>
    <row r="568" spans="1:5">
      <c r="A568" s="1305" t="s">
        <v>1912</v>
      </c>
      <c r="B568" s="1307" t="s">
        <v>2900</v>
      </c>
      <c r="C568" s="201" t="s">
        <v>217</v>
      </c>
      <c r="E568" s="1310"/>
    </row>
    <row r="569" spans="1:5">
      <c r="A569" s="1305"/>
      <c r="B569" s="1307"/>
      <c r="C569" s="201"/>
      <c r="E569" s="1310"/>
    </row>
    <row r="570" spans="1:5">
      <c r="A570" s="1305" t="s">
        <v>1686</v>
      </c>
      <c r="B570" s="1307" t="s">
        <v>2901</v>
      </c>
      <c r="C570" s="201" t="s">
        <v>217</v>
      </c>
      <c r="E570" s="1310"/>
    </row>
    <row r="571" spans="1:5">
      <c r="A571" s="1305"/>
      <c r="B571" s="1307"/>
      <c r="C571" s="201"/>
      <c r="E571" s="1310"/>
    </row>
    <row r="572" spans="1:5">
      <c r="A572" s="1305" t="s">
        <v>1688</v>
      </c>
      <c r="B572" s="1307" t="s">
        <v>2886</v>
      </c>
      <c r="C572" s="201" t="s">
        <v>217</v>
      </c>
      <c r="E572" s="1310"/>
    </row>
    <row r="573" spans="1:5">
      <c r="A573" s="1305"/>
      <c r="B573" s="1307"/>
      <c r="C573" s="201"/>
      <c r="E573" s="1310"/>
    </row>
    <row r="574" spans="1:5">
      <c r="A574" s="1305" t="s">
        <v>1691</v>
      </c>
      <c r="B574" s="1307" t="s">
        <v>2902</v>
      </c>
      <c r="C574" s="201" t="s">
        <v>217</v>
      </c>
      <c r="E574" s="1310"/>
    </row>
    <row r="575" spans="1:5">
      <c r="A575" s="1305"/>
      <c r="B575" s="1307"/>
      <c r="C575" s="201"/>
      <c r="E575" s="1310"/>
    </row>
    <row r="576" spans="1:5">
      <c r="A576" s="1305"/>
      <c r="B576" s="1309" t="s">
        <v>2903</v>
      </c>
      <c r="C576" s="201"/>
      <c r="E576" s="1310"/>
    </row>
    <row r="577" spans="1:5">
      <c r="A577" s="1305"/>
      <c r="B577" s="1307"/>
      <c r="C577" s="201"/>
      <c r="E577" s="1310"/>
    </row>
    <row r="578" spans="1:5">
      <c r="A578" s="1305" t="s">
        <v>1693</v>
      </c>
      <c r="B578" s="1307" t="s">
        <v>2904</v>
      </c>
      <c r="C578" s="201" t="s">
        <v>217</v>
      </c>
      <c r="E578" s="1310"/>
    </row>
    <row r="579" spans="1:5">
      <c r="A579" s="1305"/>
      <c r="B579" s="1307"/>
      <c r="C579" s="201"/>
      <c r="E579" s="1310"/>
    </row>
    <row r="580" spans="1:5">
      <c r="A580" s="1305" t="s">
        <v>1695</v>
      </c>
      <c r="B580" s="1307" t="s">
        <v>2905</v>
      </c>
      <c r="C580" s="201" t="s">
        <v>217</v>
      </c>
      <c r="E580" s="1310"/>
    </row>
    <row r="581" spans="1:5">
      <c r="A581" s="1305"/>
      <c r="B581" s="1307"/>
      <c r="C581" s="201"/>
      <c r="E581" s="1310"/>
    </row>
    <row r="582" spans="1:5">
      <c r="A582" s="1305"/>
      <c r="B582" s="1309" t="s">
        <v>2906</v>
      </c>
      <c r="C582" s="201"/>
      <c r="E582" s="1310"/>
    </row>
    <row r="583" spans="1:5">
      <c r="A583" s="1305"/>
      <c r="B583" s="1307"/>
      <c r="C583" s="201"/>
      <c r="E583" s="1310"/>
    </row>
    <row r="584" spans="1:5">
      <c r="A584" s="1305" t="s">
        <v>1697</v>
      </c>
      <c r="B584" s="1307" t="s">
        <v>2907</v>
      </c>
      <c r="C584" s="201" t="s">
        <v>217</v>
      </c>
      <c r="E584" s="1310"/>
    </row>
    <row r="585" spans="1:5">
      <c r="A585" s="1305"/>
      <c r="B585" s="1307"/>
      <c r="C585" s="201"/>
      <c r="E585" s="1310"/>
    </row>
    <row r="586" spans="1:5">
      <c r="A586" s="1305" t="s">
        <v>1699</v>
      </c>
      <c r="B586" s="1307" t="s">
        <v>2908</v>
      </c>
      <c r="C586" s="201" t="s">
        <v>217</v>
      </c>
      <c r="E586" s="1310"/>
    </row>
    <row r="587" spans="1:5">
      <c r="A587" s="1305"/>
      <c r="B587" s="1307"/>
      <c r="C587" s="201"/>
      <c r="E587" s="1310"/>
    </row>
    <row r="588" spans="1:5">
      <c r="A588" s="1305" t="s">
        <v>1701</v>
      </c>
      <c r="B588" s="1307" t="s">
        <v>2886</v>
      </c>
      <c r="C588" s="201" t="s">
        <v>217</v>
      </c>
      <c r="E588" s="1310"/>
    </row>
    <row r="589" spans="1:5">
      <c r="A589" s="1305"/>
      <c r="B589" s="1307"/>
      <c r="C589" s="201"/>
      <c r="E589" s="1310"/>
    </row>
    <row r="590" spans="1:5">
      <c r="A590" s="1305" t="s">
        <v>1703</v>
      </c>
      <c r="B590" s="1307" t="s">
        <v>2909</v>
      </c>
      <c r="C590" s="201" t="s">
        <v>217</v>
      </c>
      <c r="E590" s="1310"/>
    </row>
    <row r="591" spans="1:5">
      <c r="A591" s="1305"/>
      <c r="B591" s="1307"/>
      <c r="C591" s="201"/>
      <c r="E591" s="1310"/>
    </row>
    <row r="592" spans="1:5">
      <c r="A592" s="1305" t="s">
        <v>1706</v>
      </c>
      <c r="B592" s="1307" t="s">
        <v>2910</v>
      </c>
      <c r="C592" s="201" t="s">
        <v>217</v>
      </c>
      <c r="E592" s="1310"/>
    </row>
    <row r="593" spans="1:5">
      <c r="A593" s="1305"/>
      <c r="B593" s="1307"/>
      <c r="C593" s="201"/>
      <c r="E593" s="1310"/>
    </row>
    <row r="594" spans="1:5">
      <c r="A594" s="1305" t="s">
        <v>1708</v>
      </c>
      <c r="B594" s="1307" t="s">
        <v>2911</v>
      </c>
      <c r="C594" s="201" t="s">
        <v>217</v>
      </c>
      <c r="E594" s="1310"/>
    </row>
    <row r="595" spans="1:5">
      <c r="A595" s="1305"/>
      <c r="B595" s="1307"/>
      <c r="C595" s="201"/>
      <c r="E595" s="1310"/>
    </row>
    <row r="596" spans="1:5">
      <c r="A596" s="1305" t="s">
        <v>1710</v>
      </c>
      <c r="B596" s="1307" t="s">
        <v>2912</v>
      </c>
      <c r="C596" s="201" t="s">
        <v>217</v>
      </c>
      <c r="E596" s="1310"/>
    </row>
    <row r="597" spans="1:5">
      <c r="A597" s="1305"/>
      <c r="B597" s="1307"/>
      <c r="C597" s="201"/>
      <c r="E597" s="1310"/>
    </row>
    <row r="598" spans="1:5">
      <c r="A598" s="1305" t="s">
        <v>1712</v>
      </c>
      <c r="B598" s="1307" t="s">
        <v>2913</v>
      </c>
      <c r="C598" s="201" t="s">
        <v>217</v>
      </c>
      <c r="E598" s="1310"/>
    </row>
    <row r="599" spans="1:5">
      <c r="A599" s="1305"/>
      <c r="B599" s="1307"/>
      <c r="C599" s="201"/>
      <c r="E599" s="1310"/>
    </row>
    <row r="600" spans="1:5">
      <c r="A600" s="1305" t="s">
        <v>1834</v>
      </c>
      <c r="B600" s="1307" t="s">
        <v>2914</v>
      </c>
      <c r="C600" s="201" t="s">
        <v>217</v>
      </c>
      <c r="E600" s="1310"/>
    </row>
    <row r="601" spans="1:5">
      <c r="A601" s="1305"/>
      <c r="B601" s="1307"/>
      <c r="C601" s="201"/>
      <c r="E601" s="1310"/>
    </row>
    <row r="602" spans="1:5">
      <c r="A602" s="1305" t="s">
        <v>1836</v>
      </c>
      <c r="B602" s="1307" t="s">
        <v>2915</v>
      </c>
      <c r="C602" s="201" t="s">
        <v>217</v>
      </c>
      <c r="E602" s="1310"/>
    </row>
    <row r="603" spans="1:5">
      <c r="A603" s="1305"/>
      <c r="B603" s="1307"/>
      <c r="C603" s="201"/>
      <c r="E603" s="1310"/>
    </row>
    <row r="604" spans="1:5">
      <c r="A604" s="1305" t="s">
        <v>1838</v>
      </c>
      <c r="B604" s="1307" t="s">
        <v>2916</v>
      </c>
      <c r="C604" s="201" t="s">
        <v>217</v>
      </c>
      <c r="E604" s="1310"/>
    </row>
    <row r="605" spans="1:5">
      <c r="A605" s="1305"/>
      <c r="B605" s="1307"/>
      <c r="C605" s="201"/>
      <c r="E605" s="1310"/>
    </row>
    <row r="606" spans="1:5">
      <c r="A606" s="1305" t="s">
        <v>1912</v>
      </c>
      <c r="B606" s="1307" t="s">
        <v>2916</v>
      </c>
      <c r="C606" s="201" t="s">
        <v>217</v>
      </c>
      <c r="E606" s="1310"/>
    </row>
    <row r="607" spans="1:5">
      <c r="A607" s="1305"/>
      <c r="B607" s="1307"/>
      <c r="C607" s="201"/>
      <c r="E607" s="1310"/>
    </row>
    <row r="608" spans="1:5">
      <c r="A608" s="1305" t="s">
        <v>1914</v>
      </c>
      <c r="B608" s="1307" t="s">
        <v>2917</v>
      </c>
      <c r="C608" s="201" t="s">
        <v>217</v>
      </c>
      <c r="E608" s="1310"/>
    </row>
    <row r="609" spans="1:5">
      <c r="A609" s="1305"/>
      <c r="B609" s="1307"/>
      <c r="C609" s="201"/>
      <c r="E609" s="1310"/>
    </row>
    <row r="610" spans="1:5">
      <c r="A610" s="1305"/>
      <c r="B610" s="1308" t="s">
        <v>2918</v>
      </c>
      <c r="C610" s="201"/>
      <c r="E610" s="1310"/>
    </row>
    <row r="611" spans="1:5">
      <c r="A611" s="1305"/>
      <c r="B611" s="1307"/>
      <c r="C611" s="201"/>
      <c r="E611" s="1310"/>
    </row>
    <row r="612" spans="1:5" ht="30">
      <c r="A612" s="1305"/>
      <c r="B612" s="1307" t="s">
        <v>2919</v>
      </c>
      <c r="C612" s="201"/>
      <c r="E612" s="1310"/>
    </row>
    <row r="613" spans="1:5">
      <c r="A613" s="1305"/>
      <c r="B613" s="1307"/>
      <c r="C613" s="201"/>
      <c r="E613" s="1310"/>
    </row>
    <row r="614" spans="1:5" ht="30">
      <c r="A614" s="1305"/>
      <c r="B614" s="1307" t="s">
        <v>2920</v>
      </c>
      <c r="C614" s="201"/>
      <c r="E614" s="1310"/>
    </row>
    <row r="615" spans="1:5">
      <c r="A615" s="1305"/>
      <c r="B615" s="1307"/>
      <c r="C615" s="201"/>
      <c r="E615" s="1310"/>
    </row>
    <row r="616" spans="1:5">
      <c r="A616" s="1305" t="s">
        <v>1686</v>
      </c>
      <c r="B616" s="1307" t="s">
        <v>2921</v>
      </c>
      <c r="C616" s="201" t="s">
        <v>217</v>
      </c>
      <c r="E616" s="1310"/>
    </row>
    <row r="617" spans="1:5">
      <c r="A617" s="1305"/>
      <c r="B617" s="1307"/>
      <c r="C617" s="201"/>
      <c r="E617" s="1310"/>
    </row>
    <row r="618" spans="1:5">
      <c r="A618" s="1305" t="s">
        <v>1688</v>
      </c>
      <c r="B618" s="1307" t="s">
        <v>2922</v>
      </c>
      <c r="C618" s="201" t="s">
        <v>217</v>
      </c>
      <c r="E618" s="1310"/>
    </row>
    <row r="619" spans="1:5">
      <c r="A619" s="1305"/>
      <c r="B619" s="1307"/>
      <c r="C619" s="201"/>
      <c r="E619" s="1310"/>
    </row>
    <row r="620" spans="1:5">
      <c r="A620" s="1305" t="s">
        <v>1691</v>
      </c>
      <c r="B620" s="1307" t="s">
        <v>2923</v>
      </c>
      <c r="C620" s="201" t="s">
        <v>217</v>
      </c>
      <c r="E620" s="1310"/>
    </row>
    <row r="621" spans="1:5">
      <c r="A621" s="1305"/>
      <c r="B621" s="1307"/>
      <c r="C621" s="201"/>
      <c r="E621" s="1310"/>
    </row>
    <row r="622" spans="1:5" ht="30">
      <c r="A622" s="1305" t="s">
        <v>1693</v>
      </c>
      <c r="B622" s="1307" t="s">
        <v>2924</v>
      </c>
      <c r="C622" s="201" t="s">
        <v>217</v>
      </c>
      <c r="E622" s="1310"/>
    </row>
    <row r="623" spans="1:5">
      <c r="A623" s="1305"/>
      <c r="B623" s="1307"/>
      <c r="C623" s="201"/>
      <c r="E623" s="1310"/>
    </row>
    <row r="624" spans="1:5" ht="30">
      <c r="A624" s="1305" t="s">
        <v>1695</v>
      </c>
      <c r="B624" s="1307" t="s">
        <v>2925</v>
      </c>
      <c r="C624" s="201" t="s">
        <v>217</v>
      </c>
      <c r="E624" s="1310"/>
    </row>
    <row r="625" spans="1:5">
      <c r="A625" s="1305"/>
      <c r="B625" s="1307"/>
      <c r="C625" s="201"/>
      <c r="E625" s="1310"/>
    </row>
    <row r="626" spans="1:5">
      <c r="A626" s="1305"/>
      <c r="B626" s="1308" t="s">
        <v>2926</v>
      </c>
      <c r="C626" s="201"/>
      <c r="E626" s="1310"/>
    </row>
    <row r="627" spans="1:5">
      <c r="A627" s="1305"/>
      <c r="B627" s="1307"/>
      <c r="C627" s="201"/>
      <c r="E627" s="1310"/>
    </row>
    <row r="628" spans="1:5">
      <c r="A628" s="1305"/>
      <c r="B628" s="1308" t="s">
        <v>2927</v>
      </c>
      <c r="C628" s="201"/>
      <c r="E628" s="1310"/>
    </row>
    <row r="629" spans="1:5">
      <c r="A629" s="1305"/>
      <c r="B629" s="1307"/>
      <c r="C629" s="201"/>
      <c r="E629" s="1310"/>
    </row>
    <row r="630" spans="1:5">
      <c r="A630" s="1305" t="s">
        <v>1686</v>
      </c>
      <c r="B630" s="1307" t="s">
        <v>2928</v>
      </c>
      <c r="C630" s="201" t="s">
        <v>1299</v>
      </c>
      <c r="E630" s="1310"/>
    </row>
    <row r="631" spans="1:5">
      <c r="A631" s="1305"/>
      <c r="B631" s="1307"/>
      <c r="C631" s="201"/>
      <c r="E631" s="1310"/>
    </row>
    <row r="632" spans="1:5">
      <c r="A632" s="1305"/>
      <c r="B632" s="1308" t="s">
        <v>2929</v>
      </c>
      <c r="C632" s="201"/>
      <c r="E632" s="1310"/>
    </row>
    <row r="633" spans="1:5">
      <c r="A633" s="1305"/>
      <c r="B633" s="1307"/>
      <c r="C633" s="201"/>
      <c r="E633" s="1310"/>
    </row>
    <row r="634" spans="1:5" ht="60">
      <c r="A634" s="1305" t="s">
        <v>1688</v>
      </c>
      <c r="B634" s="1307" t="s">
        <v>2930</v>
      </c>
      <c r="C634" s="201" t="s">
        <v>217</v>
      </c>
      <c r="E634" s="1310"/>
    </row>
    <row r="635" spans="1:5">
      <c r="A635" s="1305"/>
      <c r="B635" s="1307"/>
      <c r="C635" s="201"/>
      <c r="E635" s="1310"/>
    </row>
    <row r="636" spans="1:5" ht="60">
      <c r="A636" s="1305" t="s">
        <v>1691</v>
      </c>
      <c r="B636" s="1307" t="s">
        <v>2931</v>
      </c>
      <c r="C636" s="201" t="s">
        <v>217</v>
      </c>
      <c r="E636" s="1310"/>
    </row>
    <row r="637" spans="1:5">
      <c r="A637" s="1305"/>
      <c r="B637" s="1307"/>
      <c r="C637" s="201"/>
      <c r="E637" s="1310"/>
    </row>
    <row r="638" spans="1:5">
      <c r="A638" s="1305"/>
      <c r="B638" s="1306" t="s">
        <v>2932</v>
      </c>
      <c r="C638" s="201"/>
      <c r="E638" s="1310"/>
    </row>
    <row r="639" spans="1:5">
      <c r="A639" s="1305"/>
      <c r="B639" s="1307"/>
      <c r="C639" s="201"/>
      <c r="E639" s="1310"/>
    </row>
    <row r="640" spans="1:5">
      <c r="A640" s="1305"/>
      <c r="B640" s="1306" t="s">
        <v>2809</v>
      </c>
      <c r="C640" s="201"/>
      <c r="E640" s="1310"/>
    </row>
    <row r="641" spans="1:5">
      <c r="A641" s="1305"/>
      <c r="B641" s="1307"/>
      <c r="C641" s="201"/>
      <c r="E641" s="1310"/>
    </row>
    <row r="642" spans="1:5">
      <c r="A642" s="1305"/>
      <c r="B642" s="1308" t="s">
        <v>2773</v>
      </c>
      <c r="C642" s="201"/>
      <c r="E642" s="1310"/>
    </row>
    <row r="643" spans="1:5">
      <c r="A643" s="1305"/>
      <c r="B643" s="1307"/>
      <c r="C643" s="201"/>
      <c r="E643" s="1310"/>
    </row>
    <row r="644" spans="1:5" ht="64.5">
      <c r="A644" s="1305"/>
      <c r="B644" s="1309" t="s">
        <v>2933</v>
      </c>
      <c r="C644" s="201"/>
      <c r="E644" s="1310"/>
    </row>
    <row r="645" spans="1:5">
      <c r="A645" s="1305"/>
      <c r="B645" s="1307"/>
      <c r="C645" s="201"/>
      <c r="E645" s="1310"/>
    </row>
    <row r="646" spans="1:5">
      <c r="A646" s="1305" t="s">
        <v>1686</v>
      </c>
      <c r="B646" s="1307" t="s">
        <v>2811</v>
      </c>
      <c r="C646" s="201" t="s">
        <v>215</v>
      </c>
      <c r="E646" s="1310"/>
    </row>
    <row r="647" spans="1:5">
      <c r="A647" s="1305"/>
      <c r="B647" s="1307"/>
      <c r="C647" s="201"/>
      <c r="E647" s="1310"/>
    </row>
    <row r="648" spans="1:5" ht="51.75">
      <c r="A648" s="1305"/>
      <c r="B648" s="1309" t="s">
        <v>2934</v>
      </c>
      <c r="C648" s="201"/>
      <c r="E648" s="1310"/>
    </row>
    <row r="649" spans="1:5">
      <c r="A649" s="1305"/>
      <c r="B649" s="1307"/>
      <c r="C649" s="201"/>
      <c r="E649" s="1310"/>
    </row>
    <row r="650" spans="1:5">
      <c r="A650" s="1305" t="s">
        <v>1688</v>
      </c>
      <c r="B650" s="1307" t="s">
        <v>2935</v>
      </c>
      <c r="C650" s="201" t="s">
        <v>215</v>
      </c>
      <c r="E650" s="1310"/>
    </row>
    <row r="651" spans="1:5">
      <c r="A651" s="1305"/>
      <c r="B651" s="1307"/>
      <c r="C651" s="201"/>
      <c r="E651" s="1310"/>
    </row>
    <row r="652" spans="1:5">
      <c r="A652" s="1305"/>
      <c r="B652" s="1309" t="s">
        <v>2936</v>
      </c>
      <c r="C652" s="201"/>
      <c r="E652" s="1310"/>
    </row>
    <row r="653" spans="1:5">
      <c r="A653" s="1305"/>
      <c r="B653" s="1307"/>
      <c r="C653" s="201"/>
      <c r="E653" s="1310"/>
    </row>
    <row r="654" spans="1:5">
      <c r="A654" s="1305" t="s">
        <v>1691</v>
      </c>
      <c r="B654" s="1307" t="s">
        <v>2816</v>
      </c>
      <c r="C654" s="201" t="s">
        <v>1299</v>
      </c>
      <c r="E654" s="1310"/>
    </row>
    <row r="655" spans="1:5">
      <c r="A655" s="1305"/>
      <c r="B655" s="1307"/>
      <c r="C655" s="201"/>
      <c r="E655" s="1310"/>
    </row>
    <row r="656" spans="1:5">
      <c r="A656" s="1305" t="s">
        <v>1693</v>
      </c>
      <c r="B656" s="1307" t="s">
        <v>2817</v>
      </c>
      <c r="C656" s="201" t="s">
        <v>1299</v>
      </c>
      <c r="E656" s="1310"/>
    </row>
    <row r="657" spans="1:5">
      <c r="A657" s="1305"/>
      <c r="B657" s="1307"/>
      <c r="C657" s="201"/>
      <c r="E657" s="1310"/>
    </row>
    <row r="658" spans="1:5" ht="30">
      <c r="A658" s="1305" t="s">
        <v>1695</v>
      </c>
      <c r="B658" s="1307" t="s">
        <v>2937</v>
      </c>
      <c r="C658" s="201" t="s">
        <v>1299</v>
      </c>
      <c r="E658" s="1310"/>
    </row>
    <row r="659" spans="1:5">
      <c r="A659" s="1305"/>
      <c r="B659" s="1307"/>
      <c r="C659" s="201"/>
      <c r="E659" s="1310"/>
    </row>
    <row r="660" spans="1:5">
      <c r="A660" s="1305"/>
      <c r="B660" s="1308" t="s">
        <v>2819</v>
      </c>
      <c r="C660" s="201"/>
      <c r="E660" s="1310"/>
    </row>
    <row r="661" spans="1:5">
      <c r="A661" s="1305"/>
      <c r="B661" s="1307"/>
      <c r="C661" s="201"/>
      <c r="E661" s="1310"/>
    </row>
    <row r="662" spans="1:5">
      <c r="A662" s="1305"/>
      <c r="B662" s="1308" t="s">
        <v>2753</v>
      </c>
      <c r="C662" s="201"/>
      <c r="E662" s="1310"/>
    </row>
    <row r="663" spans="1:5">
      <c r="A663" s="1305"/>
      <c r="B663" s="1307"/>
      <c r="C663" s="201"/>
      <c r="E663" s="1310"/>
    </row>
    <row r="664" spans="1:5">
      <c r="A664" s="1305" t="s">
        <v>1686</v>
      </c>
      <c r="B664" s="1307" t="s">
        <v>2754</v>
      </c>
      <c r="C664" s="201" t="s">
        <v>215</v>
      </c>
      <c r="E664" s="1310"/>
    </row>
    <row r="665" spans="1:5">
      <c r="A665" s="1305"/>
      <c r="B665" s="1307"/>
      <c r="C665" s="201"/>
      <c r="E665" s="1310"/>
    </row>
    <row r="666" spans="1:5">
      <c r="A666" s="1305" t="s">
        <v>1688</v>
      </c>
      <c r="B666" s="1307" t="s">
        <v>2755</v>
      </c>
      <c r="C666" s="201" t="s">
        <v>215</v>
      </c>
      <c r="E666" s="1310"/>
    </row>
    <row r="667" spans="1:5">
      <c r="A667" s="1305"/>
      <c r="B667" s="1307"/>
      <c r="C667" s="201"/>
      <c r="E667" s="1310"/>
    </row>
    <row r="668" spans="1:5">
      <c r="A668" s="1305" t="s">
        <v>1691</v>
      </c>
      <c r="B668" s="1307" t="s">
        <v>2756</v>
      </c>
      <c r="C668" s="201" t="s">
        <v>215</v>
      </c>
      <c r="E668" s="1310"/>
    </row>
    <row r="669" spans="1:5">
      <c r="A669" s="1305"/>
      <c r="B669" s="1307"/>
      <c r="C669" s="201"/>
      <c r="E669" s="1310"/>
    </row>
    <row r="670" spans="1:5">
      <c r="A670" s="1305" t="s">
        <v>1693</v>
      </c>
      <c r="B670" s="1307" t="s">
        <v>2757</v>
      </c>
      <c r="C670" s="201" t="s">
        <v>215</v>
      </c>
      <c r="E670" s="1310"/>
    </row>
    <row r="671" spans="1:5">
      <c r="A671" s="1305"/>
      <c r="B671" s="1307"/>
      <c r="C671" s="201"/>
      <c r="E671" s="1310"/>
    </row>
    <row r="672" spans="1:5">
      <c r="A672" s="1305" t="s">
        <v>1695</v>
      </c>
      <c r="B672" s="1307" t="s">
        <v>2758</v>
      </c>
      <c r="C672" s="201" t="s">
        <v>215</v>
      </c>
      <c r="E672" s="1310"/>
    </row>
    <row r="673" spans="1:5">
      <c r="A673" s="1305"/>
      <c r="B673" s="1307"/>
      <c r="C673" s="201"/>
      <c r="E673" s="1310"/>
    </row>
    <row r="674" spans="1:5">
      <c r="A674" s="1305"/>
      <c r="B674" s="1309" t="s">
        <v>2938</v>
      </c>
      <c r="C674" s="201"/>
      <c r="E674" s="1310"/>
    </row>
    <row r="675" spans="1:5">
      <c r="A675" s="1305"/>
      <c r="B675" s="1307"/>
      <c r="C675" s="201"/>
      <c r="E675" s="1310"/>
    </row>
    <row r="676" spans="1:5" ht="30">
      <c r="A676" s="1305" t="s">
        <v>1697</v>
      </c>
      <c r="B676" s="1307" t="s">
        <v>2939</v>
      </c>
      <c r="C676" s="201" t="s">
        <v>1299</v>
      </c>
      <c r="E676" s="1310"/>
    </row>
    <row r="677" spans="1:5">
      <c r="A677" s="1305"/>
      <c r="B677" s="1307"/>
      <c r="C677" s="201"/>
      <c r="E677" s="1310"/>
    </row>
    <row r="678" spans="1:5">
      <c r="A678" s="1305" t="s">
        <v>1699</v>
      </c>
      <c r="B678" s="1307" t="s">
        <v>2940</v>
      </c>
      <c r="C678" s="201" t="s">
        <v>1299</v>
      </c>
      <c r="E678" s="1310"/>
    </row>
    <row r="679" spans="1:5">
      <c r="A679" s="1305"/>
      <c r="B679" s="1307"/>
      <c r="C679" s="201"/>
      <c r="E679" s="1310"/>
    </row>
    <row r="680" spans="1:5">
      <c r="A680" s="1305"/>
      <c r="B680" s="1306" t="s">
        <v>2851</v>
      </c>
      <c r="C680" s="201"/>
      <c r="E680" s="1310"/>
    </row>
    <row r="681" spans="1:5">
      <c r="A681" s="1305"/>
      <c r="B681" s="1307"/>
      <c r="C681" s="201"/>
      <c r="E681" s="1310"/>
    </row>
    <row r="682" spans="1:5">
      <c r="A682" s="1305"/>
      <c r="B682" s="1307" t="s">
        <v>2941</v>
      </c>
      <c r="C682" s="201"/>
      <c r="E682" s="1310"/>
    </row>
    <row r="683" spans="1:5">
      <c r="A683" s="1305"/>
      <c r="B683" s="1307"/>
      <c r="C683" s="201"/>
      <c r="E683" s="1310"/>
    </row>
    <row r="684" spans="1:5">
      <c r="A684" s="1305"/>
      <c r="B684" s="1309" t="s">
        <v>2856</v>
      </c>
      <c r="C684" s="201"/>
      <c r="E684" s="1310"/>
    </row>
    <row r="685" spans="1:5">
      <c r="A685" s="1305"/>
      <c r="B685" s="1307"/>
      <c r="C685" s="201"/>
      <c r="E685" s="1310"/>
    </row>
    <row r="686" spans="1:5">
      <c r="A686" s="1305" t="s">
        <v>1701</v>
      </c>
      <c r="B686" s="1307" t="s">
        <v>2857</v>
      </c>
      <c r="C686" s="201" t="s">
        <v>1299</v>
      </c>
      <c r="E686" s="1310"/>
    </row>
    <row r="687" spans="1:5">
      <c r="A687" s="1305"/>
      <c r="B687" s="1307"/>
      <c r="C687" s="201"/>
      <c r="E687" s="1310"/>
    </row>
    <row r="688" spans="1:5">
      <c r="A688" s="1305" t="s">
        <v>1703</v>
      </c>
      <c r="B688" s="1307" t="s">
        <v>2858</v>
      </c>
      <c r="C688" s="201" t="s">
        <v>1299</v>
      </c>
      <c r="E688" s="1310"/>
    </row>
    <row r="689" spans="1:5">
      <c r="A689" s="1305"/>
      <c r="B689" s="1307"/>
      <c r="C689" s="201"/>
      <c r="E689" s="1310"/>
    </row>
    <row r="690" spans="1:5">
      <c r="A690" s="1305" t="s">
        <v>1706</v>
      </c>
      <c r="B690" s="1307" t="s">
        <v>2942</v>
      </c>
      <c r="C690" s="201" t="s">
        <v>1299</v>
      </c>
      <c r="E690" s="1310"/>
    </row>
    <row r="691" spans="1:5">
      <c r="A691" s="1305"/>
      <c r="B691" s="1307"/>
      <c r="C691" s="201"/>
      <c r="E691" s="1310"/>
    </row>
    <row r="692" spans="1:5" ht="26.25">
      <c r="A692" s="1305"/>
      <c r="B692" s="1308" t="s">
        <v>2943</v>
      </c>
      <c r="C692" s="201"/>
      <c r="E692" s="1310"/>
    </row>
    <row r="693" spans="1:5">
      <c r="A693" s="1305"/>
      <c r="B693" s="1307"/>
      <c r="C693" s="201"/>
      <c r="E693" s="1310"/>
    </row>
    <row r="694" spans="1:5">
      <c r="A694" s="1305" t="s">
        <v>1686</v>
      </c>
      <c r="B694" s="1307" t="s">
        <v>2944</v>
      </c>
      <c r="C694" s="201" t="s">
        <v>215</v>
      </c>
      <c r="E694" s="1310"/>
    </row>
    <row r="695" spans="1:5">
      <c r="A695" s="1305"/>
      <c r="B695" s="1307"/>
      <c r="C695" s="201"/>
      <c r="E695" s="1310"/>
    </row>
    <row r="696" spans="1:5" ht="45">
      <c r="A696" s="1305"/>
      <c r="B696" s="1307" t="s">
        <v>2945</v>
      </c>
      <c r="C696" s="201"/>
      <c r="E696" s="1310"/>
    </row>
    <row r="697" spans="1:5">
      <c r="A697" s="1305"/>
      <c r="B697" s="1307"/>
      <c r="C697" s="201"/>
      <c r="E697" s="1310"/>
    </row>
    <row r="698" spans="1:5" ht="30">
      <c r="A698" s="1305" t="s">
        <v>1688</v>
      </c>
      <c r="B698" s="1307" t="s">
        <v>2946</v>
      </c>
      <c r="C698" s="201" t="s">
        <v>215</v>
      </c>
      <c r="E698" s="1310"/>
    </row>
    <row r="699" spans="1:5">
      <c r="A699" s="1305"/>
      <c r="B699" s="1307"/>
      <c r="C699" s="201"/>
      <c r="E699" s="1310"/>
    </row>
    <row r="700" spans="1:5" ht="30">
      <c r="A700" s="1305" t="s">
        <v>1691</v>
      </c>
      <c r="B700" s="1307" t="s">
        <v>2947</v>
      </c>
      <c r="C700" s="201" t="s">
        <v>215</v>
      </c>
      <c r="E700" s="1310"/>
    </row>
    <row r="701" spans="1:5">
      <c r="A701" s="1305"/>
      <c r="B701" s="1307"/>
      <c r="C701" s="201"/>
      <c r="E701" s="1310"/>
    </row>
    <row r="702" spans="1:5" ht="30">
      <c r="A702" s="1305" t="s">
        <v>1693</v>
      </c>
      <c r="B702" s="1307" t="s">
        <v>2948</v>
      </c>
      <c r="C702" s="201" t="s">
        <v>215</v>
      </c>
      <c r="E702" s="1310"/>
    </row>
    <row r="703" spans="1:5">
      <c r="A703" s="1305"/>
      <c r="B703" s="1307"/>
      <c r="C703" s="201"/>
      <c r="E703" s="1310"/>
    </row>
    <row r="704" spans="1:5" ht="45">
      <c r="A704" s="1305"/>
      <c r="B704" s="1307" t="s">
        <v>2949</v>
      </c>
      <c r="C704" s="201"/>
      <c r="E704" s="1310"/>
    </row>
    <row r="705" spans="1:5">
      <c r="A705" s="1305"/>
      <c r="B705" s="1307"/>
      <c r="C705" s="201"/>
      <c r="E705" s="1310"/>
    </row>
    <row r="706" spans="1:5" ht="30">
      <c r="A706" s="1305" t="s">
        <v>1695</v>
      </c>
      <c r="B706" s="1307" t="s">
        <v>2950</v>
      </c>
      <c r="C706" s="201" t="s">
        <v>215</v>
      </c>
      <c r="E706" s="1310"/>
    </row>
    <row r="707" spans="1:5">
      <c r="A707" s="1305"/>
      <c r="B707" s="1307"/>
      <c r="C707" s="201"/>
      <c r="E707" s="1310"/>
    </row>
    <row r="708" spans="1:5">
      <c r="A708" s="1305" t="s">
        <v>1697</v>
      </c>
      <c r="B708" s="1307" t="s">
        <v>2951</v>
      </c>
      <c r="C708" s="201" t="s">
        <v>215</v>
      </c>
      <c r="E708" s="1310"/>
    </row>
    <row r="709" spans="1:5">
      <c r="A709" s="1305"/>
      <c r="B709" s="1307"/>
      <c r="C709" s="201"/>
      <c r="E709" s="1310"/>
    </row>
    <row r="710" spans="1:5">
      <c r="A710" s="1305" t="s">
        <v>1699</v>
      </c>
      <c r="B710" s="1307" t="s">
        <v>2952</v>
      </c>
      <c r="C710" s="201" t="s">
        <v>215</v>
      </c>
      <c r="E710" s="1310"/>
    </row>
    <row r="711" spans="1:5">
      <c r="A711" s="1305"/>
      <c r="B711" s="1307"/>
      <c r="C711" s="201"/>
      <c r="E711" s="1310"/>
    </row>
    <row r="712" spans="1:5">
      <c r="A712" s="1305" t="s">
        <v>1701</v>
      </c>
      <c r="B712" s="1307" t="s">
        <v>2953</v>
      </c>
      <c r="C712" s="201" t="s">
        <v>215</v>
      </c>
      <c r="E712" s="1310"/>
    </row>
    <row r="713" spans="1:5">
      <c r="A713" s="1305"/>
      <c r="B713" s="1307"/>
      <c r="C713" s="201"/>
      <c r="E713" s="1310"/>
    </row>
    <row r="714" spans="1:5">
      <c r="A714" s="1305" t="s">
        <v>1686</v>
      </c>
      <c r="B714" s="1307" t="s">
        <v>2954</v>
      </c>
      <c r="C714" s="201" t="s">
        <v>215</v>
      </c>
      <c r="E714" s="1310"/>
    </row>
    <row r="715" spans="1:5">
      <c r="A715" s="1305"/>
      <c r="B715" s="1307"/>
      <c r="C715" s="201"/>
      <c r="E715" s="1310"/>
    </row>
    <row r="716" spans="1:5">
      <c r="A716" s="1305"/>
      <c r="B716" s="1308" t="s">
        <v>2955</v>
      </c>
      <c r="C716" s="201"/>
      <c r="E716" s="1310"/>
    </row>
    <row r="717" spans="1:5">
      <c r="A717" s="1305"/>
      <c r="B717" s="1307"/>
      <c r="C717" s="201"/>
      <c r="E717" s="1310"/>
    </row>
    <row r="718" spans="1:5" ht="135">
      <c r="A718" s="1305" t="s">
        <v>1688</v>
      </c>
      <c r="B718" s="1307" t="s">
        <v>2956</v>
      </c>
      <c r="C718" s="201" t="s">
        <v>215</v>
      </c>
      <c r="E718" s="1310"/>
    </row>
    <row r="719" spans="1:5">
      <c r="A719" s="1305"/>
      <c r="B719" s="1307"/>
      <c r="C719" s="201"/>
      <c r="E719" s="1310"/>
    </row>
    <row r="720" spans="1:5" ht="135">
      <c r="A720" s="1305" t="s">
        <v>1691</v>
      </c>
      <c r="B720" s="1307" t="s">
        <v>2957</v>
      </c>
      <c r="C720" s="201" t="s">
        <v>215</v>
      </c>
      <c r="E720" s="1310"/>
    </row>
    <row r="721" spans="1:5">
      <c r="A721" s="1305"/>
      <c r="B721" s="1307"/>
      <c r="C721" s="201"/>
      <c r="E721" s="1310"/>
    </row>
    <row r="722" spans="1:5" ht="45">
      <c r="A722" s="1305" t="s">
        <v>1693</v>
      </c>
      <c r="B722" s="1307" t="s">
        <v>2958</v>
      </c>
      <c r="C722" s="201" t="s">
        <v>217</v>
      </c>
      <c r="E722" s="1310"/>
    </row>
    <row r="723" spans="1:5">
      <c r="A723" s="1305"/>
      <c r="B723" s="1307"/>
      <c r="C723" s="201"/>
      <c r="E723" s="1310"/>
    </row>
    <row r="724" spans="1:5" ht="60">
      <c r="A724" s="1305" t="s">
        <v>1695</v>
      </c>
      <c r="B724" s="1307" t="s">
        <v>2959</v>
      </c>
      <c r="C724" s="201" t="s">
        <v>217</v>
      </c>
      <c r="E724" s="1310"/>
    </row>
    <row r="725" spans="1:5">
      <c r="A725" s="1305"/>
      <c r="B725" s="1307"/>
      <c r="C725" s="201"/>
      <c r="E725" s="1310"/>
    </row>
    <row r="726" spans="1:5">
      <c r="A726" s="1305"/>
      <c r="B726" s="1308" t="s">
        <v>2960</v>
      </c>
      <c r="C726" s="201"/>
      <c r="E726" s="1310"/>
    </row>
    <row r="727" spans="1:5">
      <c r="A727" s="1305"/>
      <c r="B727" s="1307"/>
      <c r="C727" s="201"/>
      <c r="E727" s="1310"/>
    </row>
    <row r="728" spans="1:5" ht="45">
      <c r="A728" s="1305" t="s">
        <v>1686</v>
      </c>
      <c r="B728" s="1307" t="s">
        <v>2961</v>
      </c>
      <c r="C728" s="201" t="s">
        <v>217</v>
      </c>
      <c r="E728" s="1310"/>
    </row>
    <row r="729" spans="1:5">
      <c r="A729" s="1305"/>
      <c r="B729" s="1307"/>
      <c r="C729" s="201"/>
      <c r="E729" s="1310"/>
    </row>
    <row r="730" spans="1:5" ht="45">
      <c r="A730" s="1305" t="s">
        <v>1688</v>
      </c>
      <c r="B730" s="1307" t="s">
        <v>2962</v>
      </c>
      <c r="C730" s="201" t="s">
        <v>217</v>
      </c>
      <c r="E730" s="1310"/>
    </row>
    <row r="731" spans="1:5">
      <c r="A731" s="1305"/>
      <c r="B731" s="1307"/>
      <c r="C731" s="201"/>
      <c r="E731" s="1310"/>
    </row>
    <row r="732" spans="1:5" ht="45">
      <c r="A732" s="1305" t="s">
        <v>1691</v>
      </c>
      <c r="B732" s="1307" t="s">
        <v>2963</v>
      </c>
      <c r="C732" s="201" t="s">
        <v>217</v>
      </c>
      <c r="E732" s="1310"/>
    </row>
    <row r="733" spans="1:5">
      <c r="A733" s="1305"/>
      <c r="B733" s="1307"/>
      <c r="C733" s="201"/>
      <c r="E733" s="1310"/>
    </row>
    <row r="734" spans="1:5">
      <c r="A734" s="1305"/>
      <c r="B734" s="1308" t="s">
        <v>2964</v>
      </c>
      <c r="C734" s="201"/>
      <c r="E734" s="1310"/>
    </row>
    <row r="735" spans="1:5">
      <c r="A735" s="1305"/>
      <c r="B735" s="1307"/>
      <c r="C735" s="201"/>
      <c r="E735" s="1310"/>
    </row>
    <row r="736" spans="1:5" ht="30">
      <c r="A736" s="1305" t="s">
        <v>1693</v>
      </c>
      <c r="B736" s="1307" t="s">
        <v>2965</v>
      </c>
      <c r="C736" s="201" t="s">
        <v>215</v>
      </c>
      <c r="E736" s="1310"/>
    </row>
    <row r="737" spans="1:5">
      <c r="A737" s="1305"/>
      <c r="B737" s="1307"/>
      <c r="C737" s="201"/>
      <c r="E737" s="1310"/>
    </row>
    <row r="738" spans="1:5">
      <c r="A738" s="1305"/>
      <c r="B738" s="1306" t="s">
        <v>2966</v>
      </c>
      <c r="C738" s="201"/>
      <c r="E738" s="1310"/>
    </row>
    <row r="739" spans="1:5">
      <c r="A739" s="1305"/>
      <c r="B739" s="1307"/>
      <c r="C739" s="201"/>
      <c r="E739" s="1310"/>
    </row>
    <row r="740" spans="1:5">
      <c r="A740" s="1305"/>
      <c r="B740" s="1306" t="s">
        <v>2809</v>
      </c>
      <c r="C740" s="201"/>
      <c r="E740" s="1310"/>
    </row>
    <row r="741" spans="1:5">
      <c r="A741" s="1305"/>
      <c r="B741" s="1307"/>
      <c r="C741" s="201"/>
      <c r="E741" s="1310"/>
    </row>
    <row r="742" spans="1:5">
      <c r="A742" s="1305"/>
      <c r="B742" s="1308" t="s">
        <v>2773</v>
      </c>
      <c r="C742" s="201"/>
      <c r="E742" s="1310"/>
    </row>
    <row r="743" spans="1:5">
      <c r="A743" s="1305"/>
      <c r="B743" s="1307"/>
      <c r="C743" s="201"/>
      <c r="E743" s="1310"/>
    </row>
    <row r="744" spans="1:5" ht="51.75">
      <c r="A744" s="1305"/>
      <c r="B744" s="1309" t="s">
        <v>2967</v>
      </c>
      <c r="C744" s="201"/>
      <c r="E744" s="1310"/>
    </row>
    <row r="745" spans="1:5">
      <c r="A745" s="1305"/>
      <c r="B745" s="1307"/>
      <c r="C745" s="201"/>
      <c r="E745" s="1310"/>
    </row>
    <row r="746" spans="1:5">
      <c r="A746" s="1305" t="s">
        <v>1686</v>
      </c>
      <c r="B746" s="1307" t="s">
        <v>2811</v>
      </c>
      <c r="C746" s="201" t="s">
        <v>215</v>
      </c>
      <c r="E746" s="1310"/>
    </row>
    <row r="747" spans="1:5">
      <c r="A747" s="1305"/>
      <c r="B747" s="1307"/>
      <c r="C747" s="201"/>
      <c r="E747" s="1310"/>
    </row>
    <row r="748" spans="1:5">
      <c r="A748" s="1305" t="s">
        <v>1688</v>
      </c>
      <c r="B748" s="1307" t="s">
        <v>2812</v>
      </c>
      <c r="C748" s="201" t="s">
        <v>215</v>
      </c>
      <c r="E748" s="1310"/>
    </row>
    <row r="749" spans="1:5">
      <c r="A749" s="1305"/>
      <c r="B749" s="1307"/>
      <c r="C749" s="201"/>
      <c r="E749" s="1310"/>
    </row>
    <row r="750" spans="1:5">
      <c r="A750" s="1305"/>
      <c r="B750" s="1309" t="s">
        <v>2815</v>
      </c>
      <c r="C750" s="201"/>
      <c r="E750" s="1310"/>
    </row>
    <row r="751" spans="1:5">
      <c r="A751" s="1305"/>
      <c r="B751" s="1307"/>
      <c r="C751" s="201"/>
      <c r="E751" s="1310"/>
    </row>
    <row r="752" spans="1:5">
      <c r="A752" s="1305" t="s">
        <v>1691</v>
      </c>
      <c r="B752" s="1307" t="s">
        <v>2816</v>
      </c>
      <c r="C752" s="201" t="s">
        <v>1299</v>
      </c>
      <c r="E752" s="1310"/>
    </row>
    <row r="753" spans="1:5">
      <c r="A753" s="1305"/>
      <c r="B753" s="1307"/>
      <c r="C753" s="201"/>
      <c r="E753" s="1310"/>
    </row>
    <row r="754" spans="1:5">
      <c r="A754" s="1305" t="s">
        <v>1693</v>
      </c>
      <c r="B754" s="1307" t="s">
        <v>2817</v>
      </c>
      <c r="C754" s="201" t="s">
        <v>1299</v>
      </c>
      <c r="E754" s="1310"/>
    </row>
    <row r="755" spans="1:5">
      <c r="A755" s="1305"/>
      <c r="B755" s="1307"/>
      <c r="C755" s="201"/>
      <c r="E755" s="1310"/>
    </row>
    <row r="756" spans="1:5" ht="30">
      <c r="A756" s="1305" t="s">
        <v>1695</v>
      </c>
      <c r="B756" s="1307" t="s">
        <v>2818</v>
      </c>
      <c r="C756" s="201" t="s">
        <v>1299</v>
      </c>
      <c r="E756" s="1310"/>
    </row>
    <row r="757" spans="1:5">
      <c r="A757" s="1305"/>
      <c r="B757" s="1307"/>
      <c r="C757" s="201"/>
      <c r="E757" s="1310"/>
    </row>
    <row r="758" spans="1:5">
      <c r="A758" s="1305"/>
      <c r="B758" s="1308" t="s">
        <v>2819</v>
      </c>
      <c r="C758" s="201"/>
      <c r="E758" s="1310"/>
    </row>
    <row r="759" spans="1:5">
      <c r="A759" s="1305"/>
      <c r="B759" s="1307"/>
      <c r="C759" s="201"/>
      <c r="E759" s="1310"/>
    </row>
    <row r="760" spans="1:5">
      <c r="A760" s="1305"/>
      <c r="B760" s="1307" t="s">
        <v>2938</v>
      </c>
      <c r="C760" s="201"/>
      <c r="E760" s="1310"/>
    </row>
    <row r="761" spans="1:5">
      <c r="A761" s="1305"/>
      <c r="B761" s="1307"/>
      <c r="C761" s="201"/>
      <c r="E761" s="1310"/>
    </row>
    <row r="762" spans="1:5">
      <c r="A762" s="1305" t="s">
        <v>1697</v>
      </c>
      <c r="B762" s="1307" t="s">
        <v>2821</v>
      </c>
      <c r="C762" s="201" t="s">
        <v>1299</v>
      </c>
      <c r="E762" s="1310"/>
    </row>
    <row r="763" spans="1:5">
      <c r="A763" s="1305"/>
      <c r="B763" s="1307"/>
      <c r="C763" s="201"/>
      <c r="E763" s="1310"/>
    </row>
    <row r="764" spans="1:5" ht="30">
      <c r="A764" s="1305" t="s">
        <v>1699</v>
      </c>
      <c r="B764" s="1307" t="s">
        <v>2822</v>
      </c>
      <c r="C764" s="201" t="s">
        <v>1299</v>
      </c>
      <c r="E764" s="1310"/>
    </row>
    <row r="765" spans="1:5">
      <c r="A765" s="1305"/>
      <c r="B765" s="1307"/>
      <c r="C765" s="201"/>
      <c r="E765" s="1310"/>
    </row>
    <row r="766" spans="1:5">
      <c r="A766" s="1305" t="s">
        <v>1686</v>
      </c>
      <c r="B766" s="1307" t="s">
        <v>2823</v>
      </c>
      <c r="C766" s="201" t="s">
        <v>1299</v>
      </c>
      <c r="E766" s="1310"/>
    </row>
    <row r="767" spans="1:5">
      <c r="A767" s="1305"/>
      <c r="B767" s="1307"/>
      <c r="C767" s="201"/>
      <c r="E767" s="1310"/>
    </row>
    <row r="768" spans="1:5" ht="26.25">
      <c r="A768" s="1305"/>
      <c r="B768" s="1309" t="s">
        <v>2968</v>
      </c>
      <c r="C768" s="201"/>
      <c r="E768" s="1310"/>
    </row>
    <row r="769" spans="1:5">
      <c r="A769" s="1305"/>
      <c r="B769" s="1307"/>
      <c r="C769" s="201"/>
      <c r="E769" s="1310"/>
    </row>
    <row r="770" spans="1:5" ht="30">
      <c r="A770" s="1305" t="s">
        <v>1688</v>
      </c>
      <c r="B770" s="1307" t="s">
        <v>2825</v>
      </c>
      <c r="C770" s="201" t="s">
        <v>1293</v>
      </c>
      <c r="E770" s="1310"/>
    </row>
    <row r="771" spans="1:5">
      <c r="A771" s="1305"/>
      <c r="B771" s="1307"/>
      <c r="C771" s="201"/>
      <c r="E771" s="1310"/>
    </row>
    <row r="772" spans="1:5" ht="30">
      <c r="A772" s="1305" t="s">
        <v>1691</v>
      </c>
      <c r="B772" s="1307" t="s">
        <v>2826</v>
      </c>
      <c r="C772" s="201" t="s">
        <v>1293</v>
      </c>
      <c r="E772" s="1310"/>
    </row>
    <row r="773" spans="1:5">
      <c r="A773" s="1305"/>
      <c r="B773" s="1307"/>
      <c r="C773" s="201"/>
      <c r="E773" s="1310"/>
    </row>
    <row r="774" spans="1:5">
      <c r="A774" s="1305"/>
      <c r="B774" s="1308" t="s">
        <v>2759</v>
      </c>
      <c r="C774" s="201"/>
      <c r="E774" s="1310"/>
    </row>
    <row r="775" spans="1:5">
      <c r="A775" s="1305"/>
      <c r="B775" s="1307"/>
      <c r="C775" s="201"/>
      <c r="E775" s="1310"/>
    </row>
    <row r="776" spans="1:5">
      <c r="A776" s="1305"/>
      <c r="B776" s="1308" t="s">
        <v>2831</v>
      </c>
      <c r="C776" s="201"/>
      <c r="E776" s="1310"/>
    </row>
    <row r="777" spans="1:5">
      <c r="A777" s="1305"/>
      <c r="B777" s="1307"/>
      <c r="C777" s="201"/>
      <c r="E777" s="1310"/>
    </row>
    <row r="778" spans="1:5">
      <c r="A778" s="1305"/>
      <c r="B778" s="1307" t="s">
        <v>2969</v>
      </c>
      <c r="C778" s="201"/>
      <c r="E778" s="1310"/>
    </row>
    <row r="779" spans="1:5">
      <c r="A779" s="1305"/>
      <c r="B779" s="1307"/>
      <c r="C779" s="201"/>
      <c r="E779" s="1310"/>
    </row>
    <row r="780" spans="1:5" ht="90">
      <c r="A780" s="1305" t="s">
        <v>1693</v>
      </c>
      <c r="B780" s="1307" t="s">
        <v>2970</v>
      </c>
      <c r="C780" s="201" t="s">
        <v>2659</v>
      </c>
      <c r="E780" s="1310"/>
    </row>
    <row r="781" spans="1:5">
      <c r="A781" s="1305"/>
      <c r="B781" s="1307"/>
      <c r="C781" s="201"/>
      <c r="E781" s="1310"/>
    </row>
    <row r="782" spans="1:5">
      <c r="A782" s="1305" t="s">
        <v>1695</v>
      </c>
      <c r="B782" s="1307" t="s">
        <v>2971</v>
      </c>
      <c r="C782" s="201" t="s">
        <v>2688</v>
      </c>
      <c r="E782" s="1310"/>
    </row>
    <row r="783" spans="1:5">
      <c r="A783" s="1305"/>
      <c r="B783" s="1307"/>
      <c r="C783" s="201"/>
      <c r="E783" s="1310"/>
    </row>
    <row r="784" spans="1:5" ht="30">
      <c r="A784" s="1305" t="s">
        <v>1697</v>
      </c>
      <c r="B784" s="1307" t="s">
        <v>2834</v>
      </c>
      <c r="C784" s="201" t="s">
        <v>1299</v>
      </c>
      <c r="E784" s="1310"/>
    </row>
    <row r="785" spans="1:5">
      <c r="A785" s="1305"/>
      <c r="B785" s="1307"/>
      <c r="C785" s="201"/>
      <c r="E785" s="1310"/>
    </row>
    <row r="786" spans="1:5">
      <c r="A786" s="1305"/>
      <c r="B786" s="1307" t="s">
        <v>2835</v>
      </c>
      <c r="C786" s="201"/>
      <c r="E786" s="1310"/>
    </row>
    <row r="787" spans="1:5">
      <c r="A787" s="1305"/>
      <c r="B787" s="1307"/>
      <c r="C787" s="201"/>
      <c r="E787" s="1310"/>
    </row>
    <row r="788" spans="1:5" ht="30">
      <c r="A788" s="1305" t="s">
        <v>1686</v>
      </c>
      <c r="B788" s="1307" t="s">
        <v>2972</v>
      </c>
      <c r="C788" s="201" t="s">
        <v>1299</v>
      </c>
      <c r="E788" s="1310"/>
    </row>
    <row r="789" spans="1:5">
      <c r="A789" s="1305"/>
      <c r="B789" s="1307"/>
      <c r="C789" s="201"/>
      <c r="E789" s="1310"/>
    </row>
    <row r="790" spans="1:5">
      <c r="A790" s="1305"/>
      <c r="B790" s="1309" t="s">
        <v>2838</v>
      </c>
      <c r="C790" s="201"/>
      <c r="E790" s="1310"/>
    </row>
    <row r="791" spans="1:5">
      <c r="A791" s="1305"/>
      <c r="B791" s="1307"/>
      <c r="C791" s="201"/>
      <c r="E791" s="1310"/>
    </row>
    <row r="792" spans="1:5">
      <c r="A792" s="1305" t="s">
        <v>1688</v>
      </c>
      <c r="B792" s="1307" t="s">
        <v>2839</v>
      </c>
      <c r="C792" s="201" t="s">
        <v>217</v>
      </c>
      <c r="E792" s="1310"/>
    </row>
    <row r="793" spans="1:5">
      <c r="A793" s="1305"/>
      <c r="B793" s="1307"/>
      <c r="C793" s="201"/>
      <c r="E793" s="1310"/>
    </row>
    <row r="794" spans="1:5">
      <c r="A794" s="1305" t="s">
        <v>1691</v>
      </c>
      <c r="B794" s="1307" t="s">
        <v>2840</v>
      </c>
      <c r="C794" s="201" t="s">
        <v>217</v>
      </c>
      <c r="E794" s="1310"/>
    </row>
    <row r="795" spans="1:5">
      <c r="A795" s="1305"/>
      <c r="B795" s="1307"/>
      <c r="C795" s="201"/>
      <c r="E795" s="1310"/>
    </row>
    <row r="796" spans="1:5">
      <c r="A796" s="1305" t="s">
        <v>1693</v>
      </c>
      <c r="B796" s="1307" t="s">
        <v>2841</v>
      </c>
      <c r="C796" s="201" t="s">
        <v>217</v>
      </c>
      <c r="E796" s="1310"/>
    </row>
    <row r="797" spans="1:5">
      <c r="A797" s="1305"/>
      <c r="B797" s="1307"/>
      <c r="C797" s="201"/>
      <c r="E797" s="1310"/>
    </row>
    <row r="798" spans="1:5" ht="39">
      <c r="A798" s="1305"/>
      <c r="B798" s="1309" t="s">
        <v>2973</v>
      </c>
      <c r="C798" s="201"/>
      <c r="E798" s="1310"/>
    </row>
    <row r="799" spans="1:5">
      <c r="A799" s="1305"/>
      <c r="B799" s="1307"/>
      <c r="C799" s="201"/>
      <c r="E799" s="1310"/>
    </row>
    <row r="800" spans="1:5">
      <c r="A800" s="1305" t="s">
        <v>1695</v>
      </c>
      <c r="B800" s="1307" t="s">
        <v>2839</v>
      </c>
      <c r="C800" s="201" t="s">
        <v>215</v>
      </c>
      <c r="E800" s="1310"/>
    </row>
    <row r="801" spans="1:5">
      <c r="A801" s="1305"/>
      <c r="B801" s="1307"/>
      <c r="C801" s="201"/>
      <c r="E801" s="1310"/>
    </row>
    <row r="802" spans="1:5">
      <c r="A802" s="1305" t="s">
        <v>1697</v>
      </c>
      <c r="B802" s="1307" t="s">
        <v>2840</v>
      </c>
      <c r="C802" s="201" t="s">
        <v>215</v>
      </c>
      <c r="E802" s="1310"/>
    </row>
    <row r="803" spans="1:5">
      <c r="A803" s="1305"/>
      <c r="B803" s="1307"/>
      <c r="C803" s="201"/>
      <c r="E803" s="1310"/>
    </row>
    <row r="804" spans="1:5">
      <c r="A804" s="1305" t="s">
        <v>1699</v>
      </c>
      <c r="B804" s="1307" t="s">
        <v>2841</v>
      </c>
      <c r="C804" s="201" t="s">
        <v>215</v>
      </c>
      <c r="E804" s="1310"/>
    </row>
    <row r="805" spans="1:5">
      <c r="A805" s="1305"/>
      <c r="B805" s="1307"/>
      <c r="C805" s="201"/>
      <c r="E805" s="1310"/>
    </row>
    <row r="806" spans="1:5">
      <c r="A806" s="1305"/>
      <c r="B806" s="1308" t="s">
        <v>2846</v>
      </c>
      <c r="C806" s="201"/>
      <c r="E806" s="1310"/>
    </row>
    <row r="807" spans="1:5">
      <c r="A807" s="1305"/>
      <c r="B807" s="1307"/>
      <c r="C807" s="201"/>
      <c r="E807" s="1310"/>
    </row>
    <row r="808" spans="1:5">
      <c r="A808" s="1305"/>
      <c r="B808" s="1308" t="s">
        <v>2974</v>
      </c>
      <c r="C808" s="201"/>
      <c r="E808" s="1310"/>
    </row>
    <row r="809" spans="1:5">
      <c r="A809" s="1305"/>
      <c r="B809" s="1307"/>
      <c r="C809" s="201"/>
      <c r="E809" s="1310"/>
    </row>
    <row r="810" spans="1:5" ht="45">
      <c r="A810" s="1305" t="s">
        <v>1701</v>
      </c>
      <c r="B810" s="1307" t="s">
        <v>2975</v>
      </c>
      <c r="C810" s="201" t="s">
        <v>1293</v>
      </c>
      <c r="E810" s="1310"/>
    </row>
    <row r="811" spans="1:5">
      <c r="A811" s="1305"/>
      <c r="B811" s="1307"/>
      <c r="C811" s="201"/>
      <c r="E811" s="1310"/>
    </row>
    <row r="812" spans="1:5">
      <c r="A812" s="1305" t="s">
        <v>1703</v>
      </c>
      <c r="B812" s="1307" t="s">
        <v>2976</v>
      </c>
      <c r="C812" s="201" t="s">
        <v>1299</v>
      </c>
      <c r="E812" s="1310"/>
    </row>
    <row r="813" spans="1:5">
      <c r="A813" s="1305"/>
      <c r="B813" s="1307"/>
      <c r="C813" s="201"/>
      <c r="E813" s="1310"/>
    </row>
    <row r="814" spans="1:5" ht="30">
      <c r="A814" s="1305" t="s">
        <v>1706</v>
      </c>
      <c r="B814" s="1307" t="s">
        <v>2850</v>
      </c>
      <c r="C814" s="201" t="s">
        <v>1293</v>
      </c>
      <c r="E814" s="1310"/>
    </row>
    <row r="815" spans="1:5">
      <c r="A815" s="1305"/>
      <c r="B815" s="1307"/>
      <c r="C815" s="201"/>
      <c r="E815" s="1310"/>
    </row>
    <row r="816" spans="1:5">
      <c r="A816" s="1305"/>
      <c r="B816" s="1306" t="s">
        <v>2851</v>
      </c>
      <c r="C816" s="201"/>
      <c r="E816" s="1310"/>
    </row>
    <row r="817" spans="1:5">
      <c r="A817" s="1305"/>
      <c r="B817" s="1307"/>
      <c r="C817" s="201"/>
      <c r="E817" s="1310"/>
    </row>
    <row r="818" spans="1:5" ht="30">
      <c r="A818" s="1305"/>
      <c r="B818" s="1307" t="s">
        <v>2852</v>
      </c>
      <c r="C818" s="201"/>
      <c r="E818" s="1310"/>
    </row>
    <row r="819" spans="1:5">
      <c r="A819" s="1305"/>
      <c r="B819" s="1307"/>
      <c r="C819" s="201"/>
      <c r="E819" s="1310"/>
    </row>
    <row r="820" spans="1:5">
      <c r="A820" s="1305" t="s">
        <v>1686</v>
      </c>
      <c r="B820" s="1307" t="s">
        <v>2853</v>
      </c>
      <c r="C820" s="201" t="s">
        <v>1299</v>
      </c>
      <c r="E820" s="1310"/>
    </row>
    <row r="821" spans="1:5">
      <c r="A821" s="1305"/>
      <c r="B821" s="1307"/>
      <c r="C821" s="201"/>
      <c r="E821" s="1310"/>
    </row>
    <row r="822" spans="1:5">
      <c r="A822" s="1305" t="s">
        <v>1688</v>
      </c>
      <c r="B822" s="1307" t="s">
        <v>2854</v>
      </c>
      <c r="C822" s="201" t="s">
        <v>1299</v>
      </c>
      <c r="E822" s="1310"/>
    </row>
    <row r="823" spans="1:5">
      <c r="A823" s="1305"/>
      <c r="B823" s="1307"/>
      <c r="C823" s="201"/>
      <c r="E823" s="1310"/>
    </row>
    <row r="824" spans="1:5">
      <c r="A824" s="1305"/>
      <c r="B824" s="1307" t="s">
        <v>2855</v>
      </c>
      <c r="C824" s="201"/>
      <c r="E824" s="1310"/>
    </row>
    <row r="825" spans="1:5">
      <c r="A825" s="1305"/>
      <c r="B825" s="1307"/>
      <c r="C825" s="201"/>
      <c r="E825" s="1310"/>
    </row>
    <row r="826" spans="1:5">
      <c r="A826" s="1305"/>
      <c r="B826" s="1309" t="s">
        <v>2856</v>
      </c>
      <c r="C826" s="201"/>
      <c r="E826" s="1310"/>
    </row>
    <row r="827" spans="1:5">
      <c r="A827" s="1305"/>
      <c r="B827" s="1307"/>
      <c r="C827" s="201"/>
      <c r="E827" s="1310"/>
    </row>
    <row r="828" spans="1:5">
      <c r="A828" s="1305" t="s">
        <v>1691</v>
      </c>
      <c r="B828" s="1307" t="s">
        <v>2857</v>
      </c>
      <c r="C828" s="201" t="s">
        <v>1299</v>
      </c>
      <c r="E828" s="1310"/>
    </row>
    <row r="829" spans="1:5">
      <c r="A829" s="1305"/>
      <c r="B829" s="1307"/>
      <c r="C829" s="201"/>
      <c r="E829" s="1310"/>
    </row>
    <row r="830" spans="1:5">
      <c r="A830" s="1305" t="s">
        <v>1693</v>
      </c>
      <c r="B830" s="1307" t="s">
        <v>2858</v>
      </c>
      <c r="C830" s="201" t="s">
        <v>1299</v>
      </c>
      <c r="E830" s="1310"/>
    </row>
    <row r="831" spans="1:5">
      <c r="A831" s="1305"/>
      <c r="B831" s="1307"/>
      <c r="C831" s="201"/>
      <c r="E831" s="1310"/>
    </row>
    <row r="832" spans="1:5">
      <c r="A832" s="1305" t="s">
        <v>1695</v>
      </c>
      <c r="B832" s="1307" t="s">
        <v>2977</v>
      </c>
      <c r="C832" s="201" t="s">
        <v>1299</v>
      </c>
      <c r="E832" s="1310"/>
    </row>
    <row r="833" spans="1:5">
      <c r="A833" s="1305"/>
      <c r="B833" s="1307"/>
      <c r="C833" s="201"/>
      <c r="E833" s="1310"/>
    </row>
    <row r="834" spans="1:5">
      <c r="A834" s="1305"/>
      <c r="B834" s="1306" t="s">
        <v>2860</v>
      </c>
      <c r="C834" s="201"/>
      <c r="E834" s="1310"/>
    </row>
    <row r="835" spans="1:5">
      <c r="A835" s="1305"/>
      <c r="B835" s="1307"/>
      <c r="C835" s="201"/>
      <c r="E835" s="1310"/>
    </row>
    <row r="836" spans="1:5">
      <c r="A836" s="1305"/>
      <c r="B836" s="1308" t="s">
        <v>2978</v>
      </c>
      <c r="C836" s="201"/>
      <c r="E836" s="1310"/>
    </row>
    <row r="837" spans="1:5">
      <c r="A837" s="1305"/>
      <c r="B837" s="1307"/>
      <c r="C837" s="201"/>
      <c r="E837" s="1310"/>
    </row>
    <row r="838" spans="1:5">
      <c r="A838" s="1305" t="s">
        <v>1697</v>
      </c>
      <c r="B838" s="1307" t="s">
        <v>2863</v>
      </c>
      <c r="C838" s="201" t="s">
        <v>215</v>
      </c>
      <c r="E838" s="1310"/>
    </row>
    <row r="839" spans="1:5">
      <c r="A839" s="1305"/>
      <c r="B839" s="1307"/>
      <c r="C839" s="201"/>
      <c r="E839" s="1310"/>
    </row>
    <row r="840" spans="1:5">
      <c r="A840" s="1305" t="s">
        <v>1699</v>
      </c>
      <c r="B840" s="1307" t="s">
        <v>2864</v>
      </c>
      <c r="C840" s="201" t="s">
        <v>215</v>
      </c>
      <c r="E840" s="1310"/>
    </row>
    <row r="841" spans="1:5">
      <c r="A841" s="1305"/>
      <c r="B841" s="1307"/>
      <c r="C841" s="201"/>
      <c r="E841" s="1310"/>
    </row>
    <row r="842" spans="1:5">
      <c r="A842" s="1305" t="s">
        <v>1701</v>
      </c>
      <c r="B842" s="1307" t="s">
        <v>2979</v>
      </c>
      <c r="C842" s="201" t="s">
        <v>215</v>
      </c>
      <c r="E842" s="1310"/>
    </row>
    <row r="843" spans="1:5">
      <c r="A843" s="1305"/>
      <c r="B843" s="1307"/>
      <c r="C843" s="201"/>
      <c r="E843" s="1310"/>
    </row>
    <row r="844" spans="1:5" ht="45">
      <c r="A844" s="1305" t="s">
        <v>1703</v>
      </c>
      <c r="B844" s="1307" t="s">
        <v>2980</v>
      </c>
      <c r="C844" s="201" t="s">
        <v>215</v>
      </c>
      <c r="E844" s="1310"/>
    </row>
    <row r="845" spans="1:5">
      <c r="A845" s="1305"/>
      <c r="B845" s="1307"/>
      <c r="C845" s="201"/>
      <c r="E845" s="1310"/>
    </row>
    <row r="846" spans="1:5" ht="26.25">
      <c r="A846" s="1305"/>
      <c r="B846" s="1309" t="s">
        <v>2868</v>
      </c>
      <c r="C846" s="201"/>
      <c r="E846" s="1310"/>
    </row>
    <row r="847" spans="1:5">
      <c r="A847" s="1305"/>
      <c r="B847" s="1307"/>
      <c r="C847" s="201"/>
      <c r="E847" s="1310"/>
    </row>
    <row r="848" spans="1:5">
      <c r="A848" s="1305" t="s">
        <v>1706</v>
      </c>
      <c r="B848" s="1307" t="s">
        <v>2871</v>
      </c>
      <c r="C848" s="201" t="s">
        <v>215</v>
      </c>
      <c r="E848" s="1310"/>
    </row>
    <row r="849" spans="1:5">
      <c r="A849" s="1305"/>
      <c r="B849" s="1307"/>
      <c r="C849" s="201"/>
      <c r="E849" s="1310"/>
    </row>
    <row r="850" spans="1:5">
      <c r="A850" s="1305" t="s">
        <v>1686</v>
      </c>
      <c r="B850" s="1307" t="s">
        <v>2981</v>
      </c>
      <c r="C850" s="201" t="s">
        <v>215</v>
      </c>
      <c r="E850" s="1310"/>
    </row>
    <row r="851" spans="1:5">
      <c r="A851" s="1305"/>
      <c r="B851" s="1307"/>
      <c r="C851" s="201"/>
      <c r="E851" s="1310"/>
    </row>
    <row r="852" spans="1:5" ht="45">
      <c r="A852" s="1305" t="s">
        <v>1688</v>
      </c>
      <c r="B852" s="1307" t="s">
        <v>2980</v>
      </c>
      <c r="C852" s="201" t="s">
        <v>215</v>
      </c>
      <c r="E852" s="1310"/>
    </row>
    <row r="853" spans="1:5">
      <c r="A853" s="1305"/>
      <c r="B853" s="1307"/>
      <c r="C853" s="201"/>
      <c r="E853" s="1310"/>
    </row>
    <row r="854" spans="1:5">
      <c r="A854" s="1305" t="s">
        <v>1691</v>
      </c>
      <c r="B854" s="1307" t="s">
        <v>2874</v>
      </c>
      <c r="C854" s="201" t="s">
        <v>215</v>
      </c>
      <c r="E854" s="1310"/>
    </row>
    <row r="855" spans="1:5">
      <c r="A855" s="1305"/>
      <c r="B855" s="1307"/>
      <c r="C855" s="201"/>
      <c r="E855" s="1310"/>
    </row>
    <row r="856" spans="1:5" ht="26.25">
      <c r="A856" s="1305"/>
      <c r="B856" s="1309" t="s">
        <v>2875</v>
      </c>
      <c r="C856" s="201"/>
      <c r="E856" s="1310"/>
    </row>
    <row r="857" spans="1:5">
      <c r="A857" s="1305"/>
      <c r="B857" s="1307"/>
      <c r="C857" s="201"/>
      <c r="E857" s="1310"/>
    </row>
    <row r="858" spans="1:5">
      <c r="A858" s="1305" t="s">
        <v>1693</v>
      </c>
      <c r="B858" s="1307" t="s">
        <v>2870</v>
      </c>
      <c r="C858" s="201" t="s">
        <v>215</v>
      </c>
      <c r="E858" s="1310"/>
    </row>
    <row r="859" spans="1:5">
      <c r="A859" s="1305"/>
      <c r="B859" s="1307"/>
      <c r="C859" s="201"/>
      <c r="E859" s="1310"/>
    </row>
    <row r="860" spans="1:5">
      <c r="A860" s="1305" t="s">
        <v>1695</v>
      </c>
      <c r="B860" s="1307" t="s">
        <v>2871</v>
      </c>
      <c r="C860" s="201" t="s">
        <v>215</v>
      </c>
      <c r="E860" s="1310"/>
    </row>
    <row r="861" spans="1:5">
      <c r="A861" s="1305"/>
      <c r="B861" s="1307"/>
      <c r="C861" s="201"/>
      <c r="E861" s="1310"/>
    </row>
    <row r="862" spans="1:5" ht="26.25">
      <c r="A862" s="1305"/>
      <c r="B862" s="1308" t="s">
        <v>2876</v>
      </c>
      <c r="C862" s="201"/>
      <c r="E862" s="1310"/>
    </row>
    <row r="863" spans="1:5">
      <c r="A863" s="1305"/>
      <c r="B863" s="1307"/>
      <c r="C863" s="201"/>
      <c r="E863" s="1310"/>
    </row>
    <row r="864" spans="1:5">
      <c r="A864" s="1305" t="s">
        <v>1697</v>
      </c>
      <c r="B864" s="1307" t="s">
        <v>2877</v>
      </c>
      <c r="C864" s="201" t="s">
        <v>215</v>
      </c>
      <c r="E864" s="1310"/>
    </row>
    <row r="865" spans="1:5">
      <c r="A865" s="1305"/>
      <c r="B865" s="1307"/>
      <c r="C865" s="201"/>
      <c r="E865" s="1310"/>
    </row>
    <row r="866" spans="1:5">
      <c r="A866" s="1305"/>
      <c r="B866" s="1308" t="s">
        <v>2878</v>
      </c>
      <c r="C866" s="201"/>
      <c r="E866" s="1310"/>
    </row>
    <row r="867" spans="1:5">
      <c r="A867" s="1305"/>
      <c r="B867" s="1307"/>
      <c r="C867" s="201"/>
      <c r="E867" s="1310"/>
    </row>
    <row r="868" spans="1:5">
      <c r="A868" s="1305" t="s">
        <v>1699</v>
      </c>
      <c r="B868" s="1307" t="s">
        <v>2879</v>
      </c>
      <c r="C868" s="201" t="s">
        <v>2659</v>
      </c>
      <c r="E868" s="1310"/>
    </row>
    <row r="869" spans="1:5">
      <c r="A869" s="1305"/>
      <c r="B869" s="1307"/>
      <c r="C869" s="201"/>
      <c r="E869" s="1310"/>
    </row>
    <row r="870" spans="1:5">
      <c r="A870" s="1305" t="s">
        <v>1701</v>
      </c>
      <c r="B870" s="1307" t="s">
        <v>2880</v>
      </c>
      <c r="C870" s="201" t="s">
        <v>2659</v>
      </c>
      <c r="E870" s="1310"/>
    </row>
    <row r="871" spans="1:5">
      <c r="A871" s="1305"/>
      <c r="B871" s="1307"/>
      <c r="C871" s="201"/>
      <c r="E871" s="1310"/>
    </row>
    <row r="872" spans="1:5">
      <c r="A872" s="1305"/>
      <c r="B872" s="1306" t="s">
        <v>2881</v>
      </c>
      <c r="C872" s="201"/>
      <c r="E872" s="1310"/>
    </row>
    <row r="873" spans="1:5">
      <c r="A873" s="1305"/>
      <c r="B873" s="1307"/>
      <c r="C873" s="201"/>
      <c r="E873" s="1310"/>
    </row>
    <row r="874" spans="1:5" ht="26.25">
      <c r="A874" s="1305"/>
      <c r="B874" s="1308" t="s">
        <v>2982</v>
      </c>
      <c r="C874" s="201"/>
      <c r="E874" s="1310"/>
    </row>
    <row r="875" spans="1:5">
      <c r="A875" s="1305"/>
      <c r="B875" s="1307"/>
      <c r="C875" s="201"/>
      <c r="E875" s="1310"/>
    </row>
    <row r="876" spans="1:5" ht="26.25">
      <c r="A876" s="1305"/>
      <c r="B876" s="1309" t="s">
        <v>2983</v>
      </c>
      <c r="C876" s="201"/>
      <c r="E876" s="1310"/>
    </row>
    <row r="877" spans="1:5">
      <c r="A877" s="1305"/>
      <c r="B877" s="1307"/>
      <c r="C877" s="201"/>
      <c r="E877" s="1310"/>
    </row>
    <row r="878" spans="1:5">
      <c r="A878" s="1305" t="s">
        <v>1686</v>
      </c>
      <c r="B878" s="1307" t="s">
        <v>2887</v>
      </c>
      <c r="C878" s="201" t="s">
        <v>217</v>
      </c>
      <c r="E878" s="1310"/>
    </row>
    <row r="879" spans="1:5">
      <c r="A879" s="1305"/>
      <c r="B879" s="1307"/>
      <c r="C879" s="201"/>
      <c r="E879" s="1310"/>
    </row>
    <row r="880" spans="1:5">
      <c r="A880" s="1305" t="s">
        <v>1688</v>
      </c>
      <c r="B880" s="1307" t="s">
        <v>2902</v>
      </c>
      <c r="C880" s="201" t="s">
        <v>217</v>
      </c>
      <c r="E880" s="1310"/>
    </row>
    <row r="881" spans="1:5">
      <c r="A881" s="1305"/>
      <c r="B881" s="1307"/>
      <c r="C881" s="201"/>
      <c r="E881" s="1310"/>
    </row>
    <row r="882" spans="1:5">
      <c r="A882" s="1305" t="s">
        <v>1691</v>
      </c>
      <c r="B882" s="1307" t="s">
        <v>2890</v>
      </c>
      <c r="C882" s="201" t="s">
        <v>217</v>
      </c>
      <c r="E882" s="1310"/>
    </row>
    <row r="883" spans="1:5">
      <c r="A883" s="1305"/>
      <c r="B883" s="1307"/>
      <c r="C883" s="201"/>
      <c r="E883" s="1310"/>
    </row>
    <row r="884" spans="1:5">
      <c r="A884" s="1305" t="s">
        <v>1693</v>
      </c>
      <c r="B884" s="1307" t="s">
        <v>2889</v>
      </c>
      <c r="C884" s="201" t="s">
        <v>217</v>
      </c>
      <c r="E884" s="1310"/>
    </row>
    <row r="885" spans="1:5">
      <c r="A885" s="1305"/>
      <c r="B885" s="1307"/>
      <c r="C885" s="201"/>
      <c r="E885" s="1310"/>
    </row>
    <row r="886" spans="1:5">
      <c r="A886" s="1305" t="s">
        <v>1695</v>
      </c>
      <c r="B886" s="1307" t="s">
        <v>2984</v>
      </c>
      <c r="C886" s="201" t="s">
        <v>217</v>
      </c>
      <c r="E886" s="1310"/>
    </row>
    <row r="887" spans="1:5">
      <c r="A887" s="1305"/>
      <c r="B887" s="1307"/>
      <c r="C887" s="201"/>
      <c r="E887" s="1310"/>
    </row>
    <row r="888" spans="1:5">
      <c r="A888" s="1305" t="s">
        <v>1697</v>
      </c>
      <c r="B888" s="1307" t="s">
        <v>2985</v>
      </c>
      <c r="C888" s="201" t="s">
        <v>217</v>
      </c>
      <c r="E888" s="1310"/>
    </row>
    <row r="889" spans="1:5">
      <c r="A889" s="1305"/>
      <c r="B889" s="1307"/>
      <c r="C889" s="201"/>
      <c r="E889" s="1310"/>
    </row>
    <row r="890" spans="1:5">
      <c r="A890" s="1305" t="s">
        <v>1699</v>
      </c>
      <c r="B890" s="1307" t="s">
        <v>2986</v>
      </c>
      <c r="C890" s="201" t="s">
        <v>217</v>
      </c>
      <c r="E890" s="1310"/>
    </row>
    <row r="891" spans="1:5">
      <c r="A891" s="1305"/>
      <c r="B891" s="1307"/>
      <c r="C891" s="201"/>
      <c r="E891" s="1310"/>
    </row>
    <row r="892" spans="1:5">
      <c r="A892" s="1305" t="s">
        <v>1701</v>
      </c>
      <c r="B892" s="1307" t="s">
        <v>2987</v>
      </c>
      <c r="C892" s="201" t="s">
        <v>217</v>
      </c>
      <c r="E892" s="1310"/>
    </row>
    <row r="893" spans="1:5">
      <c r="A893" s="1305"/>
      <c r="B893" s="1307"/>
      <c r="C893" s="201"/>
      <c r="E893" s="1310"/>
    </row>
    <row r="894" spans="1:5">
      <c r="A894" s="1305"/>
      <c r="B894" s="1309" t="s">
        <v>2906</v>
      </c>
      <c r="C894" s="201"/>
      <c r="E894" s="1310"/>
    </row>
    <row r="895" spans="1:5">
      <c r="A895" s="1305"/>
      <c r="B895" s="1307"/>
      <c r="C895" s="201"/>
      <c r="E895" s="1310"/>
    </row>
    <row r="896" spans="1:5">
      <c r="A896" s="1305" t="s">
        <v>1703</v>
      </c>
      <c r="B896" s="1307" t="s">
        <v>2988</v>
      </c>
      <c r="C896" s="201" t="s">
        <v>217</v>
      </c>
      <c r="E896" s="1310"/>
    </row>
    <row r="897" spans="1:5">
      <c r="A897" s="1305"/>
      <c r="B897" s="1307"/>
      <c r="C897" s="201"/>
      <c r="E897" s="1310"/>
    </row>
    <row r="898" spans="1:5">
      <c r="A898" s="1305" t="s">
        <v>1706</v>
      </c>
      <c r="B898" s="1307" t="s">
        <v>2910</v>
      </c>
      <c r="C898" s="201" t="s">
        <v>217</v>
      </c>
      <c r="E898" s="1310"/>
    </row>
    <row r="899" spans="1:5">
      <c r="A899" s="1305"/>
      <c r="B899" s="1307"/>
      <c r="C899" s="201"/>
      <c r="E899" s="1310"/>
    </row>
    <row r="900" spans="1:5">
      <c r="A900" s="1305" t="s">
        <v>1708</v>
      </c>
      <c r="B900" s="1307" t="s">
        <v>2912</v>
      </c>
      <c r="C900" s="201" t="s">
        <v>217</v>
      </c>
      <c r="E900" s="1310"/>
    </row>
    <row r="901" spans="1:5">
      <c r="A901" s="1305"/>
      <c r="B901" s="1307"/>
      <c r="C901" s="201"/>
      <c r="E901" s="1310"/>
    </row>
    <row r="902" spans="1:5">
      <c r="A902" s="1305" t="s">
        <v>1710</v>
      </c>
      <c r="B902" s="1307" t="s">
        <v>2989</v>
      </c>
      <c r="C902" s="201" t="s">
        <v>217</v>
      </c>
      <c r="E902" s="1310"/>
    </row>
    <row r="903" spans="1:5">
      <c r="A903" s="1305"/>
      <c r="B903" s="1307"/>
      <c r="C903" s="201"/>
      <c r="E903" s="1310"/>
    </row>
    <row r="904" spans="1:5">
      <c r="A904" s="1305" t="s">
        <v>1712</v>
      </c>
      <c r="B904" s="1307" t="s">
        <v>2914</v>
      </c>
      <c r="C904" s="201" t="s">
        <v>217</v>
      </c>
      <c r="E904" s="1310"/>
    </row>
    <row r="905" spans="1:5">
      <c r="A905" s="1305"/>
      <c r="B905" s="1307"/>
      <c r="C905" s="201"/>
      <c r="E905" s="1310"/>
    </row>
    <row r="906" spans="1:5">
      <c r="A906" s="1305" t="s">
        <v>1834</v>
      </c>
      <c r="B906" s="1307" t="s">
        <v>2990</v>
      </c>
      <c r="C906" s="201" t="s">
        <v>217</v>
      </c>
      <c r="E906" s="1310"/>
    </row>
    <row r="907" spans="1:5">
      <c r="A907" s="1305"/>
      <c r="B907" s="1307"/>
      <c r="C907" s="201"/>
      <c r="E907" s="1310"/>
    </row>
    <row r="908" spans="1:5">
      <c r="A908" s="1305"/>
      <c r="B908" s="1308" t="s">
        <v>2918</v>
      </c>
      <c r="C908" s="201"/>
      <c r="E908" s="1310"/>
    </row>
    <row r="909" spans="1:5">
      <c r="A909" s="1305"/>
      <c r="B909" s="1307"/>
      <c r="C909" s="201"/>
      <c r="E909" s="1310"/>
    </row>
    <row r="910" spans="1:5" ht="45">
      <c r="A910" s="1305"/>
      <c r="B910" s="1307" t="s">
        <v>2991</v>
      </c>
      <c r="C910" s="201"/>
      <c r="E910" s="1310"/>
    </row>
    <row r="911" spans="1:5">
      <c r="A911" s="1305"/>
      <c r="B911" s="1307"/>
      <c r="C911" s="201"/>
      <c r="E911" s="1310"/>
    </row>
    <row r="912" spans="1:5" ht="30">
      <c r="A912" s="1305"/>
      <c r="B912" s="1307" t="s">
        <v>2992</v>
      </c>
      <c r="C912" s="201"/>
      <c r="E912" s="1310"/>
    </row>
    <row r="913" spans="1:5">
      <c r="A913" s="1305"/>
      <c r="B913" s="1307"/>
      <c r="C913" s="201"/>
      <c r="E913" s="1310"/>
    </row>
    <row r="914" spans="1:5">
      <c r="A914" s="1305" t="s">
        <v>1686</v>
      </c>
      <c r="B914" s="1307" t="s">
        <v>2993</v>
      </c>
      <c r="C914" s="201" t="s">
        <v>217</v>
      </c>
      <c r="E914" s="1310"/>
    </row>
    <row r="915" spans="1:5">
      <c r="A915" s="1305"/>
      <c r="B915" s="1307"/>
      <c r="C915" s="201"/>
      <c r="E915" s="1310"/>
    </row>
    <row r="916" spans="1:5">
      <c r="A916" s="1305" t="s">
        <v>1688</v>
      </c>
      <c r="B916" s="1307" t="s">
        <v>2994</v>
      </c>
      <c r="C916" s="201" t="s">
        <v>217</v>
      </c>
      <c r="E916" s="1310"/>
    </row>
    <row r="917" spans="1:5">
      <c r="A917" s="1305"/>
      <c r="B917" s="1307"/>
      <c r="C917" s="201"/>
      <c r="E917" s="1310"/>
    </row>
    <row r="918" spans="1:5">
      <c r="A918" s="1305" t="s">
        <v>1691</v>
      </c>
      <c r="B918" s="1307" t="s">
        <v>2995</v>
      </c>
      <c r="C918" s="201" t="s">
        <v>217</v>
      </c>
      <c r="E918" s="1310"/>
    </row>
    <row r="919" spans="1:5">
      <c r="A919" s="1305"/>
      <c r="B919" s="1307"/>
      <c r="C919" s="201"/>
      <c r="E919" s="1310"/>
    </row>
    <row r="920" spans="1:5">
      <c r="A920" s="1305"/>
      <c r="B920" s="1308" t="s">
        <v>2926</v>
      </c>
      <c r="C920" s="201"/>
      <c r="E920" s="1310"/>
    </row>
    <row r="921" spans="1:5">
      <c r="A921" s="1305"/>
      <c r="B921" s="1307"/>
      <c r="C921" s="201"/>
      <c r="E921" s="1310"/>
    </row>
    <row r="922" spans="1:5">
      <c r="A922" s="1305"/>
      <c r="B922" s="1308" t="s">
        <v>2927</v>
      </c>
      <c r="C922" s="201"/>
      <c r="E922" s="1310"/>
    </row>
    <row r="923" spans="1:5">
      <c r="A923" s="1305"/>
      <c r="B923" s="1307"/>
      <c r="C923" s="201"/>
      <c r="E923" s="1310"/>
    </row>
    <row r="924" spans="1:5">
      <c r="A924" s="1305" t="s">
        <v>1693</v>
      </c>
      <c r="B924" s="1307" t="s">
        <v>2928</v>
      </c>
      <c r="C924" s="201" t="s">
        <v>1299</v>
      </c>
      <c r="E924" s="1310"/>
    </row>
    <row r="925" spans="1:5">
      <c r="A925" s="1305"/>
      <c r="B925" s="1307"/>
      <c r="C925" s="201"/>
      <c r="E925" s="1310"/>
    </row>
    <row r="926" spans="1:5">
      <c r="A926" s="1305" t="s">
        <v>1695</v>
      </c>
      <c r="B926" s="1307" t="s">
        <v>2996</v>
      </c>
      <c r="C926" s="201" t="s">
        <v>1299</v>
      </c>
      <c r="E926" s="1310"/>
    </row>
    <row r="927" spans="1:5">
      <c r="A927" s="1305"/>
      <c r="B927" s="1307"/>
      <c r="C927" s="201"/>
      <c r="E927" s="1310"/>
    </row>
    <row r="928" spans="1:5">
      <c r="A928" s="1305"/>
      <c r="B928" s="1306" t="s">
        <v>2997</v>
      </c>
      <c r="C928" s="201"/>
      <c r="E928" s="1310"/>
    </row>
    <row r="929" spans="1:5">
      <c r="A929" s="1305"/>
      <c r="B929" s="1307"/>
      <c r="C929" s="201"/>
      <c r="E929" s="1310"/>
    </row>
    <row r="930" spans="1:5" ht="51.75">
      <c r="A930" s="1305"/>
      <c r="B930" s="1308" t="s">
        <v>2998</v>
      </c>
      <c r="C930" s="201"/>
      <c r="E930" s="1310"/>
    </row>
    <row r="931" spans="1:5">
      <c r="A931" s="1305"/>
      <c r="B931" s="1307"/>
      <c r="C931" s="201"/>
      <c r="E931" s="1310"/>
    </row>
    <row r="932" spans="1:5">
      <c r="A932" s="1305" t="s">
        <v>1697</v>
      </c>
      <c r="B932" s="1307" t="s">
        <v>2999</v>
      </c>
      <c r="C932" s="201" t="s">
        <v>217</v>
      </c>
      <c r="E932" s="1310"/>
    </row>
    <row r="933" spans="1:5">
      <c r="A933" s="1305"/>
      <c r="B933" s="1307"/>
      <c r="C933" s="201"/>
      <c r="E933" s="1310"/>
    </row>
    <row r="934" spans="1:5">
      <c r="A934" s="1305" t="s">
        <v>1699</v>
      </c>
      <c r="B934" s="1307" t="s">
        <v>3000</v>
      </c>
      <c r="C934" s="201" t="s">
        <v>217</v>
      </c>
      <c r="E934" s="1310"/>
    </row>
    <row r="935" spans="1:5">
      <c r="A935" s="1305"/>
      <c r="B935" s="1307"/>
      <c r="C935" s="201"/>
      <c r="E935" s="1310"/>
    </row>
    <row r="936" spans="1:5">
      <c r="A936" s="1305" t="s">
        <v>1701</v>
      </c>
      <c r="B936" s="1307" t="s">
        <v>3001</v>
      </c>
      <c r="C936" s="201" t="s">
        <v>217</v>
      </c>
      <c r="E936" s="1310"/>
    </row>
    <row r="937" spans="1:5">
      <c r="A937" s="1305"/>
      <c r="B937" s="1307"/>
      <c r="C937" s="201"/>
      <c r="E937" s="1310"/>
    </row>
    <row r="938" spans="1:5">
      <c r="A938" s="1305" t="s">
        <v>1686</v>
      </c>
      <c r="B938" s="1307" t="s">
        <v>3002</v>
      </c>
      <c r="C938" s="201" t="s">
        <v>217</v>
      </c>
      <c r="E938" s="1310"/>
    </row>
    <row r="939" spans="1:5">
      <c r="A939" s="1305"/>
      <c r="B939" s="1307"/>
      <c r="C939" s="201"/>
      <c r="E939" s="1310"/>
    </row>
    <row r="940" spans="1:5">
      <c r="A940" s="1305" t="s">
        <v>1688</v>
      </c>
      <c r="B940" s="1307" t="s">
        <v>3003</v>
      </c>
      <c r="C940" s="201" t="s">
        <v>217</v>
      </c>
      <c r="E940" s="1310"/>
    </row>
    <row r="941" spans="1:5">
      <c r="A941" s="1305"/>
      <c r="B941" s="1307"/>
      <c r="C941" s="201"/>
      <c r="E941" s="1310"/>
    </row>
    <row r="942" spans="1:5">
      <c r="A942" s="1305"/>
      <c r="B942" s="1308" t="s">
        <v>2340</v>
      </c>
      <c r="C942" s="201"/>
      <c r="E942" s="1310"/>
    </row>
    <row r="943" spans="1:5">
      <c r="A943" s="1305"/>
      <c r="B943" s="1307"/>
      <c r="C943" s="201"/>
      <c r="E943" s="1310"/>
    </row>
    <row r="944" spans="1:5">
      <c r="A944" s="1305" t="s">
        <v>1691</v>
      </c>
      <c r="B944" s="1307" t="s">
        <v>3004</v>
      </c>
      <c r="C944" s="201" t="s">
        <v>1299</v>
      </c>
      <c r="E944" s="1310"/>
    </row>
    <row r="945" spans="1:5">
      <c r="A945" s="1305"/>
      <c r="B945" s="1307"/>
      <c r="C945" s="201"/>
      <c r="E945" s="1310"/>
    </row>
    <row r="946" spans="1:5" ht="30">
      <c r="A946" s="1305" t="s">
        <v>1693</v>
      </c>
      <c r="B946" s="1307" t="s">
        <v>3005</v>
      </c>
      <c r="C946" s="201" t="s">
        <v>217</v>
      </c>
      <c r="E946" s="1310"/>
    </row>
    <row r="947" spans="1:5">
      <c r="A947" s="1305"/>
      <c r="B947" s="1307"/>
      <c r="C947" s="201"/>
      <c r="E947" s="1310"/>
    </row>
    <row r="948" spans="1:5" ht="30">
      <c r="A948" s="1305" t="s">
        <v>1695</v>
      </c>
      <c r="B948" s="1307" t="s">
        <v>3006</v>
      </c>
      <c r="C948" s="201" t="s">
        <v>217</v>
      </c>
      <c r="E948" s="1310"/>
    </row>
    <row r="949" spans="1:5">
      <c r="A949" s="1305"/>
      <c r="B949" s="1307"/>
      <c r="C949" s="201"/>
      <c r="E949" s="1310"/>
    </row>
    <row r="950" spans="1:5" ht="30">
      <c r="A950" s="1305" t="s">
        <v>1697</v>
      </c>
      <c r="B950" s="1307" t="s">
        <v>3007</v>
      </c>
      <c r="C950" s="201" t="s">
        <v>217</v>
      </c>
      <c r="E950" s="1310"/>
    </row>
    <row r="951" spans="1:5">
      <c r="A951" s="1305"/>
      <c r="B951" s="1307"/>
      <c r="C951" s="201"/>
      <c r="E951" s="1310"/>
    </row>
    <row r="952" spans="1:5" ht="30">
      <c r="A952" s="1305" t="s">
        <v>1699</v>
      </c>
      <c r="B952" s="1307" t="s">
        <v>3008</v>
      </c>
      <c r="C952" s="201" t="s">
        <v>1293</v>
      </c>
      <c r="E952" s="1310"/>
    </row>
    <row r="953" spans="1:5">
      <c r="A953" s="1305"/>
      <c r="B953" s="1307"/>
      <c r="C953" s="201"/>
      <c r="E953" s="1310"/>
    </row>
    <row r="954" spans="1:5" ht="45">
      <c r="A954" s="1305" t="s">
        <v>1701</v>
      </c>
      <c r="B954" s="1307" t="s">
        <v>3009</v>
      </c>
      <c r="C954" s="201" t="s">
        <v>217</v>
      </c>
      <c r="E954" s="1310"/>
    </row>
    <row r="955" spans="1:5">
      <c r="A955" s="1305"/>
      <c r="B955" s="1307"/>
      <c r="C955" s="201"/>
      <c r="E955" s="1310"/>
    </row>
    <row r="956" spans="1:5" ht="60">
      <c r="A956" s="1305" t="s">
        <v>1703</v>
      </c>
      <c r="B956" s="1307" t="s">
        <v>3010</v>
      </c>
      <c r="C956" s="201" t="s">
        <v>217</v>
      </c>
      <c r="E956" s="1310"/>
    </row>
    <row r="957" spans="1:5">
      <c r="A957" s="1305"/>
      <c r="B957" s="1307"/>
      <c r="C957" s="201"/>
      <c r="E957" s="1310"/>
    </row>
    <row r="958" spans="1:5" ht="30">
      <c r="A958" s="1305" t="s">
        <v>1706</v>
      </c>
      <c r="B958" s="1307" t="s">
        <v>3011</v>
      </c>
      <c r="C958" s="201" t="s">
        <v>217</v>
      </c>
      <c r="E958" s="1310"/>
    </row>
    <row r="959" spans="1:5">
      <c r="A959" s="1305"/>
      <c r="B959" s="1307"/>
      <c r="C959" s="201"/>
      <c r="E959" s="1310"/>
    </row>
    <row r="960" spans="1:5">
      <c r="A960" s="1305"/>
      <c r="B960" s="1308" t="s">
        <v>3012</v>
      </c>
      <c r="C960" s="201"/>
      <c r="E960" s="1310"/>
    </row>
    <row r="961" spans="1:5">
      <c r="A961" s="1305"/>
      <c r="B961" s="1307"/>
      <c r="C961" s="201"/>
      <c r="E961" s="1310"/>
    </row>
    <row r="962" spans="1:5">
      <c r="A962" s="1305"/>
      <c r="B962" s="1306" t="s">
        <v>2809</v>
      </c>
      <c r="C962" s="201"/>
      <c r="E962" s="1310"/>
    </row>
    <row r="963" spans="1:5">
      <c r="A963" s="1305"/>
      <c r="B963" s="1307"/>
      <c r="C963" s="201"/>
      <c r="E963" s="1310"/>
    </row>
    <row r="964" spans="1:5">
      <c r="A964" s="1305"/>
      <c r="B964" s="1308" t="s">
        <v>2773</v>
      </c>
      <c r="C964" s="201"/>
      <c r="E964" s="1310"/>
    </row>
    <row r="965" spans="1:5">
      <c r="A965" s="1305"/>
      <c r="B965" s="1307"/>
      <c r="C965" s="201"/>
      <c r="E965" s="1310"/>
    </row>
    <row r="966" spans="1:5" ht="39">
      <c r="A966" s="1305"/>
      <c r="B966" s="1309" t="s">
        <v>3013</v>
      </c>
      <c r="C966" s="201"/>
      <c r="E966" s="1310"/>
    </row>
    <row r="967" spans="1:5">
      <c r="A967" s="1305"/>
      <c r="B967" s="1307"/>
      <c r="C967" s="201"/>
      <c r="E967" s="1310"/>
    </row>
    <row r="968" spans="1:5">
      <c r="A968" s="1305" t="s">
        <v>1686</v>
      </c>
      <c r="B968" s="1307" t="s">
        <v>2811</v>
      </c>
      <c r="C968" s="201" t="s">
        <v>215</v>
      </c>
      <c r="E968" s="1310"/>
    </row>
    <row r="969" spans="1:5">
      <c r="A969" s="1305"/>
      <c r="B969" s="1307"/>
      <c r="C969" s="201"/>
      <c r="E969" s="1310"/>
    </row>
    <row r="970" spans="1:5">
      <c r="A970" s="1305" t="s">
        <v>1688</v>
      </c>
      <c r="B970" s="1307" t="s">
        <v>2812</v>
      </c>
      <c r="C970" s="201" t="s">
        <v>215</v>
      </c>
      <c r="E970" s="1310"/>
    </row>
    <row r="971" spans="1:5">
      <c r="A971" s="1305"/>
      <c r="B971" s="1307"/>
      <c r="C971" s="201"/>
      <c r="E971" s="1310"/>
    </row>
    <row r="972" spans="1:5" ht="39">
      <c r="A972" s="1305"/>
      <c r="B972" s="1309" t="s">
        <v>3014</v>
      </c>
      <c r="C972" s="201"/>
      <c r="E972" s="1310"/>
    </row>
    <row r="973" spans="1:5">
      <c r="A973" s="1305"/>
      <c r="B973" s="1307"/>
      <c r="C973" s="201"/>
      <c r="E973" s="1310"/>
    </row>
    <row r="974" spans="1:5">
      <c r="A974" s="1305" t="s">
        <v>1691</v>
      </c>
      <c r="B974" s="1307" t="s">
        <v>2811</v>
      </c>
      <c r="C974" s="201" t="s">
        <v>215</v>
      </c>
      <c r="E974" s="1310"/>
    </row>
    <row r="975" spans="1:5">
      <c r="A975" s="1305"/>
      <c r="B975" s="1307"/>
      <c r="C975" s="201"/>
      <c r="E975" s="1310"/>
    </row>
    <row r="976" spans="1:5">
      <c r="A976" s="1305" t="s">
        <v>1693</v>
      </c>
      <c r="B976" s="1307" t="s">
        <v>2812</v>
      </c>
      <c r="C976" s="201" t="s">
        <v>215</v>
      </c>
      <c r="E976" s="1310"/>
    </row>
    <row r="977" spans="1:5">
      <c r="A977" s="1305"/>
      <c r="B977" s="1307"/>
      <c r="C977" s="201"/>
      <c r="E977" s="1310"/>
    </row>
    <row r="978" spans="1:5">
      <c r="A978" s="1305" t="s">
        <v>1695</v>
      </c>
      <c r="B978" s="1307" t="s">
        <v>3015</v>
      </c>
      <c r="C978" s="201" t="s">
        <v>215</v>
      </c>
      <c r="E978" s="1310"/>
    </row>
    <row r="979" spans="1:5">
      <c r="A979" s="1305"/>
      <c r="B979" s="1307"/>
      <c r="C979" s="201"/>
      <c r="E979" s="1310"/>
    </row>
    <row r="980" spans="1:5">
      <c r="A980" s="1305" t="s">
        <v>1697</v>
      </c>
      <c r="B980" s="1307" t="s">
        <v>3016</v>
      </c>
      <c r="C980" s="201" t="s">
        <v>215</v>
      </c>
      <c r="E980" s="1310"/>
    </row>
    <row r="981" spans="1:5">
      <c r="A981" s="1305"/>
      <c r="B981" s="1307"/>
      <c r="C981" s="201"/>
      <c r="E981" s="1310"/>
    </row>
    <row r="982" spans="1:5" ht="39">
      <c r="A982" s="1305"/>
      <c r="B982" s="1309" t="s">
        <v>3017</v>
      </c>
      <c r="C982" s="201"/>
      <c r="E982" s="1310"/>
    </row>
    <row r="983" spans="1:5">
      <c r="A983" s="1305"/>
      <c r="B983" s="1307"/>
      <c r="C983" s="201"/>
      <c r="E983" s="1310"/>
    </row>
    <row r="984" spans="1:5">
      <c r="A984" s="1305" t="s">
        <v>1699</v>
      </c>
      <c r="B984" s="1307" t="s">
        <v>2812</v>
      </c>
      <c r="C984" s="201" t="s">
        <v>215</v>
      </c>
      <c r="E984" s="1310"/>
    </row>
    <row r="985" spans="1:5">
      <c r="A985" s="1305"/>
      <c r="B985" s="1307"/>
      <c r="C985" s="201"/>
      <c r="E985" s="1310"/>
    </row>
    <row r="986" spans="1:5">
      <c r="A986" s="1305" t="s">
        <v>1686</v>
      </c>
      <c r="B986" s="1307" t="s">
        <v>3015</v>
      </c>
      <c r="C986" s="201" t="s">
        <v>215</v>
      </c>
      <c r="E986" s="1310"/>
    </row>
    <row r="987" spans="1:5">
      <c r="A987" s="1305"/>
      <c r="B987" s="1307"/>
      <c r="C987" s="201"/>
      <c r="E987" s="1310"/>
    </row>
    <row r="988" spans="1:5">
      <c r="A988" s="1305"/>
      <c r="B988" s="1309" t="s">
        <v>2815</v>
      </c>
      <c r="C988" s="201"/>
      <c r="E988" s="1310"/>
    </row>
    <row r="989" spans="1:5">
      <c r="A989" s="1305"/>
      <c r="B989" s="1307"/>
      <c r="C989" s="201"/>
      <c r="E989" s="1310"/>
    </row>
    <row r="990" spans="1:5">
      <c r="A990" s="1305" t="s">
        <v>1688</v>
      </c>
      <c r="B990" s="1307" t="s">
        <v>2816</v>
      </c>
      <c r="C990" s="201" t="s">
        <v>1299</v>
      </c>
      <c r="E990" s="1310"/>
    </row>
    <row r="991" spans="1:5">
      <c r="A991" s="1305"/>
      <c r="B991" s="1307"/>
      <c r="C991" s="201"/>
      <c r="E991" s="1310"/>
    </row>
    <row r="992" spans="1:5">
      <c r="A992" s="1305" t="s">
        <v>1691</v>
      </c>
      <c r="B992" s="1307" t="s">
        <v>2817</v>
      </c>
      <c r="C992" s="201" t="s">
        <v>1299</v>
      </c>
      <c r="E992" s="1310"/>
    </row>
    <row r="993" spans="1:5">
      <c r="A993" s="1305"/>
      <c r="B993" s="1307"/>
      <c r="C993" s="201"/>
      <c r="E993" s="1310"/>
    </row>
    <row r="994" spans="1:5" ht="30">
      <c r="A994" s="1305" t="s">
        <v>1693</v>
      </c>
      <c r="B994" s="1307" t="s">
        <v>2818</v>
      </c>
      <c r="C994" s="201" t="s">
        <v>1299</v>
      </c>
      <c r="E994" s="1310"/>
    </row>
    <row r="995" spans="1:5">
      <c r="A995" s="1305"/>
      <c r="B995" s="1307"/>
      <c r="C995" s="201"/>
      <c r="E995" s="1310"/>
    </row>
    <row r="996" spans="1:5">
      <c r="A996" s="1305"/>
      <c r="B996" s="1308" t="s">
        <v>2819</v>
      </c>
      <c r="C996" s="201"/>
      <c r="E996" s="1310"/>
    </row>
    <row r="997" spans="1:5">
      <c r="A997" s="1305"/>
      <c r="B997" s="1307"/>
      <c r="C997" s="201"/>
      <c r="E997" s="1310"/>
    </row>
    <row r="998" spans="1:5">
      <c r="A998" s="1305"/>
      <c r="B998" s="1307" t="s">
        <v>2938</v>
      </c>
      <c r="C998" s="201"/>
      <c r="E998" s="1310"/>
    </row>
    <row r="999" spans="1:5">
      <c r="A999" s="1305"/>
      <c r="B999" s="1307"/>
      <c r="C999" s="201"/>
      <c r="E999" s="1310"/>
    </row>
    <row r="1000" spans="1:5">
      <c r="A1000" s="1305" t="s">
        <v>1695</v>
      </c>
      <c r="B1000" s="1307" t="s">
        <v>2821</v>
      </c>
      <c r="C1000" s="201" t="s">
        <v>1299</v>
      </c>
      <c r="E1000" s="1310"/>
    </row>
    <row r="1001" spans="1:5">
      <c r="A1001" s="1305"/>
      <c r="B1001" s="1307"/>
      <c r="C1001" s="201"/>
      <c r="E1001" s="1310"/>
    </row>
    <row r="1002" spans="1:5" ht="30">
      <c r="A1002" s="1305" t="s">
        <v>1697</v>
      </c>
      <c r="B1002" s="1307" t="s">
        <v>2822</v>
      </c>
      <c r="C1002" s="201" t="s">
        <v>1299</v>
      </c>
      <c r="E1002" s="1310"/>
    </row>
    <row r="1003" spans="1:5">
      <c r="A1003" s="1305"/>
      <c r="B1003" s="1307"/>
      <c r="C1003" s="201"/>
      <c r="E1003" s="1310"/>
    </row>
    <row r="1004" spans="1:5">
      <c r="A1004" s="1305" t="s">
        <v>1699</v>
      </c>
      <c r="B1004" s="1307" t="s">
        <v>2823</v>
      </c>
      <c r="C1004" s="201" t="s">
        <v>1299</v>
      </c>
      <c r="E1004" s="1310"/>
    </row>
    <row r="1005" spans="1:5">
      <c r="A1005" s="1305"/>
      <c r="B1005" s="1307"/>
      <c r="C1005" s="201"/>
      <c r="E1005" s="1310"/>
    </row>
    <row r="1006" spans="1:5" ht="26.25">
      <c r="A1006" s="1305"/>
      <c r="B1006" s="1309" t="s">
        <v>3018</v>
      </c>
      <c r="C1006" s="201"/>
      <c r="E1006" s="1310"/>
    </row>
    <row r="1007" spans="1:5">
      <c r="A1007" s="1305"/>
      <c r="B1007" s="1307"/>
      <c r="C1007" s="201"/>
      <c r="E1007" s="1310"/>
    </row>
    <row r="1008" spans="1:5" ht="30">
      <c r="A1008" s="1305" t="s">
        <v>1701</v>
      </c>
      <c r="B1008" s="1307" t="s">
        <v>2825</v>
      </c>
      <c r="C1008" s="201" t="s">
        <v>1293</v>
      </c>
      <c r="E1008" s="1310"/>
    </row>
    <row r="1009" spans="1:5">
      <c r="A1009" s="1305"/>
      <c r="B1009" s="1307"/>
      <c r="C1009" s="201"/>
      <c r="E1009" s="1310"/>
    </row>
    <row r="1010" spans="1:5" ht="30">
      <c r="A1010" s="1305" t="s">
        <v>1703</v>
      </c>
      <c r="B1010" s="1307" t="s">
        <v>2826</v>
      </c>
      <c r="C1010" s="201" t="s">
        <v>1293</v>
      </c>
      <c r="E1010" s="1310"/>
    </row>
    <row r="1011" spans="1:5">
      <c r="A1011" s="1305"/>
      <c r="B1011" s="1307"/>
      <c r="C1011" s="201"/>
      <c r="E1011" s="1310"/>
    </row>
    <row r="1012" spans="1:5" ht="26.25">
      <c r="A1012" s="1305"/>
      <c r="B1012" s="1309" t="s">
        <v>3019</v>
      </c>
      <c r="C1012" s="201"/>
      <c r="E1012" s="1310"/>
    </row>
    <row r="1013" spans="1:5">
      <c r="A1013" s="1305"/>
      <c r="B1013" s="1307"/>
      <c r="C1013" s="201"/>
      <c r="E1013" s="1310"/>
    </row>
    <row r="1014" spans="1:5" ht="30">
      <c r="A1014" s="1305" t="s">
        <v>1686</v>
      </c>
      <c r="B1014" s="1307" t="s">
        <v>3020</v>
      </c>
      <c r="C1014" s="201" t="s">
        <v>217</v>
      </c>
      <c r="E1014" s="1310"/>
    </row>
    <row r="1015" spans="1:5">
      <c r="A1015" s="1305"/>
      <c r="B1015" s="1307"/>
      <c r="C1015" s="201"/>
      <c r="E1015" s="1310"/>
    </row>
    <row r="1016" spans="1:5">
      <c r="A1016" s="1305"/>
      <c r="B1016" s="1308" t="s">
        <v>2759</v>
      </c>
      <c r="C1016" s="201"/>
      <c r="E1016" s="1310"/>
    </row>
    <row r="1017" spans="1:5">
      <c r="A1017" s="1305"/>
      <c r="B1017" s="1307"/>
      <c r="C1017" s="201"/>
      <c r="E1017" s="1310"/>
    </row>
    <row r="1018" spans="1:5">
      <c r="A1018" s="1305"/>
      <c r="B1018" s="1308" t="s">
        <v>3021</v>
      </c>
      <c r="C1018" s="201"/>
      <c r="E1018" s="1310"/>
    </row>
    <row r="1019" spans="1:5">
      <c r="A1019" s="1305"/>
      <c r="B1019" s="1307"/>
      <c r="C1019" s="201"/>
      <c r="E1019" s="1310"/>
    </row>
    <row r="1020" spans="1:5">
      <c r="A1020" s="1305"/>
      <c r="B1020" s="1307" t="s">
        <v>2969</v>
      </c>
      <c r="C1020" s="201"/>
      <c r="E1020" s="1310"/>
    </row>
    <row r="1021" spans="1:5">
      <c r="A1021" s="1305"/>
      <c r="B1021" s="1307"/>
      <c r="C1021" s="201"/>
      <c r="E1021" s="1310"/>
    </row>
    <row r="1022" spans="1:5" ht="90">
      <c r="A1022" s="1305" t="s">
        <v>1688</v>
      </c>
      <c r="B1022" s="1307" t="s">
        <v>3022</v>
      </c>
      <c r="C1022" s="201" t="s">
        <v>2659</v>
      </c>
      <c r="E1022" s="1310"/>
    </row>
    <row r="1023" spans="1:5">
      <c r="A1023" s="1305"/>
      <c r="B1023" s="1307"/>
      <c r="C1023" s="201"/>
      <c r="E1023" s="1310"/>
    </row>
    <row r="1024" spans="1:5">
      <c r="A1024" s="1305" t="s">
        <v>1691</v>
      </c>
      <c r="B1024" s="1307" t="s">
        <v>2971</v>
      </c>
      <c r="C1024" s="201" t="s">
        <v>2688</v>
      </c>
      <c r="E1024" s="1310"/>
    </row>
    <row r="1025" spans="1:5">
      <c r="A1025" s="1305"/>
      <c r="B1025" s="1307"/>
      <c r="C1025" s="201"/>
      <c r="E1025" s="1310"/>
    </row>
    <row r="1026" spans="1:5" ht="30">
      <c r="A1026" s="1305" t="s">
        <v>1693</v>
      </c>
      <c r="B1026" s="1307" t="s">
        <v>2834</v>
      </c>
      <c r="C1026" s="201" t="s">
        <v>1299</v>
      </c>
      <c r="E1026" s="1310"/>
    </row>
    <row r="1027" spans="1:5">
      <c r="A1027" s="1305"/>
      <c r="B1027" s="1307"/>
      <c r="C1027" s="201"/>
      <c r="E1027" s="1310"/>
    </row>
    <row r="1028" spans="1:5">
      <c r="A1028" s="1305"/>
      <c r="B1028" s="1307" t="s">
        <v>2835</v>
      </c>
      <c r="C1028" s="201"/>
      <c r="E1028" s="1310"/>
    </row>
    <row r="1029" spans="1:5">
      <c r="A1029" s="1305"/>
      <c r="B1029" s="1307"/>
      <c r="C1029" s="201"/>
      <c r="E1029" s="1310"/>
    </row>
    <row r="1030" spans="1:5" ht="30">
      <c r="A1030" s="1305" t="s">
        <v>1695</v>
      </c>
      <c r="B1030" s="1307" t="s">
        <v>2972</v>
      </c>
      <c r="C1030" s="201" t="s">
        <v>1299</v>
      </c>
      <c r="E1030" s="1310"/>
    </row>
    <row r="1031" spans="1:5">
      <c r="A1031" s="1305"/>
      <c r="B1031" s="1307"/>
      <c r="C1031" s="201"/>
      <c r="E1031" s="1310"/>
    </row>
    <row r="1032" spans="1:5">
      <c r="A1032" s="1305"/>
      <c r="B1032" s="1309" t="s">
        <v>2838</v>
      </c>
      <c r="C1032" s="201"/>
      <c r="E1032" s="1310"/>
    </row>
    <row r="1033" spans="1:5">
      <c r="A1033" s="1305"/>
      <c r="B1033" s="1307"/>
      <c r="C1033" s="201"/>
      <c r="E1033" s="1310"/>
    </row>
    <row r="1034" spans="1:5">
      <c r="A1034" s="1305" t="s">
        <v>1697</v>
      </c>
      <c r="B1034" s="1307" t="s">
        <v>3023</v>
      </c>
      <c r="C1034" s="201" t="s">
        <v>217</v>
      </c>
      <c r="E1034" s="1310"/>
    </row>
    <row r="1035" spans="1:5">
      <c r="A1035" s="1305"/>
      <c r="B1035" s="1307"/>
      <c r="C1035" s="201"/>
      <c r="E1035" s="1310"/>
    </row>
    <row r="1036" spans="1:5">
      <c r="A1036" s="1305" t="s">
        <v>1699</v>
      </c>
      <c r="B1036" s="1307" t="s">
        <v>2840</v>
      </c>
      <c r="C1036" s="201" t="s">
        <v>217</v>
      </c>
      <c r="E1036" s="1310"/>
    </row>
    <row r="1037" spans="1:5">
      <c r="A1037" s="1305"/>
      <c r="B1037" s="1307"/>
      <c r="C1037" s="201"/>
      <c r="E1037" s="1310"/>
    </row>
    <row r="1038" spans="1:5">
      <c r="A1038" s="1305" t="s">
        <v>1701</v>
      </c>
      <c r="B1038" s="1307" t="s">
        <v>2841</v>
      </c>
      <c r="C1038" s="201" t="s">
        <v>217</v>
      </c>
      <c r="E1038" s="1310"/>
    </row>
    <row r="1039" spans="1:5">
      <c r="A1039" s="1305"/>
      <c r="B1039" s="1307"/>
      <c r="C1039" s="201"/>
      <c r="E1039" s="1310"/>
    </row>
    <row r="1040" spans="1:5" ht="39">
      <c r="A1040" s="1305"/>
      <c r="B1040" s="1309" t="s">
        <v>2973</v>
      </c>
      <c r="C1040" s="201"/>
      <c r="E1040" s="1310"/>
    </row>
    <row r="1041" spans="1:5">
      <c r="A1041" s="1305"/>
      <c r="B1041" s="1307"/>
      <c r="C1041" s="201"/>
      <c r="E1041" s="1310"/>
    </row>
    <row r="1042" spans="1:5">
      <c r="A1042" s="1305" t="s">
        <v>1686</v>
      </c>
      <c r="B1042" s="1307" t="s">
        <v>2839</v>
      </c>
      <c r="C1042" s="201" t="s">
        <v>215</v>
      </c>
      <c r="E1042" s="1310"/>
    </row>
    <row r="1043" spans="1:5">
      <c r="A1043" s="1305"/>
      <c r="B1043" s="1307"/>
      <c r="C1043" s="201"/>
      <c r="E1043" s="1310"/>
    </row>
    <row r="1044" spans="1:5">
      <c r="A1044" s="1305" t="s">
        <v>1688</v>
      </c>
      <c r="B1044" s="1307" t="s">
        <v>2840</v>
      </c>
      <c r="C1044" s="201" t="s">
        <v>215</v>
      </c>
      <c r="E1044" s="1310"/>
    </row>
    <row r="1045" spans="1:5">
      <c r="A1045" s="1305"/>
      <c r="B1045" s="1307"/>
      <c r="C1045" s="201"/>
      <c r="E1045" s="1310"/>
    </row>
    <row r="1046" spans="1:5">
      <c r="A1046" s="1305" t="s">
        <v>1691</v>
      </c>
      <c r="B1046" s="1307" t="s">
        <v>2841</v>
      </c>
      <c r="C1046" s="201" t="s">
        <v>215</v>
      </c>
      <c r="E1046" s="1310"/>
    </row>
    <row r="1047" spans="1:5">
      <c r="A1047" s="1305"/>
      <c r="B1047" s="1307"/>
      <c r="C1047" s="201"/>
      <c r="E1047" s="1310"/>
    </row>
    <row r="1048" spans="1:5">
      <c r="A1048" s="1305"/>
      <c r="B1048" s="1308" t="s">
        <v>2846</v>
      </c>
      <c r="C1048" s="201"/>
      <c r="E1048" s="1310"/>
    </row>
    <row r="1049" spans="1:5">
      <c r="A1049" s="1305"/>
      <c r="B1049" s="1307"/>
      <c r="C1049" s="201"/>
      <c r="E1049" s="1310"/>
    </row>
    <row r="1050" spans="1:5">
      <c r="A1050" s="1305"/>
      <c r="B1050" s="1308" t="s">
        <v>2847</v>
      </c>
      <c r="C1050" s="201"/>
      <c r="E1050" s="1310"/>
    </row>
    <row r="1051" spans="1:5">
      <c r="A1051" s="1305"/>
      <c r="B1051" s="1307"/>
      <c r="C1051" s="201"/>
      <c r="E1051" s="1310"/>
    </row>
    <row r="1052" spans="1:5" ht="30">
      <c r="A1052" s="1305" t="s">
        <v>1693</v>
      </c>
      <c r="B1052" s="1307" t="s">
        <v>2850</v>
      </c>
      <c r="C1052" s="201" t="s">
        <v>1293</v>
      </c>
      <c r="E1052" s="1310"/>
    </row>
    <row r="1053" spans="1:5">
      <c r="A1053" s="1305"/>
      <c r="B1053" s="1307"/>
      <c r="C1053" s="201"/>
      <c r="E1053" s="1310"/>
    </row>
    <row r="1054" spans="1:5">
      <c r="A1054" s="1305"/>
      <c r="B1054" s="1306" t="s">
        <v>2851</v>
      </c>
      <c r="C1054" s="201"/>
      <c r="E1054" s="1310"/>
    </row>
    <row r="1055" spans="1:5">
      <c r="A1055" s="1305"/>
      <c r="B1055" s="1307"/>
      <c r="C1055" s="201"/>
      <c r="E1055" s="1310"/>
    </row>
    <row r="1056" spans="1:5" ht="30">
      <c r="A1056" s="1305"/>
      <c r="B1056" s="1307" t="s">
        <v>2852</v>
      </c>
      <c r="C1056" s="201"/>
      <c r="E1056" s="1310"/>
    </row>
    <row r="1057" spans="1:5">
      <c r="A1057" s="1305"/>
      <c r="B1057" s="1307"/>
      <c r="C1057" s="201"/>
      <c r="E1057" s="1310"/>
    </row>
    <row r="1058" spans="1:5">
      <c r="A1058" s="1305" t="s">
        <v>1695</v>
      </c>
      <c r="B1058" s="1307" t="s">
        <v>2853</v>
      </c>
      <c r="C1058" s="201" t="s">
        <v>1299</v>
      </c>
      <c r="E1058" s="1310"/>
    </row>
    <row r="1059" spans="1:5">
      <c r="A1059" s="1305"/>
      <c r="B1059" s="1307"/>
      <c r="C1059" s="201"/>
      <c r="E1059" s="1310"/>
    </row>
    <row r="1060" spans="1:5">
      <c r="A1060" s="1305" t="s">
        <v>1697</v>
      </c>
      <c r="B1060" s="1307" t="s">
        <v>2854</v>
      </c>
      <c r="C1060" s="201" t="s">
        <v>1299</v>
      </c>
      <c r="E1060" s="1310"/>
    </row>
    <row r="1061" spans="1:5">
      <c r="A1061" s="1305"/>
      <c r="B1061" s="1307"/>
      <c r="C1061" s="201"/>
      <c r="E1061" s="1310"/>
    </row>
    <row r="1062" spans="1:5">
      <c r="A1062" s="1305"/>
      <c r="B1062" s="1307" t="s">
        <v>2855</v>
      </c>
      <c r="C1062" s="201"/>
      <c r="E1062" s="1310"/>
    </row>
    <row r="1063" spans="1:5">
      <c r="A1063" s="1305"/>
      <c r="B1063" s="1307"/>
      <c r="C1063" s="201"/>
      <c r="E1063" s="1310"/>
    </row>
    <row r="1064" spans="1:5">
      <c r="A1064" s="1305"/>
      <c r="B1064" s="1309" t="s">
        <v>2856</v>
      </c>
      <c r="C1064" s="201"/>
      <c r="E1064" s="1310"/>
    </row>
    <row r="1065" spans="1:5">
      <c r="A1065" s="1305"/>
      <c r="B1065" s="1307"/>
      <c r="C1065" s="201"/>
      <c r="E1065" s="1310"/>
    </row>
    <row r="1066" spans="1:5">
      <c r="A1066" s="1305" t="s">
        <v>1699</v>
      </c>
      <c r="B1066" s="1307" t="s">
        <v>2857</v>
      </c>
      <c r="C1066" s="201" t="s">
        <v>1299</v>
      </c>
      <c r="E1066" s="1310"/>
    </row>
    <row r="1067" spans="1:5">
      <c r="A1067" s="1305"/>
      <c r="B1067" s="1307"/>
      <c r="C1067" s="201"/>
      <c r="E1067" s="1310"/>
    </row>
    <row r="1068" spans="1:5">
      <c r="A1068" s="1305" t="s">
        <v>1701</v>
      </c>
      <c r="B1068" s="1307" t="s">
        <v>2858</v>
      </c>
      <c r="C1068" s="201" t="s">
        <v>1299</v>
      </c>
      <c r="E1068" s="1310"/>
    </row>
    <row r="1069" spans="1:5">
      <c r="A1069" s="1305"/>
      <c r="B1069" s="1307"/>
      <c r="C1069" s="201"/>
      <c r="E1069" s="1310"/>
    </row>
    <row r="1070" spans="1:5">
      <c r="A1070" s="1305" t="s">
        <v>1703</v>
      </c>
      <c r="B1070" s="1307" t="s">
        <v>3024</v>
      </c>
      <c r="C1070" s="201" t="s">
        <v>1299</v>
      </c>
      <c r="E1070" s="1310"/>
    </row>
    <row r="1071" spans="1:5">
      <c r="A1071" s="1305"/>
      <c r="B1071" s="1307"/>
      <c r="C1071" s="201"/>
      <c r="E1071" s="1310"/>
    </row>
    <row r="1072" spans="1:5">
      <c r="A1072" s="1305"/>
      <c r="B1072" s="1306" t="s">
        <v>2860</v>
      </c>
      <c r="C1072" s="201"/>
      <c r="E1072" s="1310"/>
    </row>
    <row r="1073" spans="1:5">
      <c r="A1073" s="1305"/>
      <c r="B1073" s="1307"/>
      <c r="C1073" s="201"/>
      <c r="E1073" s="1310"/>
    </row>
    <row r="1074" spans="1:5">
      <c r="A1074" s="1305"/>
      <c r="B1074" s="1308" t="s">
        <v>2978</v>
      </c>
      <c r="C1074" s="201"/>
      <c r="E1074" s="1310"/>
    </row>
    <row r="1075" spans="1:5">
      <c r="A1075" s="1305"/>
      <c r="B1075" s="1307"/>
      <c r="C1075" s="201"/>
      <c r="E1075" s="1310"/>
    </row>
    <row r="1076" spans="1:5">
      <c r="A1076" s="1305" t="s">
        <v>1686</v>
      </c>
      <c r="B1076" s="1307" t="s">
        <v>3025</v>
      </c>
      <c r="C1076" s="201" t="s">
        <v>215</v>
      </c>
      <c r="E1076" s="1310"/>
    </row>
    <row r="1077" spans="1:5">
      <c r="A1077" s="1305"/>
      <c r="B1077" s="1307"/>
      <c r="C1077" s="201"/>
      <c r="E1077" s="1310"/>
    </row>
    <row r="1078" spans="1:5">
      <c r="A1078" s="1305" t="s">
        <v>1688</v>
      </c>
      <c r="B1078" s="1307" t="s">
        <v>2863</v>
      </c>
      <c r="C1078" s="201" t="s">
        <v>215</v>
      </c>
      <c r="E1078" s="1310"/>
    </row>
    <row r="1079" spans="1:5">
      <c r="A1079" s="1305"/>
      <c r="B1079" s="1307"/>
      <c r="C1079" s="201"/>
      <c r="E1079" s="1310"/>
    </row>
    <row r="1080" spans="1:5" ht="45">
      <c r="A1080" s="1305" t="s">
        <v>1691</v>
      </c>
      <c r="B1080" s="1307" t="s">
        <v>3026</v>
      </c>
      <c r="C1080" s="201" t="s">
        <v>215</v>
      </c>
      <c r="E1080" s="1310"/>
    </row>
    <row r="1081" spans="1:5">
      <c r="A1081" s="1305"/>
      <c r="B1081" s="1307"/>
      <c r="C1081" s="201"/>
      <c r="E1081" s="1310"/>
    </row>
    <row r="1082" spans="1:5" ht="51.75">
      <c r="A1082" s="1305"/>
      <c r="B1082" s="1308" t="s">
        <v>3027</v>
      </c>
      <c r="C1082" s="201"/>
      <c r="E1082" s="1310"/>
    </row>
    <row r="1083" spans="1:5">
      <c r="A1083" s="1305"/>
      <c r="B1083" s="1307"/>
      <c r="C1083" s="201"/>
      <c r="E1083" s="1310"/>
    </row>
    <row r="1084" spans="1:5">
      <c r="A1084" s="1305" t="s">
        <v>1693</v>
      </c>
      <c r="B1084" s="1307" t="s">
        <v>2871</v>
      </c>
      <c r="C1084" s="201" t="s">
        <v>215</v>
      </c>
      <c r="E1084" s="1310"/>
    </row>
    <row r="1085" spans="1:5">
      <c r="A1085" s="1305"/>
      <c r="B1085" s="1307"/>
      <c r="C1085" s="201"/>
      <c r="E1085" s="1310"/>
    </row>
    <row r="1086" spans="1:5" ht="75">
      <c r="A1086" s="1305" t="s">
        <v>1695</v>
      </c>
      <c r="B1086" s="1307" t="s">
        <v>3028</v>
      </c>
      <c r="C1086" s="201" t="s">
        <v>215</v>
      </c>
      <c r="E1086" s="1310"/>
    </row>
    <row r="1087" spans="1:5">
      <c r="A1087" s="1305"/>
      <c r="B1087" s="1307"/>
      <c r="C1087" s="201"/>
      <c r="E1087" s="1310"/>
    </row>
    <row r="1088" spans="1:5">
      <c r="A1088" s="1305" t="s">
        <v>1697</v>
      </c>
      <c r="B1088" s="1307" t="s">
        <v>2874</v>
      </c>
      <c r="C1088" s="201" t="s">
        <v>215</v>
      </c>
      <c r="E1088" s="1310"/>
    </row>
    <row r="1089" spans="1:5">
      <c r="A1089" s="1305"/>
      <c r="B1089" s="1307"/>
      <c r="C1089" s="201"/>
      <c r="E1089" s="1310"/>
    </row>
    <row r="1090" spans="1:5" ht="26.25">
      <c r="A1090" s="1305"/>
      <c r="B1090" s="1308" t="s">
        <v>2875</v>
      </c>
      <c r="C1090" s="201"/>
      <c r="E1090" s="1310"/>
    </row>
    <row r="1091" spans="1:5">
      <c r="A1091" s="1305"/>
      <c r="B1091" s="1307"/>
      <c r="C1091" s="201"/>
      <c r="E1091" s="1310"/>
    </row>
    <row r="1092" spans="1:5">
      <c r="A1092" s="1305" t="s">
        <v>1699</v>
      </c>
      <c r="B1092" s="1307" t="s">
        <v>2870</v>
      </c>
      <c r="C1092" s="201" t="s">
        <v>215</v>
      </c>
      <c r="E1092" s="1310"/>
    </row>
    <row r="1093" spans="1:5">
      <c r="A1093" s="1305"/>
      <c r="B1093" s="1307"/>
      <c r="C1093" s="201"/>
      <c r="E1093" s="1310"/>
    </row>
    <row r="1094" spans="1:5">
      <c r="A1094" s="1305" t="s">
        <v>1701</v>
      </c>
      <c r="B1094" s="1307" t="s">
        <v>2871</v>
      </c>
      <c r="C1094" s="201" t="s">
        <v>215</v>
      </c>
      <c r="E1094" s="1310"/>
    </row>
    <row r="1095" spans="1:5">
      <c r="A1095" s="1305"/>
      <c r="B1095" s="1307"/>
      <c r="C1095" s="201"/>
      <c r="E1095" s="1310"/>
    </row>
    <row r="1096" spans="1:5" ht="39">
      <c r="A1096" s="1305"/>
      <c r="B1096" s="1308" t="s">
        <v>3029</v>
      </c>
      <c r="C1096" s="201"/>
      <c r="E1096" s="1310"/>
    </row>
    <row r="1097" spans="1:5">
      <c r="A1097" s="1305"/>
      <c r="B1097" s="1307"/>
      <c r="C1097" s="201"/>
      <c r="E1097" s="1310"/>
    </row>
    <row r="1098" spans="1:5">
      <c r="A1098" s="1305" t="s">
        <v>1686</v>
      </c>
      <c r="B1098" s="1307" t="s">
        <v>3030</v>
      </c>
      <c r="C1098" s="201" t="s">
        <v>215</v>
      </c>
      <c r="E1098" s="1310"/>
    </row>
    <row r="1099" spans="1:5">
      <c r="A1099" s="1305"/>
      <c r="B1099" s="1307"/>
      <c r="C1099" s="201"/>
      <c r="E1099" s="1310"/>
    </row>
    <row r="1100" spans="1:5">
      <c r="A1100" s="1305" t="s">
        <v>1688</v>
      </c>
      <c r="B1100" s="1307" t="s">
        <v>3031</v>
      </c>
      <c r="C1100" s="201" t="s">
        <v>215</v>
      </c>
      <c r="E1100" s="1310"/>
    </row>
    <row r="1101" spans="1:5">
      <c r="A1101" s="1305"/>
      <c r="B1101" s="1307"/>
      <c r="C1101" s="201"/>
      <c r="E1101" s="1310"/>
    </row>
    <row r="1102" spans="1:5">
      <c r="A1102" s="1305" t="s">
        <v>1691</v>
      </c>
      <c r="B1102" s="1307" t="s">
        <v>3032</v>
      </c>
      <c r="C1102" s="201" t="s">
        <v>215</v>
      </c>
      <c r="E1102" s="1310"/>
    </row>
    <row r="1103" spans="1:5">
      <c r="A1103" s="1305"/>
      <c r="B1103" s="1307"/>
      <c r="C1103" s="201"/>
      <c r="E1103" s="1310"/>
    </row>
    <row r="1104" spans="1:5" ht="26.25">
      <c r="A1104" s="1305"/>
      <c r="B1104" s="1308" t="s">
        <v>3033</v>
      </c>
      <c r="C1104" s="201"/>
      <c r="E1104" s="1310"/>
    </row>
    <row r="1105" spans="1:5">
      <c r="A1105" s="1305"/>
      <c r="B1105" s="1307"/>
      <c r="C1105" s="201"/>
      <c r="E1105" s="1310"/>
    </row>
    <row r="1106" spans="1:5">
      <c r="A1106" s="1305" t="s">
        <v>1693</v>
      </c>
      <c r="B1106" s="1307" t="s">
        <v>3034</v>
      </c>
      <c r="C1106" s="201" t="s">
        <v>215</v>
      </c>
      <c r="E1106" s="1310"/>
    </row>
    <row r="1107" spans="1:5">
      <c r="A1107" s="1305"/>
      <c r="B1107" s="1307"/>
      <c r="C1107" s="201"/>
      <c r="E1107" s="1310"/>
    </row>
    <row r="1108" spans="1:5">
      <c r="A1108" s="1305"/>
      <c r="B1108" s="1306" t="s">
        <v>2881</v>
      </c>
      <c r="C1108" s="201"/>
      <c r="E1108" s="1310"/>
    </row>
    <row r="1109" spans="1:5">
      <c r="A1109" s="1305"/>
      <c r="B1109" s="1307"/>
      <c r="C1109" s="201"/>
      <c r="E1109" s="1310"/>
    </row>
    <row r="1110" spans="1:5" ht="26.25">
      <c r="A1110" s="1305"/>
      <c r="B1110" s="1308" t="s">
        <v>3035</v>
      </c>
      <c r="C1110" s="201"/>
      <c r="E1110" s="1310"/>
    </row>
    <row r="1111" spans="1:5">
      <c r="A1111" s="1305"/>
      <c r="B1111" s="1307"/>
      <c r="C1111" s="201"/>
      <c r="E1111" s="1310"/>
    </row>
    <row r="1112" spans="1:5" ht="30">
      <c r="A1112" s="1305"/>
      <c r="B1112" s="1307" t="s">
        <v>3036</v>
      </c>
      <c r="C1112" s="201"/>
      <c r="E1112" s="1310"/>
    </row>
    <row r="1113" spans="1:5">
      <c r="A1113" s="1305"/>
      <c r="B1113" s="1307"/>
      <c r="C1113" s="201"/>
      <c r="E1113" s="1310"/>
    </row>
    <row r="1114" spans="1:5">
      <c r="A1114" s="1305" t="s">
        <v>1686</v>
      </c>
      <c r="B1114" s="1307" t="s">
        <v>3037</v>
      </c>
      <c r="C1114" s="201" t="s">
        <v>217</v>
      </c>
      <c r="E1114" s="1310"/>
    </row>
    <row r="1115" spans="1:5">
      <c r="A1115" s="1305"/>
      <c r="B1115" s="1307"/>
      <c r="C1115" s="201"/>
      <c r="E1115" s="1310"/>
    </row>
    <row r="1116" spans="1:5">
      <c r="A1116" s="1305" t="s">
        <v>1688</v>
      </c>
      <c r="B1116" s="1307" t="s">
        <v>3038</v>
      </c>
      <c r="C1116" s="201" t="s">
        <v>217</v>
      </c>
      <c r="E1116" s="1310"/>
    </row>
    <row r="1117" spans="1:5">
      <c r="A1117" s="1305"/>
      <c r="B1117" s="1307"/>
      <c r="C1117" s="201"/>
      <c r="E1117" s="1310"/>
    </row>
    <row r="1118" spans="1:5">
      <c r="A1118" s="1305" t="s">
        <v>1691</v>
      </c>
      <c r="B1118" s="1307" t="s">
        <v>3039</v>
      </c>
      <c r="C1118" s="201" t="s">
        <v>217</v>
      </c>
      <c r="E1118" s="1310"/>
    </row>
    <row r="1119" spans="1:5">
      <c r="A1119" s="1305"/>
      <c r="B1119" s="1307"/>
      <c r="C1119" s="201"/>
      <c r="E1119" s="1310"/>
    </row>
    <row r="1120" spans="1:5">
      <c r="A1120" s="1305" t="s">
        <v>1693</v>
      </c>
      <c r="B1120" s="1307" t="s">
        <v>3040</v>
      </c>
      <c r="C1120" s="201" t="s">
        <v>217</v>
      </c>
      <c r="E1120" s="1310"/>
    </row>
    <row r="1121" spans="1:5">
      <c r="A1121" s="1305"/>
      <c r="B1121" s="1307"/>
      <c r="C1121" s="201"/>
      <c r="E1121" s="1310"/>
    </row>
    <row r="1122" spans="1:5">
      <c r="A1122" s="1305" t="s">
        <v>1695</v>
      </c>
      <c r="B1122" s="1307" t="s">
        <v>3041</v>
      </c>
      <c r="C1122" s="201" t="s">
        <v>217</v>
      </c>
      <c r="E1122" s="1310"/>
    </row>
    <row r="1123" spans="1:5">
      <c r="A1123" s="1305"/>
      <c r="B1123" s="1307"/>
      <c r="C1123" s="201"/>
      <c r="E1123" s="1310"/>
    </row>
    <row r="1124" spans="1:5">
      <c r="A1124" s="1305" t="s">
        <v>1697</v>
      </c>
      <c r="B1124" s="1307" t="s">
        <v>3042</v>
      </c>
      <c r="C1124" s="201" t="s">
        <v>217</v>
      </c>
      <c r="E1124" s="1310"/>
    </row>
    <row r="1125" spans="1:5">
      <c r="A1125" s="1305"/>
      <c r="B1125" s="1307"/>
      <c r="C1125" s="201"/>
      <c r="E1125" s="1310"/>
    </row>
    <row r="1126" spans="1:5">
      <c r="A1126" s="1305" t="s">
        <v>1699</v>
      </c>
      <c r="B1126" s="1307" t="s">
        <v>3043</v>
      </c>
      <c r="C1126" s="201" t="s">
        <v>217</v>
      </c>
      <c r="E1126" s="1310"/>
    </row>
    <row r="1127" spans="1:5">
      <c r="A1127" s="1305"/>
      <c r="B1127" s="1307"/>
      <c r="C1127" s="201"/>
      <c r="E1127" s="1310"/>
    </row>
    <row r="1128" spans="1:5">
      <c r="A1128" s="1305"/>
      <c r="B1128" s="1307" t="s">
        <v>2906</v>
      </c>
      <c r="C1128" s="201"/>
      <c r="E1128" s="1310"/>
    </row>
    <row r="1129" spans="1:5">
      <c r="A1129" s="1305"/>
      <c r="B1129" s="1307"/>
      <c r="C1129" s="201"/>
      <c r="E1129" s="1310"/>
    </row>
    <row r="1130" spans="1:5">
      <c r="A1130" s="1305" t="s">
        <v>1701</v>
      </c>
      <c r="B1130" s="1307" t="s">
        <v>2887</v>
      </c>
      <c r="C1130" s="201" t="s">
        <v>217</v>
      </c>
      <c r="E1130" s="1310"/>
    </row>
    <row r="1131" spans="1:5">
      <c r="A1131" s="1305"/>
      <c r="B1131" s="1307"/>
      <c r="C1131" s="201"/>
      <c r="E1131" s="1310"/>
    </row>
    <row r="1132" spans="1:5">
      <c r="A1132" s="1305" t="s">
        <v>1703</v>
      </c>
      <c r="B1132" s="1307" t="s">
        <v>2902</v>
      </c>
      <c r="C1132" s="201" t="s">
        <v>217</v>
      </c>
      <c r="E1132" s="1310"/>
    </row>
    <row r="1133" spans="1:5">
      <c r="A1133" s="1305"/>
      <c r="B1133" s="1307"/>
      <c r="C1133" s="201"/>
      <c r="E1133" s="1310"/>
    </row>
    <row r="1134" spans="1:5">
      <c r="A1134" s="1305" t="s">
        <v>1706</v>
      </c>
      <c r="B1134" s="1307" t="s">
        <v>2890</v>
      </c>
      <c r="C1134" s="201" t="s">
        <v>217</v>
      </c>
      <c r="E1134" s="1310"/>
    </row>
    <row r="1135" spans="1:5">
      <c r="A1135" s="1305"/>
      <c r="B1135" s="1307"/>
      <c r="C1135" s="201"/>
      <c r="E1135" s="1310"/>
    </row>
    <row r="1136" spans="1:5">
      <c r="A1136" s="1305" t="s">
        <v>1708</v>
      </c>
      <c r="B1136" s="1307" t="s">
        <v>2889</v>
      </c>
      <c r="C1136" s="201" t="s">
        <v>217</v>
      </c>
      <c r="E1136" s="1310"/>
    </row>
    <row r="1137" spans="1:5">
      <c r="A1137" s="1305"/>
      <c r="B1137" s="1307"/>
      <c r="C1137" s="201"/>
      <c r="E1137" s="1310"/>
    </row>
    <row r="1138" spans="1:5">
      <c r="A1138" s="1305" t="s">
        <v>1710</v>
      </c>
      <c r="B1138" s="1307" t="s">
        <v>3044</v>
      </c>
      <c r="C1138" s="201" t="s">
        <v>217</v>
      </c>
      <c r="E1138" s="1310"/>
    </row>
    <row r="1139" spans="1:5">
      <c r="A1139" s="1305"/>
      <c r="B1139" s="1307"/>
      <c r="C1139" s="201"/>
      <c r="E1139" s="1310"/>
    </row>
    <row r="1140" spans="1:5">
      <c r="A1140" s="1305" t="s">
        <v>1712</v>
      </c>
      <c r="B1140" s="1307" t="s">
        <v>3045</v>
      </c>
      <c r="C1140" s="201" t="s">
        <v>217</v>
      </c>
      <c r="E1140" s="1310"/>
    </row>
    <row r="1141" spans="1:5">
      <c r="A1141" s="1305"/>
      <c r="B1141" s="1307"/>
      <c r="C1141" s="201"/>
      <c r="E1141" s="1310"/>
    </row>
    <row r="1142" spans="1:5">
      <c r="A1142" s="1305" t="s">
        <v>1834</v>
      </c>
      <c r="B1142" s="1307" t="s">
        <v>2914</v>
      </c>
      <c r="C1142" s="201" t="s">
        <v>217</v>
      </c>
      <c r="E1142" s="1310"/>
    </row>
    <row r="1143" spans="1:5">
      <c r="A1143" s="1305"/>
      <c r="B1143" s="1307"/>
      <c r="C1143" s="201"/>
      <c r="E1143" s="1310"/>
    </row>
    <row r="1144" spans="1:5">
      <c r="A1144" s="1305" t="s">
        <v>1686</v>
      </c>
      <c r="B1144" s="1307" t="s">
        <v>3046</v>
      </c>
      <c r="C1144" s="201" t="s">
        <v>217</v>
      </c>
      <c r="E1144" s="1310"/>
    </row>
    <row r="1145" spans="1:5">
      <c r="A1145" s="1305"/>
      <c r="B1145" s="1307"/>
      <c r="C1145" s="201"/>
      <c r="E1145" s="1310"/>
    </row>
    <row r="1146" spans="1:5">
      <c r="A1146" s="1305"/>
      <c r="B1146" s="1308" t="s">
        <v>2918</v>
      </c>
      <c r="C1146" s="201"/>
      <c r="E1146" s="1310"/>
    </row>
    <row r="1147" spans="1:5">
      <c r="A1147" s="1305"/>
      <c r="B1147" s="1307"/>
      <c r="C1147" s="201"/>
      <c r="E1147" s="1310"/>
    </row>
    <row r="1148" spans="1:5" ht="30">
      <c r="A1148" s="1305"/>
      <c r="B1148" s="1307" t="s">
        <v>2919</v>
      </c>
      <c r="C1148" s="201"/>
      <c r="E1148" s="1310"/>
    </row>
    <row r="1149" spans="1:5">
      <c r="A1149" s="1305"/>
      <c r="B1149" s="1307"/>
      <c r="C1149" s="201"/>
      <c r="E1149" s="1310"/>
    </row>
    <row r="1150" spans="1:5" ht="30">
      <c r="A1150" s="1305"/>
      <c r="B1150" s="1307" t="s">
        <v>2992</v>
      </c>
      <c r="C1150" s="201"/>
      <c r="E1150" s="1310"/>
    </row>
    <row r="1151" spans="1:5">
      <c r="A1151" s="1305"/>
      <c r="B1151" s="1307"/>
      <c r="C1151" s="201"/>
      <c r="E1151" s="1310"/>
    </row>
    <row r="1152" spans="1:5">
      <c r="A1152" s="1305" t="s">
        <v>1688</v>
      </c>
      <c r="B1152" s="1307" t="s">
        <v>3047</v>
      </c>
      <c r="C1152" s="201" t="s">
        <v>217</v>
      </c>
      <c r="E1152" s="1310"/>
    </row>
    <row r="1153" spans="1:5">
      <c r="A1153" s="1305"/>
      <c r="B1153" s="1307"/>
      <c r="C1153" s="201"/>
      <c r="E1153" s="1310"/>
    </row>
    <row r="1154" spans="1:5">
      <c r="A1154" s="1305" t="s">
        <v>1691</v>
      </c>
      <c r="B1154" s="1307" t="s">
        <v>3048</v>
      </c>
      <c r="C1154" s="201" t="s">
        <v>217</v>
      </c>
      <c r="E1154" s="1310"/>
    </row>
    <row r="1155" spans="1:5">
      <c r="A1155" s="1305"/>
      <c r="B1155" s="1307"/>
      <c r="C1155" s="201"/>
      <c r="E1155" s="1310"/>
    </row>
    <row r="1156" spans="1:5">
      <c r="A1156" s="1305" t="s">
        <v>1693</v>
      </c>
      <c r="B1156" s="1307" t="s">
        <v>3049</v>
      </c>
      <c r="C1156" s="201" t="s">
        <v>217</v>
      </c>
      <c r="E1156" s="1310"/>
    </row>
    <row r="1157" spans="1:5">
      <c r="A1157" s="1305"/>
      <c r="B1157" s="1307"/>
      <c r="C1157" s="201"/>
      <c r="E1157" s="1310"/>
    </row>
    <row r="1158" spans="1:5">
      <c r="A1158" s="1305" t="s">
        <v>1695</v>
      </c>
      <c r="B1158" s="1307" t="s">
        <v>3050</v>
      </c>
      <c r="C1158" s="201" t="s">
        <v>217</v>
      </c>
      <c r="E1158" s="1310"/>
    </row>
    <row r="1159" spans="1:5">
      <c r="A1159" s="1305"/>
      <c r="B1159" s="1307"/>
      <c r="C1159" s="201"/>
      <c r="E1159" s="1310"/>
    </row>
    <row r="1160" spans="1:5">
      <c r="A1160" s="1305" t="s">
        <v>1697</v>
      </c>
      <c r="B1160" s="1307" t="s">
        <v>2995</v>
      </c>
      <c r="C1160" s="201" t="s">
        <v>217</v>
      </c>
      <c r="E1160" s="1310"/>
    </row>
    <row r="1161" spans="1:5">
      <c r="A1161" s="1305"/>
      <c r="B1161" s="1307"/>
      <c r="C1161" s="201"/>
      <c r="E1161" s="1310"/>
    </row>
    <row r="1162" spans="1:5" ht="30">
      <c r="A1162" s="1305"/>
      <c r="B1162" s="1307" t="s">
        <v>3051</v>
      </c>
      <c r="C1162" s="201"/>
      <c r="E1162" s="1310"/>
    </row>
    <row r="1163" spans="1:5">
      <c r="A1163" s="1305"/>
      <c r="B1163" s="1307"/>
      <c r="C1163" s="201"/>
      <c r="E1163" s="1310"/>
    </row>
    <row r="1164" spans="1:5">
      <c r="A1164" s="1305" t="s">
        <v>1699</v>
      </c>
      <c r="B1164" s="1307" t="s">
        <v>3031</v>
      </c>
      <c r="C1164" s="201" t="s">
        <v>217</v>
      </c>
      <c r="E1164" s="1310"/>
    </row>
    <row r="1165" spans="1:5">
      <c r="A1165" s="1305"/>
      <c r="B1165" s="1307"/>
      <c r="C1165" s="201"/>
      <c r="E1165" s="1310"/>
    </row>
    <row r="1166" spans="1:5">
      <c r="A1166" s="1305" t="s">
        <v>1701</v>
      </c>
      <c r="B1166" s="1307" t="s">
        <v>2871</v>
      </c>
      <c r="C1166" s="201" t="s">
        <v>217</v>
      </c>
      <c r="E1166" s="1310"/>
    </row>
    <row r="1167" spans="1:5">
      <c r="A1167" s="1305"/>
      <c r="B1167" s="1307"/>
      <c r="C1167" s="201"/>
      <c r="E1167" s="1310"/>
    </row>
    <row r="1168" spans="1:5">
      <c r="A1168" s="1305"/>
      <c r="B1168" s="1308" t="s">
        <v>2926</v>
      </c>
      <c r="C1168" s="201"/>
      <c r="E1168" s="1310"/>
    </row>
    <row r="1169" spans="1:5">
      <c r="A1169" s="1305"/>
      <c r="B1169" s="1307"/>
      <c r="C1169" s="201"/>
      <c r="E1169" s="1310"/>
    </row>
    <row r="1170" spans="1:5">
      <c r="A1170" s="1305"/>
      <c r="B1170" s="1308" t="s">
        <v>2927</v>
      </c>
      <c r="C1170" s="201"/>
      <c r="E1170" s="1310"/>
    </row>
    <row r="1171" spans="1:5">
      <c r="A1171" s="1305"/>
      <c r="B1171" s="1307"/>
      <c r="C1171" s="201"/>
      <c r="E1171" s="1310"/>
    </row>
    <row r="1172" spans="1:5">
      <c r="A1172" s="1305" t="s">
        <v>1703</v>
      </c>
      <c r="B1172" s="1307" t="s">
        <v>2928</v>
      </c>
      <c r="C1172" s="201" t="s">
        <v>1299</v>
      </c>
      <c r="E1172" s="1310"/>
    </row>
    <row r="1173" spans="1:5">
      <c r="A1173" s="1305"/>
      <c r="B1173" s="1307"/>
      <c r="C1173" s="201"/>
      <c r="E1173" s="1310"/>
    </row>
    <row r="1174" spans="1:5">
      <c r="A1174" s="1305" t="s">
        <v>1706</v>
      </c>
      <c r="B1174" s="1307" t="s">
        <v>2996</v>
      </c>
      <c r="C1174" s="201" t="s">
        <v>1299</v>
      </c>
      <c r="E1174" s="1310"/>
    </row>
    <row r="1175" spans="1:5">
      <c r="A1175" s="1305"/>
      <c r="B1175" s="1307"/>
      <c r="C1175" s="201"/>
      <c r="E1175" s="1310"/>
    </row>
    <row r="1176" spans="1:5">
      <c r="A1176" s="1305"/>
      <c r="B1176" s="1308" t="s">
        <v>3052</v>
      </c>
      <c r="C1176" s="201"/>
      <c r="E1176" s="1310"/>
    </row>
    <row r="1177" spans="1:5">
      <c r="A1177" s="1305"/>
      <c r="B1177" s="1307"/>
      <c r="C1177" s="201"/>
      <c r="E1177" s="1310"/>
    </row>
    <row r="1178" spans="1:5" ht="60">
      <c r="A1178" s="1305" t="s">
        <v>1686</v>
      </c>
      <c r="B1178" s="1307" t="s">
        <v>3053</v>
      </c>
      <c r="C1178" s="201" t="s">
        <v>217</v>
      </c>
      <c r="E1178" s="1310"/>
    </row>
    <row r="1179" spans="1:5">
      <c r="A1179" s="1305"/>
      <c r="B1179" s="1307"/>
      <c r="C1179" s="201"/>
      <c r="E1179" s="1310"/>
    </row>
    <row r="1180" spans="1:5">
      <c r="A1180" s="1305"/>
      <c r="B1180" s="1306" t="s">
        <v>2997</v>
      </c>
      <c r="C1180" s="201"/>
      <c r="E1180" s="1310"/>
    </row>
    <row r="1181" spans="1:5">
      <c r="A1181" s="1305"/>
      <c r="B1181" s="1307"/>
      <c r="C1181" s="201"/>
      <c r="E1181" s="1310"/>
    </row>
    <row r="1182" spans="1:5" ht="51.75">
      <c r="A1182" s="1305"/>
      <c r="B1182" s="1308" t="s">
        <v>3054</v>
      </c>
      <c r="C1182" s="201"/>
      <c r="E1182" s="1310"/>
    </row>
    <row r="1183" spans="1:5">
      <c r="A1183" s="1305"/>
      <c r="B1183" s="1307"/>
      <c r="C1183" s="201"/>
      <c r="E1183" s="1310"/>
    </row>
    <row r="1184" spans="1:5">
      <c r="A1184" s="1305" t="s">
        <v>1686</v>
      </c>
      <c r="B1184" s="1307" t="s">
        <v>2999</v>
      </c>
      <c r="C1184" s="201" t="s">
        <v>217</v>
      </c>
      <c r="E1184" s="1310"/>
    </row>
    <row r="1185" spans="1:5">
      <c r="A1185" s="1305"/>
      <c r="B1185" s="1307"/>
      <c r="C1185" s="201"/>
      <c r="E1185" s="1310"/>
    </row>
    <row r="1186" spans="1:5">
      <c r="A1186" s="1305" t="s">
        <v>1688</v>
      </c>
      <c r="B1186" s="1307" t="s">
        <v>3000</v>
      </c>
      <c r="C1186" s="201" t="s">
        <v>217</v>
      </c>
      <c r="E1186" s="1310"/>
    </row>
    <row r="1187" spans="1:5">
      <c r="A1187" s="1305"/>
      <c r="B1187" s="1307"/>
      <c r="C1187" s="201"/>
      <c r="E1187" s="1310"/>
    </row>
    <row r="1188" spans="1:5">
      <c r="A1188" s="1305" t="s">
        <v>1691</v>
      </c>
      <c r="B1188" s="1307" t="s">
        <v>3001</v>
      </c>
      <c r="C1188" s="201" t="s">
        <v>217</v>
      </c>
      <c r="E1188" s="1310"/>
    </row>
    <row r="1189" spans="1:5">
      <c r="A1189" s="1305"/>
      <c r="B1189" s="1307"/>
      <c r="C1189" s="201"/>
      <c r="E1189" s="1310"/>
    </row>
    <row r="1190" spans="1:5">
      <c r="A1190" s="1305" t="s">
        <v>1693</v>
      </c>
      <c r="B1190" s="1307" t="s">
        <v>3002</v>
      </c>
      <c r="C1190" s="201" t="s">
        <v>217</v>
      </c>
      <c r="E1190" s="1310"/>
    </row>
    <row r="1191" spans="1:5">
      <c r="A1191" s="1305"/>
      <c r="B1191" s="1307"/>
      <c r="C1191" s="201"/>
      <c r="E1191" s="1310"/>
    </row>
    <row r="1192" spans="1:5">
      <c r="A1192" s="1305" t="s">
        <v>1695</v>
      </c>
      <c r="B1192" s="1307" t="s">
        <v>3055</v>
      </c>
      <c r="C1192" s="201" t="s">
        <v>217</v>
      </c>
      <c r="E1192" s="1310"/>
    </row>
    <row r="1193" spans="1:5">
      <c r="A1193" s="1305"/>
      <c r="B1193" s="1307"/>
      <c r="C1193" s="201"/>
      <c r="E1193" s="1310"/>
    </row>
    <row r="1194" spans="1:5">
      <c r="A1194" s="1305"/>
      <c r="B1194" s="1308" t="s">
        <v>2340</v>
      </c>
      <c r="C1194" s="201"/>
      <c r="E1194" s="1310"/>
    </row>
    <row r="1195" spans="1:5">
      <c r="A1195" s="1305"/>
      <c r="B1195" s="1307"/>
      <c r="C1195" s="201"/>
      <c r="E1195" s="1310"/>
    </row>
    <row r="1196" spans="1:5" ht="30">
      <c r="A1196" s="1305" t="s">
        <v>1697</v>
      </c>
      <c r="B1196" s="1307" t="s">
        <v>3056</v>
      </c>
      <c r="C1196" s="201" t="s">
        <v>1299</v>
      </c>
      <c r="E1196" s="1310"/>
    </row>
    <row r="1197" spans="1:5">
      <c r="A1197" s="1305"/>
      <c r="B1197" s="1307"/>
      <c r="C1197" s="201"/>
      <c r="E1197" s="1310"/>
    </row>
    <row r="1198" spans="1:5" ht="45">
      <c r="A1198" s="1305" t="s">
        <v>1699</v>
      </c>
      <c r="B1198" s="1307" t="s">
        <v>3057</v>
      </c>
      <c r="C1198" s="201" t="s">
        <v>217</v>
      </c>
      <c r="E1198" s="1310"/>
    </row>
    <row r="1199" spans="1:5">
      <c r="A1199" s="1305"/>
      <c r="B1199" s="1307"/>
      <c r="C1199" s="201"/>
      <c r="E1199" s="1310"/>
    </row>
    <row r="1200" spans="1:5" ht="30">
      <c r="A1200" s="1305" t="s">
        <v>1701</v>
      </c>
      <c r="B1200" s="1307" t="s">
        <v>3058</v>
      </c>
      <c r="C1200" s="201" t="s">
        <v>217</v>
      </c>
      <c r="E1200" s="1310"/>
    </row>
    <row r="1201" spans="1:5">
      <c r="A1201" s="1305"/>
      <c r="B1201" s="1307"/>
      <c r="C1201" s="201"/>
      <c r="E1201" s="1310"/>
    </row>
    <row r="1202" spans="1:5" ht="30">
      <c r="A1202" s="1305" t="s">
        <v>1703</v>
      </c>
      <c r="B1202" s="1307" t="s">
        <v>3059</v>
      </c>
      <c r="C1202" s="201" t="s">
        <v>217</v>
      </c>
      <c r="E1202" s="1310"/>
    </row>
    <row r="1203" spans="1:5">
      <c r="A1203" s="1305"/>
      <c r="B1203" s="1307"/>
      <c r="C1203" s="201"/>
      <c r="E1203" s="1310"/>
    </row>
    <row r="1204" spans="1:5" ht="30">
      <c r="A1204" s="1305" t="s">
        <v>1706</v>
      </c>
      <c r="B1204" s="1307" t="s">
        <v>3060</v>
      </c>
      <c r="C1204" s="201" t="s">
        <v>1293</v>
      </c>
      <c r="E1204" s="1310"/>
    </row>
    <row r="1205" spans="1:5">
      <c r="A1205" s="1305"/>
      <c r="B1205" s="1307"/>
      <c r="C1205" s="201"/>
      <c r="E1205" s="1310"/>
    </row>
    <row r="1206" spans="1:5" ht="30">
      <c r="A1206" s="1305" t="s">
        <v>1708</v>
      </c>
      <c r="B1206" s="1307" t="s">
        <v>3061</v>
      </c>
      <c r="C1206" s="201" t="s">
        <v>217</v>
      </c>
      <c r="E1206" s="1310"/>
    </row>
    <row r="1207" spans="1:5">
      <c r="A1207" s="1305"/>
      <c r="B1207" s="1307"/>
      <c r="C1207" s="201"/>
      <c r="E1207" s="1310"/>
    </row>
    <row r="1208" spans="1:5">
      <c r="A1208" s="1305"/>
      <c r="B1208" s="1306" t="s">
        <v>2997</v>
      </c>
      <c r="C1208" s="201"/>
      <c r="E1208" s="1310"/>
    </row>
    <row r="1209" spans="1:5">
      <c r="A1209" s="1305"/>
      <c r="B1209" s="1307"/>
      <c r="C1209" s="201"/>
      <c r="E1209" s="1310"/>
    </row>
    <row r="1210" spans="1:5" ht="51.75">
      <c r="A1210" s="1305"/>
      <c r="B1210" s="1308" t="s">
        <v>3062</v>
      </c>
      <c r="C1210" s="201"/>
      <c r="E1210" s="1310"/>
    </row>
    <row r="1211" spans="1:5">
      <c r="A1211" s="1305"/>
      <c r="B1211" s="1307"/>
      <c r="C1211" s="201"/>
      <c r="E1211" s="1310"/>
    </row>
    <row r="1212" spans="1:5">
      <c r="A1212" s="1305" t="s">
        <v>1686</v>
      </c>
      <c r="B1212" s="1307" t="s">
        <v>2999</v>
      </c>
      <c r="C1212" s="201" t="s">
        <v>217</v>
      </c>
      <c r="E1212" s="1310"/>
    </row>
    <row r="1213" spans="1:5">
      <c r="A1213" s="1305"/>
      <c r="B1213" s="1307"/>
      <c r="C1213" s="201"/>
      <c r="E1213" s="1310"/>
    </row>
    <row r="1214" spans="1:5">
      <c r="A1214" s="1305" t="s">
        <v>1688</v>
      </c>
      <c r="B1214" s="1307" t="s">
        <v>3000</v>
      </c>
      <c r="C1214" s="201" t="s">
        <v>217</v>
      </c>
      <c r="E1214" s="1310"/>
    </row>
    <row r="1215" spans="1:5">
      <c r="A1215" s="1305"/>
      <c r="B1215" s="1307"/>
      <c r="C1215" s="201"/>
      <c r="E1215" s="1310"/>
    </row>
    <row r="1216" spans="1:5">
      <c r="A1216" s="1305" t="s">
        <v>1691</v>
      </c>
      <c r="B1216" s="1307" t="s">
        <v>3001</v>
      </c>
      <c r="C1216" s="201" t="s">
        <v>217</v>
      </c>
      <c r="E1216" s="1310"/>
    </row>
    <row r="1217" spans="1:5">
      <c r="A1217" s="1305"/>
      <c r="B1217" s="1307"/>
      <c r="C1217" s="201"/>
      <c r="E1217" s="1310"/>
    </row>
    <row r="1218" spans="1:5">
      <c r="A1218" s="1305" t="s">
        <v>1693</v>
      </c>
      <c r="B1218" s="1307" t="s">
        <v>3002</v>
      </c>
      <c r="C1218" s="201" t="s">
        <v>217</v>
      </c>
      <c r="E1218" s="1310"/>
    </row>
    <row r="1219" spans="1:5">
      <c r="A1219" s="1305"/>
      <c r="B1219" s="1307"/>
      <c r="C1219" s="201"/>
      <c r="E1219" s="1310"/>
    </row>
    <row r="1220" spans="1:5">
      <c r="A1220" s="1305" t="s">
        <v>1695</v>
      </c>
      <c r="B1220" s="1307" t="s">
        <v>3055</v>
      </c>
      <c r="C1220" s="201" t="s">
        <v>217</v>
      </c>
      <c r="E1220" s="1310"/>
    </row>
    <row r="1221" spans="1:5">
      <c r="A1221" s="1305"/>
      <c r="B1221" s="1307"/>
      <c r="C1221" s="201"/>
      <c r="E1221" s="1310"/>
    </row>
    <row r="1222" spans="1:5" ht="77.25">
      <c r="A1222" s="1305"/>
      <c r="B1222" s="1308" t="s">
        <v>3063</v>
      </c>
      <c r="C1222" s="201"/>
      <c r="E1222" s="1310"/>
    </row>
    <row r="1223" spans="1:5">
      <c r="A1223" s="1305"/>
      <c r="B1223" s="1307"/>
      <c r="C1223" s="201"/>
      <c r="E1223" s="1310"/>
    </row>
    <row r="1224" spans="1:5">
      <c r="A1224" s="1305" t="s">
        <v>1697</v>
      </c>
      <c r="B1224" s="1307" t="s">
        <v>2999</v>
      </c>
      <c r="C1224" s="201" t="s">
        <v>217</v>
      </c>
      <c r="E1224" s="1310"/>
    </row>
    <row r="1225" spans="1:5">
      <c r="A1225" s="1305"/>
      <c r="B1225" s="1307"/>
      <c r="C1225" s="201"/>
      <c r="E1225" s="1310"/>
    </row>
    <row r="1226" spans="1:5">
      <c r="A1226" s="1305" t="s">
        <v>1699</v>
      </c>
      <c r="B1226" s="1307" t="s">
        <v>3000</v>
      </c>
      <c r="C1226" s="201" t="s">
        <v>217</v>
      </c>
      <c r="E1226" s="1310"/>
    </row>
    <row r="1227" spans="1:5">
      <c r="A1227" s="1305"/>
      <c r="B1227" s="1307"/>
      <c r="C1227" s="201"/>
      <c r="E1227" s="1310"/>
    </row>
    <row r="1228" spans="1:5">
      <c r="A1228" s="1305" t="s">
        <v>1701</v>
      </c>
      <c r="B1228" s="1307" t="s">
        <v>3001</v>
      </c>
      <c r="C1228" s="201" t="s">
        <v>217</v>
      </c>
      <c r="E1228" s="1310"/>
    </row>
    <row r="1229" spans="1:5">
      <c r="A1229" s="1305"/>
      <c r="B1229" s="1307"/>
      <c r="C1229" s="201"/>
      <c r="E1229" s="1310"/>
    </row>
    <row r="1230" spans="1:5">
      <c r="A1230" s="1305" t="s">
        <v>1703</v>
      </c>
      <c r="B1230" s="1307" t="s">
        <v>3002</v>
      </c>
      <c r="C1230" s="201" t="s">
        <v>217</v>
      </c>
      <c r="E1230" s="1310"/>
    </row>
    <row r="1231" spans="1:5">
      <c r="A1231" s="1305"/>
      <c r="B1231" s="1307"/>
      <c r="C1231" s="201"/>
      <c r="E1231" s="1310"/>
    </row>
    <row r="1232" spans="1:5">
      <c r="A1232" s="1305" t="s">
        <v>1706</v>
      </c>
      <c r="B1232" s="1307" t="s">
        <v>3055</v>
      </c>
      <c r="C1232" s="201" t="s">
        <v>217</v>
      </c>
      <c r="E1232" s="1310"/>
    </row>
    <row r="1233" spans="1:5">
      <c r="A1233" s="1305"/>
      <c r="B1233" s="1307"/>
      <c r="C1233" s="201"/>
      <c r="E1233" s="1310"/>
    </row>
    <row r="1234" spans="1:5">
      <c r="A1234" s="1305"/>
      <c r="B1234" s="1308" t="s">
        <v>2340</v>
      </c>
      <c r="C1234" s="201"/>
      <c r="E1234" s="1310"/>
    </row>
    <row r="1235" spans="1:5">
      <c r="A1235" s="1305"/>
      <c r="B1235" s="1307"/>
      <c r="C1235" s="201"/>
      <c r="E1235" s="1310"/>
    </row>
    <row r="1236" spans="1:5">
      <c r="A1236" s="1305" t="s">
        <v>1686</v>
      </c>
      <c r="B1236" s="1307" t="s">
        <v>3004</v>
      </c>
      <c r="C1236" s="201" t="s">
        <v>1299</v>
      </c>
      <c r="E1236" s="1310"/>
    </row>
    <row r="1237" spans="1:5">
      <c r="A1237" s="1305"/>
      <c r="B1237" s="1307"/>
      <c r="C1237" s="201"/>
      <c r="E1237" s="1310"/>
    </row>
    <row r="1238" spans="1:5" ht="30">
      <c r="A1238" s="1305" t="s">
        <v>1688</v>
      </c>
      <c r="B1238" s="1307" t="s">
        <v>3005</v>
      </c>
      <c r="C1238" s="201" t="s">
        <v>217</v>
      </c>
      <c r="E1238" s="1310"/>
    </row>
    <row r="1239" spans="1:5">
      <c r="A1239" s="1305"/>
      <c r="B1239" s="1307"/>
      <c r="C1239" s="201"/>
      <c r="E1239" s="1310"/>
    </row>
    <row r="1240" spans="1:5" ht="30">
      <c r="A1240" s="1305" t="s">
        <v>1691</v>
      </c>
      <c r="B1240" s="1307" t="s">
        <v>3064</v>
      </c>
      <c r="C1240" s="201" t="s">
        <v>217</v>
      </c>
      <c r="E1240" s="1310"/>
    </row>
    <row r="1241" spans="1:5">
      <c r="A1241" s="1305"/>
      <c r="B1241" s="1307"/>
      <c r="C1241" s="201"/>
      <c r="E1241" s="1310"/>
    </row>
    <row r="1242" spans="1:5" ht="30">
      <c r="A1242" s="1305" t="s">
        <v>1693</v>
      </c>
      <c r="B1242" s="1307" t="s">
        <v>3065</v>
      </c>
      <c r="C1242" s="201" t="s">
        <v>217</v>
      </c>
      <c r="E1242" s="1310"/>
    </row>
    <row r="1243" spans="1:5">
      <c r="A1243" s="1305"/>
      <c r="B1243" s="1307"/>
      <c r="C1243" s="201"/>
      <c r="E1243" s="1310"/>
    </row>
    <row r="1244" spans="1:5" ht="30">
      <c r="A1244" s="1305" t="s">
        <v>1695</v>
      </c>
      <c r="B1244" s="1307" t="s">
        <v>3066</v>
      </c>
      <c r="C1244" s="201" t="s">
        <v>1293</v>
      </c>
      <c r="E1244" s="1310"/>
    </row>
    <row r="1245" spans="1:5">
      <c r="A1245" s="1305"/>
      <c r="B1245" s="1307"/>
      <c r="C1245" s="201"/>
      <c r="E1245" s="1310"/>
    </row>
    <row r="1246" spans="1:5">
      <c r="A1246" s="1305"/>
      <c r="B1246" s="1306" t="s">
        <v>3067</v>
      </c>
      <c r="C1246" s="201"/>
      <c r="E1246" s="1310"/>
    </row>
    <row r="1247" spans="1:5">
      <c r="A1247" s="1305"/>
      <c r="B1247" s="1307"/>
      <c r="C1247" s="201"/>
      <c r="E1247" s="1310"/>
    </row>
    <row r="1248" spans="1:5">
      <c r="A1248" s="1305"/>
      <c r="B1248" s="1306" t="s">
        <v>3068</v>
      </c>
      <c r="C1248" s="201"/>
      <c r="E1248" s="1310"/>
    </row>
    <row r="1249" spans="1:5">
      <c r="A1249" s="1305"/>
      <c r="B1249" s="1307"/>
      <c r="C1249" s="201"/>
      <c r="E1249" s="1310"/>
    </row>
    <row r="1250" spans="1:5" ht="26.25">
      <c r="A1250" s="1305"/>
      <c r="B1250" s="1308" t="s">
        <v>3069</v>
      </c>
      <c r="C1250" s="201"/>
      <c r="E1250" s="1310"/>
    </row>
    <row r="1251" spans="1:5">
      <c r="A1251" s="1305"/>
      <c r="B1251" s="1307"/>
      <c r="C1251" s="201"/>
      <c r="E1251" s="1310"/>
    </row>
    <row r="1252" spans="1:5">
      <c r="A1252" s="1305" t="s">
        <v>1686</v>
      </c>
      <c r="B1252" s="1307" t="s">
        <v>3070</v>
      </c>
      <c r="C1252" s="201" t="s">
        <v>215</v>
      </c>
      <c r="E1252" s="1310"/>
    </row>
    <row r="1253" spans="1:5">
      <c r="A1253" s="1305"/>
      <c r="B1253" s="1307"/>
      <c r="C1253" s="201"/>
      <c r="E1253" s="1310"/>
    </row>
    <row r="1254" spans="1:5">
      <c r="A1254" s="1305" t="s">
        <v>1688</v>
      </c>
      <c r="B1254" s="1307" t="s">
        <v>3071</v>
      </c>
      <c r="C1254" s="201" t="s">
        <v>215</v>
      </c>
      <c r="E1254" s="1310"/>
    </row>
    <row r="1255" spans="1:5">
      <c r="A1255" s="1305"/>
      <c r="B1255" s="1307"/>
      <c r="C1255" s="201"/>
      <c r="E1255" s="1310"/>
    </row>
    <row r="1256" spans="1:5">
      <c r="A1256" s="1305" t="s">
        <v>1691</v>
      </c>
      <c r="B1256" s="1307" t="s">
        <v>3072</v>
      </c>
      <c r="C1256" s="201" t="s">
        <v>215</v>
      </c>
      <c r="E1256" s="1310"/>
    </row>
    <row r="1257" spans="1:5">
      <c r="A1257" s="1305"/>
      <c r="B1257" s="1307"/>
      <c r="C1257" s="201"/>
      <c r="E1257" s="1310"/>
    </row>
    <row r="1258" spans="1:5" ht="30">
      <c r="A1258" s="1305"/>
      <c r="B1258" s="1307" t="s">
        <v>3073</v>
      </c>
      <c r="C1258" s="201"/>
      <c r="E1258" s="1310"/>
    </row>
    <row r="1259" spans="1:5">
      <c r="A1259" s="1305"/>
      <c r="B1259" s="1307"/>
      <c r="C1259" s="201"/>
      <c r="E1259" s="1310"/>
    </row>
    <row r="1260" spans="1:5">
      <c r="A1260" s="1305" t="s">
        <v>1693</v>
      </c>
      <c r="B1260" s="1307" t="s">
        <v>3074</v>
      </c>
      <c r="C1260" s="201" t="s">
        <v>215</v>
      </c>
      <c r="E1260" s="1310"/>
    </row>
    <row r="1261" spans="1:5">
      <c r="A1261" s="1305"/>
      <c r="B1261" s="1307"/>
      <c r="C1261" s="201"/>
      <c r="E1261" s="1310"/>
    </row>
    <row r="1262" spans="1:5">
      <c r="A1262" s="1305" t="s">
        <v>1695</v>
      </c>
      <c r="B1262" s="1307" t="s">
        <v>3075</v>
      </c>
      <c r="C1262" s="201" t="s">
        <v>215</v>
      </c>
      <c r="E1262" s="1310"/>
    </row>
    <row r="1263" spans="1:5">
      <c r="A1263" s="1305"/>
      <c r="B1263" s="1307"/>
      <c r="C1263" s="201"/>
      <c r="E1263" s="1310"/>
    </row>
    <row r="1264" spans="1:5">
      <c r="A1264" s="1305"/>
      <c r="B1264" s="1306" t="s">
        <v>3076</v>
      </c>
      <c r="C1264" s="201"/>
      <c r="E1264" s="1310"/>
    </row>
    <row r="1265" spans="1:5">
      <c r="A1265" s="1305"/>
      <c r="B1265" s="1307"/>
      <c r="C1265" s="201"/>
      <c r="E1265" s="1310"/>
    </row>
    <row r="1266" spans="1:5">
      <c r="A1266" s="1305"/>
      <c r="B1266" s="1308" t="s">
        <v>3077</v>
      </c>
      <c r="C1266" s="201"/>
      <c r="E1266" s="1310"/>
    </row>
    <row r="1267" spans="1:5">
      <c r="A1267" s="1305"/>
      <c r="B1267" s="1307"/>
      <c r="C1267" s="201"/>
      <c r="E1267" s="1310"/>
    </row>
    <row r="1268" spans="1:5">
      <c r="A1268" s="1305" t="s">
        <v>1697</v>
      </c>
      <c r="B1268" s="1307" t="s">
        <v>3078</v>
      </c>
      <c r="C1268" s="201" t="s">
        <v>215</v>
      </c>
      <c r="E1268" s="1310"/>
    </row>
    <row r="1269" spans="1:5">
      <c r="A1269" s="1305"/>
      <c r="B1269" s="1307"/>
      <c r="C1269" s="201"/>
      <c r="E1269" s="1310"/>
    </row>
    <row r="1270" spans="1:5">
      <c r="A1270" s="1305" t="s">
        <v>1699</v>
      </c>
      <c r="B1270" s="1307" t="s">
        <v>3079</v>
      </c>
      <c r="C1270" s="201" t="s">
        <v>215</v>
      </c>
      <c r="E1270" s="1310"/>
    </row>
    <row r="1271" spans="1:5">
      <c r="A1271" s="1305"/>
      <c r="B1271" s="1307"/>
      <c r="C1271" s="201"/>
      <c r="E1271" s="1310"/>
    </row>
    <row r="1272" spans="1:5">
      <c r="A1272" s="1305" t="s">
        <v>1701</v>
      </c>
      <c r="B1272" s="1307" t="s">
        <v>3080</v>
      </c>
      <c r="C1272" s="201" t="s">
        <v>217</v>
      </c>
      <c r="E1272" s="1310"/>
    </row>
    <row r="1273" spans="1:5">
      <c r="A1273" s="1305"/>
      <c r="B1273" s="1307"/>
      <c r="C1273" s="201"/>
      <c r="E1273" s="1310"/>
    </row>
    <row r="1274" spans="1:5">
      <c r="A1274" s="1305" t="s">
        <v>1703</v>
      </c>
      <c r="B1274" s="1307" t="s">
        <v>3081</v>
      </c>
      <c r="C1274" s="201" t="s">
        <v>217</v>
      </c>
      <c r="E1274" s="1310"/>
    </row>
    <row r="1275" spans="1:5">
      <c r="A1275" s="1305"/>
      <c r="B1275" s="1307"/>
      <c r="C1275" s="201"/>
      <c r="E1275" s="1310"/>
    </row>
    <row r="1276" spans="1:5">
      <c r="A1276" s="1305"/>
      <c r="B1276" s="1308" t="s">
        <v>3082</v>
      </c>
      <c r="C1276" s="201"/>
      <c r="E1276" s="1310"/>
    </row>
    <row r="1277" spans="1:5">
      <c r="A1277" s="1305"/>
      <c r="B1277" s="1307"/>
      <c r="C1277" s="201"/>
      <c r="E1277" s="1310"/>
    </row>
    <row r="1278" spans="1:5">
      <c r="A1278" s="1305" t="s">
        <v>1706</v>
      </c>
      <c r="B1278" s="1307" t="s">
        <v>3083</v>
      </c>
      <c r="C1278" s="201" t="s">
        <v>215</v>
      </c>
      <c r="E1278" s="1310"/>
    </row>
    <row r="1279" spans="1:5">
      <c r="A1279" s="1305"/>
      <c r="B1279" s="1307"/>
      <c r="C1279" s="201"/>
      <c r="E1279" s="1310"/>
    </row>
    <row r="1280" spans="1:5">
      <c r="A1280" s="1305" t="s">
        <v>1708</v>
      </c>
      <c r="B1280" s="1307" t="s">
        <v>3084</v>
      </c>
      <c r="C1280" s="201" t="s">
        <v>217</v>
      </c>
      <c r="E1280" s="1310"/>
    </row>
    <row r="1281" spans="1:5">
      <c r="A1281" s="1305"/>
      <c r="B1281" s="1307"/>
      <c r="C1281" s="201"/>
      <c r="E1281" s="1310"/>
    </row>
    <row r="1282" spans="1:5">
      <c r="A1282" s="1305"/>
      <c r="B1282" s="1306" t="s">
        <v>3085</v>
      </c>
      <c r="C1282" s="201"/>
      <c r="E1282" s="1310"/>
    </row>
    <row r="1283" spans="1:5">
      <c r="A1283" s="1305"/>
      <c r="B1283" s="1307"/>
      <c r="C1283" s="201"/>
      <c r="E1283" s="1310"/>
    </row>
    <row r="1284" spans="1:5">
      <c r="A1284" s="1305"/>
      <c r="B1284" s="1306" t="s">
        <v>2773</v>
      </c>
      <c r="C1284" s="201"/>
      <c r="E1284" s="1310"/>
    </row>
    <row r="1285" spans="1:5">
      <c r="A1285" s="1305"/>
      <c r="B1285" s="1307"/>
      <c r="C1285" s="201"/>
      <c r="E1285" s="1310"/>
    </row>
    <row r="1286" spans="1:5" ht="26.25">
      <c r="A1286" s="1305"/>
      <c r="B1286" s="1308" t="s">
        <v>3086</v>
      </c>
      <c r="C1286" s="201"/>
      <c r="E1286" s="1310"/>
    </row>
    <row r="1287" spans="1:5">
      <c r="A1287" s="1305"/>
      <c r="B1287" s="1307"/>
      <c r="C1287" s="201"/>
      <c r="E1287" s="1310"/>
    </row>
    <row r="1288" spans="1:5">
      <c r="A1288" s="1305" t="s">
        <v>1686</v>
      </c>
      <c r="B1288" s="1307" t="s">
        <v>3087</v>
      </c>
      <c r="C1288" s="201" t="s">
        <v>1299</v>
      </c>
      <c r="E1288" s="1310"/>
    </row>
    <row r="1289" spans="1:5">
      <c r="A1289" s="1305"/>
      <c r="B1289" s="1307"/>
      <c r="C1289" s="201"/>
      <c r="E1289" s="1310"/>
    </row>
    <row r="1290" spans="1:5">
      <c r="A1290" s="1305"/>
      <c r="B1290" s="1306" t="s">
        <v>3088</v>
      </c>
      <c r="C1290" s="201"/>
      <c r="E1290" s="1310"/>
    </row>
    <row r="1291" spans="1:5">
      <c r="A1291" s="1305"/>
      <c r="B1291" s="1307"/>
      <c r="C1291" s="201"/>
      <c r="E1291" s="1310"/>
    </row>
    <row r="1292" spans="1:5">
      <c r="A1292" s="1305"/>
      <c r="B1292" s="1308" t="s">
        <v>3089</v>
      </c>
      <c r="C1292" s="201"/>
      <c r="E1292" s="1310"/>
    </row>
    <row r="1293" spans="1:5">
      <c r="A1293" s="1305"/>
      <c r="B1293" s="1307"/>
      <c r="C1293" s="201"/>
      <c r="E1293" s="1310"/>
    </row>
    <row r="1294" spans="1:5" ht="30">
      <c r="A1294" s="1305" t="s">
        <v>1688</v>
      </c>
      <c r="B1294" s="1307" t="s">
        <v>3090</v>
      </c>
      <c r="C1294" s="201" t="s">
        <v>1299</v>
      </c>
      <c r="E1294" s="1310"/>
    </row>
    <row r="1295" spans="1:5">
      <c r="A1295" s="1305"/>
      <c r="B1295" s="1307"/>
      <c r="C1295" s="201"/>
      <c r="E1295" s="1310"/>
    </row>
    <row r="1296" spans="1:5" ht="30">
      <c r="A1296" s="1305" t="s">
        <v>1691</v>
      </c>
      <c r="B1296" s="1307" t="s">
        <v>3091</v>
      </c>
      <c r="C1296" s="201" t="s">
        <v>1299</v>
      </c>
      <c r="E1296" s="1310"/>
    </row>
    <row r="1297" spans="1:5">
      <c r="A1297" s="1305"/>
      <c r="B1297" s="1307"/>
      <c r="C1297" s="201"/>
      <c r="E1297" s="1310"/>
    </row>
    <row r="1298" spans="1:5" ht="30">
      <c r="A1298" s="1305" t="s">
        <v>1693</v>
      </c>
      <c r="B1298" s="1307" t="s">
        <v>3092</v>
      </c>
      <c r="C1298" s="201" t="s">
        <v>1299</v>
      </c>
      <c r="E1298" s="1310"/>
    </row>
    <row r="1299" spans="1:5">
      <c r="A1299" s="1305"/>
      <c r="B1299" s="1307"/>
      <c r="C1299" s="201"/>
      <c r="E1299" s="1310"/>
    </row>
    <row r="1300" spans="1:5" ht="26.25">
      <c r="A1300" s="1305"/>
      <c r="B1300" s="1308" t="s">
        <v>3093</v>
      </c>
      <c r="C1300" s="201"/>
      <c r="E1300" s="1310"/>
    </row>
    <row r="1301" spans="1:5">
      <c r="A1301" s="1305"/>
      <c r="B1301" s="1307"/>
      <c r="C1301" s="201"/>
      <c r="E1301" s="1310"/>
    </row>
    <row r="1302" spans="1:5" ht="30">
      <c r="A1302" s="1305" t="s">
        <v>1695</v>
      </c>
      <c r="B1302" s="1307" t="s">
        <v>3094</v>
      </c>
      <c r="C1302" s="201" t="s">
        <v>1299</v>
      </c>
      <c r="E1302" s="1310"/>
    </row>
    <row r="1303" spans="1:5">
      <c r="A1303" s="1305"/>
      <c r="B1303" s="1307"/>
      <c r="C1303" s="201"/>
      <c r="E1303" s="1310"/>
    </row>
    <row r="1304" spans="1:5">
      <c r="A1304" s="1305"/>
      <c r="B1304" s="1306" t="s">
        <v>3095</v>
      </c>
      <c r="C1304" s="201"/>
      <c r="E1304" s="1310"/>
    </row>
    <row r="1305" spans="1:5">
      <c r="A1305" s="1305"/>
      <c r="B1305" s="1307"/>
      <c r="C1305" s="201"/>
      <c r="E1305" s="1310"/>
    </row>
    <row r="1306" spans="1:5">
      <c r="A1306" s="1305"/>
      <c r="B1306" s="1306" t="s">
        <v>3096</v>
      </c>
      <c r="C1306" s="201"/>
      <c r="E1306" s="1310"/>
    </row>
    <row r="1307" spans="1:5">
      <c r="A1307" s="1305"/>
      <c r="B1307" s="1307"/>
      <c r="C1307" s="201"/>
      <c r="E1307" s="1310"/>
    </row>
    <row r="1308" spans="1:5" ht="26.25">
      <c r="A1308" s="1305"/>
      <c r="B1308" s="1308" t="s">
        <v>3097</v>
      </c>
      <c r="C1308" s="201"/>
      <c r="E1308" s="1310"/>
    </row>
    <row r="1309" spans="1:5">
      <c r="A1309" s="1305"/>
      <c r="B1309" s="1307"/>
      <c r="C1309" s="201"/>
      <c r="E1309" s="1310"/>
    </row>
    <row r="1310" spans="1:5">
      <c r="A1310" s="1305" t="s">
        <v>1686</v>
      </c>
      <c r="B1310" s="1307" t="s">
        <v>3098</v>
      </c>
      <c r="C1310" s="201" t="s">
        <v>1299</v>
      </c>
      <c r="E1310" s="1310"/>
    </row>
    <row r="1311" spans="1:5">
      <c r="A1311" s="1305"/>
      <c r="B1311" s="1307"/>
      <c r="C1311" s="201"/>
      <c r="E1311" s="1310"/>
    </row>
    <row r="1312" spans="1:5">
      <c r="A1312" s="1305" t="s">
        <v>1688</v>
      </c>
      <c r="B1312" s="1307" t="s">
        <v>3099</v>
      </c>
      <c r="C1312" s="201" t="s">
        <v>1299</v>
      </c>
      <c r="E1312" s="1310"/>
    </row>
    <row r="1313" spans="1:5">
      <c r="A1313" s="1305"/>
      <c r="B1313" s="1307"/>
      <c r="C1313" s="201"/>
      <c r="E1313" s="1310"/>
    </row>
    <row r="1314" spans="1:5">
      <c r="A1314" s="1305" t="s">
        <v>1691</v>
      </c>
      <c r="B1314" s="1307" t="s">
        <v>3100</v>
      </c>
      <c r="C1314" s="201" t="s">
        <v>1299</v>
      </c>
      <c r="E1314" s="1310"/>
    </row>
    <row r="1315" spans="1:5">
      <c r="A1315" s="1305"/>
      <c r="B1315" s="1307"/>
      <c r="C1315" s="201"/>
      <c r="E1315" s="1310"/>
    </row>
    <row r="1316" spans="1:5" ht="26.25">
      <c r="A1316" s="1305"/>
      <c r="B1316" s="1308" t="s">
        <v>3101</v>
      </c>
      <c r="C1316" s="201"/>
      <c r="E1316" s="1310"/>
    </row>
    <row r="1317" spans="1:5">
      <c r="A1317" s="1305"/>
      <c r="B1317" s="1307"/>
      <c r="C1317" s="201"/>
      <c r="E1317" s="1310"/>
    </row>
    <row r="1318" spans="1:5">
      <c r="A1318" s="1305" t="s">
        <v>1693</v>
      </c>
      <c r="B1318" s="1307" t="s">
        <v>3102</v>
      </c>
      <c r="C1318" s="201" t="s">
        <v>1299</v>
      </c>
      <c r="E1318" s="1310"/>
    </row>
    <row r="1319" spans="1:5">
      <c r="A1319" s="1305"/>
      <c r="B1319" s="1307"/>
      <c r="C1319" s="201"/>
      <c r="E1319" s="1310"/>
    </row>
    <row r="1320" spans="1:5" ht="26.25">
      <c r="A1320" s="1305"/>
      <c r="B1320" s="1308" t="s">
        <v>3103</v>
      </c>
      <c r="C1320" s="201"/>
      <c r="E1320" s="1310"/>
    </row>
    <row r="1321" spans="1:5">
      <c r="A1321" s="1305"/>
      <c r="B1321" s="1307"/>
      <c r="C1321" s="201"/>
      <c r="E1321" s="1310"/>
    </row>
    <row r="1322" spans="1:5">
      <c r="A1322" s="1305" t="s">
        <v>1695</v>
      </c>
      <c r="B1322" s="1307" t="s">
        <v>3104</v>
      </c>
      <c r="C1322" s="201" t="s">
        <v>1299</v>
      </c>
      <c r="E1322" s="1310"/>
    </row>
    <row r="1323" spans="1:5">
      <c r="A1323" s="1305"/>
      <c r="B1323" s="1307"/>
      <c r="C1323" s="201"/>
      <c r="E1323" s="1310"/>
    </row>
    <row r="1324" spans="1:5" ht="26.25">
      <c r="A1324" s="1305"/>
      <c r="B1324" s="1308" t="s">
        <v>3105</v>
      </c>
      <c r="C1324" s="201"/>
      <c r="E1324" s="1310"/>
    </row>
    <row r="1325" spans="1:5">
      <c r="A1325" s="1305"/>
      <c r="B1325" s="1307"/>
      <c r="C1325" s="201"/>
      <c r="E1325" s="1310"/>
    </row>
    <row r="1326" spans="1:5">
      <c r="A1326" s="1305" t="s">
        <v>1697</v>
      </c>
      <c r="B1326" s="1307" t="s">
        <v>3106</v>
      </c>
      <c r="C1326" s="201" t="s">
        <v>1299</v>
      </c>
      <c r="E1326" s="1310"/>
    </row>
    <row r="1327" spans="1:5">
      <c r="A1327" s="1305"/>
      <c r="B1327" s="1307"/>
      <c r="C1327" s="201"/>
      <c r="E1327" s="1310"/>
    </row>
    <row r="1328" spans="1:5">
      <c r="A1328" s="1305"/>
      <c r="B1328" s="1306" t="s">
        <v>3107</v>
      </c>
      <c r="C1328" s="201"/>
      <c r="E1328" s="1310"/>
    </row>
    <row r="1329" spans="1:5">
      <c r="A1329" s="1305"/>
      <c r="B1329" s="1307"/>
      <c r="C1329" s="201"/>
      <c r="E1329" s="1310"/>
    </row>
    <row r="1330" spans="1:5" ht="26.25">
      <c r="A1330" s="1305"/>
      <c r="B1330" s="1308" t="s">
        <v>3108</v>
      </c>
      <c r="C1330" s="201"/>
      <c r="E1330" s="1310"/>
    </row>
    <row r="1331" spans="1:5">
      <c r="A1331" s="1305"/>
      <c r="B1331" s="1307"/>
      <c r="C1331" s="201"/>
      <c r="E1331" s="1310"/>
    </row>
    <row r="1332" spans="1:5">
      <c r="A1332" s="1305" t="s">
        <v>1686</v>
      </c>
      <c r="B1332" s="1307" t="s">
        <v>3106</v>
      </c>
      <c r="C1332" s="201" t="s">
        <v>1299</v>
      </c>
      <c r="E1332" s="1310"/>
    </row>
    <row r="1333" spans="1:5">
      <c r="A1333" s="1305"/>
      <c r="B1333" s="1307"/>
      <c r="C1333" s="201"/>
      <c r="E1333" s="1310"/>
    </row>
    <row r="1334" spans="1:5">
      <c r="A1334" s="1305" t="s">
        <v>1688</v>
      </c>
      <c r="B1334" s="1307" t="s">
        <v>3109</v>
      </c>
      <c r="C1334" s="201" t="s">
        <v>1299</v>
      </c>
      <c r="E1334" s="1310"/>
    </row>
    <row r="1335" spans="1:5">
      <c r="A1335" s="1305"/>
      <c r="B1335" s="1307"/>
      <c r="C1335" s="201"/>
      <c r="E1335" s="1310"/>
    </row>
    <row r="1336" spans="1:5" ht="26.25">
      <c r="A1336" s="1305"/>
      <c r="B1336" s="1308" t="s">
        <v>3110</v>
      </c>
      <c r="C1336" s="201"/>
      <c r="E1336" s="1310"/>
    </row>
    <row r="1337" spans="1:5">
      <c r="A1337" s="1305"/>
      <c r="B1337" s="1307"/>
      <c r="C1337" s="201"/>
      <c r="E1337" s="1310"/>
    </row>
    <row r="1338" spans="1:5">
      <c r="A1338" s="1305" t="s">
        <v>1691</v>
      </c>
      <c r="B1338" s="1307" t="s">
        <v>3104</v>
      </c>
      <c r="C1338" s="201" t="s">
        <v>1299</v>
      </c>
      <c r="E1338" s="1310"/>
    </row>
    <row r="1339" spans="1:5">
      <c r="A1339" s="1305"/>
      <c r="B1339" s="1307"/>
      <c r="C1339" s="201"/>
      <c r="E1339" s="1310"/>
    </row>
    <row r="1340" spans="1:5" ht="26.25">
      <c r="A1340" s="1305"/>
      <c r="B1340" s="1308" t="s">
        <v>3111</v>
      </c>
      <c r="C1340" s="201"/>
      <c r="E1340" s="1310"/>
    </row>
    <row r="1341" spans="1:5">
      <c r="A1341" s="1305"/>
      <c r="B1341" s="1307"/>
      <c r="C1341" s="201"/>
      <c r="E1341" s="1310"/>
    </row>
    <row r="1342" spans="1:5">
      <c r="A1342" s="1305" t="s">
        <v>1693</v>
      </c>
      <c r="B1342" s="1307" t="s">
        <v>3112</v>
      </c>
      <c r="C1342" s="201" t="s">
        <v>1299</v>
      </c>
      <c r="E1342" s="1310"/>
    </row>
    <row r="1343" spans="1:5">
      <c r="A1343" s="1305"/>
      <c r="B1343" s="1307"/>
      <c r="C1343" s="201"/>
      <c r="E1343" s="1310"/>
    </row>
    <row r="1344" spans="1:5" ht="39">
      <c r="A1344" s="1305"/>
      <c r="B1344" s="1308" t="s">
        <v>3113</v>
      </c>
      <c r="C1344" s="201"/>
      <c r="E1344" s="1310"/>
    </row>
    <row r="1345" spans="1:5">
      <c r="A1345" s="1305"/>
      <c r="B1345" s="1307"/>
      <c r="C1345" s="201"/>
      <c r="E1345" s="1310"/>
    </row>
    <row r="1346" spans="1:5">
      <c r="A1346" s="1305" t="s">
        <v>1695</v>
      </c>
      <c r="B1346" s="1307" t="s">
        <v>3114</v>
      </c>
      <c r="C1346" s="201" t="s">
        <v>1299</v>
      </c>
      <c r="E1346" s="1310"/>
    </row>
    <row r="1347" spans="1:5">
      <c r="A1347" s="1305"/>
      <c r="B1347" s="1307"/>
      <c r="C1347" s="201"/>
      <c r="E1347" s="1310"/>
    </row>
    <row r="1348" spans="1:5">
      <c r="A1348" s="1305"/>
      <c r="B1348" s="1306" t="s">
        <v>3115</v>
      </c>
      <c r="C1348" s="201"/>
      <c r="E1348" s="1310"/>
    </row>
    <row r="1349" spans="1:5">
      <c r="A1349" s="1305"/>
      <c r="B1349" s="1307"/>
      <c r="C1349" s="201"/>
      <c r="E1349" s="1310"/>
    </row>
    <row r="1350" spans="1:5" ht="30">
      <c r="A1350" s="1305" t="s">
        <v>1697</v>
      </c>
      <c r="B1350" s="1307" t="s">
        <v>3116</v>
      </c>
      <c r="C1350" s="201" t="s">
        <v>1293</v>
      </c>
      <c r="E1350" s="1310"/>
    </row>
    <row r="1351" spans="1:5">
      <c r="A1351" s="1305"/>
      <c r="B1351" s="1307"/>
      <c r="C1351" s="201"/>
      <c r="E1351" s="1310"/>
    </row>
    <row r="1352" spans="1:5">
      <c r="A1352" s="1305"/>
      <c r="B1352" s="1306" t="s">
        <v>3117</v>
      </c>
      <c r="C1352" s="201"/>
      <c r="E1352" s="1310"/>
    </row>
    <row r="1353" spans="1:5">
      <c r="A1353" s="1305"/>
      <c r="B1353" s="1307"/>
      <c r="C1353" s="201"/>
      <c r="E1353" s="1310"/>
    </row>
    <row r="1354" spans="1:5" ht="30">
      <c r="A1354" s="1305" t="s">
        <v>1686</v>
      </c>
      <c r="B1354" s="1307" t="s">
        <v>3118</v>
      </c>
      <c r="C1354" s="201" t="s">
        <v>1293</v>
      </c>
      <c r="E1354" s="1310"/>
    </row>
    <row r="1355" spans="1:5">
      <c r="A1355" s="1305"/>
      <c r="B1355" s="1307"/>
      <c r="C1355" s="201"/>
      <c r="E1355" s="1310"/>
    </row>
    <row r="1356" spans="1:5" ht="30">
      <c r="A1356" s="1305" t="s">
        <v>1688</v>
      </c>
      <c r="B1356" s="1307" t="s">
        <v>3119</v>
      </c>
      <c r="C1356" s="201" t="s">
        <v>1293</v>
      </c>
      <c r="E1356" s="1310"/>
    </row>
    <row r="1357" spans="1:5">
      <c r="A1357" s="1305"/>
      <c r="B1357" s="1307"/>
      <c r="C1357" s="201"/>
      <c r="E1357" s="1310"/>
    </row>
    <row r="1358" spans="1:5" ht="30">
      <c r="A1358" s="1305" t="s">
        <v>1691</v>
      </c>
      <c r="B1358" s="1307" t="s">
        <v>3120</v>
      </c>
      <c r="C1358" s="201" t="s">
        <v>1293</v>
      </c>
      <c r="E1358" s="1310"/>
    </row>
    <row r="1359" spans="1:5">
      <c r="A1359" s="1305"/>
      <c r="B1359" s="1307"/>
      <c r="C1359" s="201"/>
      <c r="E1359" s="1310"/>
    </row>
    <row r="1360" spans="1:5" ht="105">
      <c r="A1360" s="1305" t="s">
        <v>1693</v>
      </c>
      <c r="B1360" s="1307" t="s">
        <v>3121</v>
      </c>
      <c r="C1360" s="201" t="s">
        <v>1293</v>
      </c>
      <c r="E1360" s="1310"/>
    </row>
    <row r="1361" spans="1:5">
      <c r="A1361" s="1305"/>
      <c r="B1361" s="1307"/>
      <c r="C1361" s="201"/>
      <c r="E1361" s="1310"/>
    </row>
    <row r="1362" spans="1:5">
      <c r="A1362" s="1305"/>
      <c r="B1362" s="1308" t="s">
        <v>3122</v>
      </c>
      <c r="C1362" s="201"/>
      <c r="E1362" s="1310"/>
    </row>
    <row r="1363" spans="1:5">
      <c r="A1363" s="1305"/>
      <c r="B1363" s="1307"/>
      <c r="C1363" s="201"/>
      <c r="E1363" s="1310"/>
    </row>
    <row r="1364" spans="1:5" ht="30">
      <c r="A1364" s="1305" t="s">
        <v>1695</v>
      </c>
      <c r="B1364" s="1307" t="s">
        <v>3123</v>
      </c>
      <c r="C1364" s="201" t="s">
        <v>215</v>
      </c>
      <c r="E1364" s="1310"/>
    </row>
    <row r="1365" spans="1:5">
      <c r="A1365" s="1305"/>
      <c r="B1365" s="1307"/>
      <c r="C1365" s="201"/>
      <c r="E1365" s="1310"/>
    </row>
    <row r="1366" spans="1:5" ht="30">
      <c r="A1366" s="1305" t="s">
        <v>1697</v>
      </c>
      <c r="B1366" s="1307" t="s">
        <v>3124</v>
      </c>
      <c r="C1366" s="201" t="s">
        <v>215</v>
      </c>
      <c r="E1366" s="1310"/>
    </row>
    <row r="1367" spans="1:5">
      <c r="A1367" s="1305"/>
      <c r="B1367" s="1307"/>
      <c r="C1367" s="201"/>
      <c r="E1367" s="1310"/>
    </row>
    <row r="1368" spans="1:5">
      <c r="A1368" s="1305"/>
      <c r="B1368" s="1306" t="s">
        <v>3125</v>
      </c>
      <c r="C1368" s="201"/>
      <c r="E1368" s="1310"/>
    </row>
    <row r="1369" spans="1:5">
      <c r="A1369" s="1305"/>
      <c r="B1369" s="1307"/>
      <c r="C1369" s="201"/>
      <c r="E1369" s="1310"/>
    </row>
    <row r="1370" spans="1:5" ht="180">
      <c r="A1370" s="1305" t="s">
        <v>1686</v>
      </c>
      <c r="B1370" s="1307" t="s">
        <v>3126</v>
      </c>
      <c r="C1370" s="201" t="s">
        <v>217</v>
      </c>
      <c r="E1370" s="1310"/>
    </row>
    <row r="1371" spans="1:5">
      <c r="A1371" s="1305"/>
      <c r="B1371" s="1307"/>
      <c r="C1371" s="201"/>
      <c r="E1371" s="1310"/>
    </row>
    <row r="1372" spans="1:5" ht="105">
      <c r="A1372" s="1305"/>
      <c r="B1372" s="1307" t="s">
        <v>3127</v>
      </c>
      <c r="C1372" s="201"/>
      <c r="E1372" s="1310"/>
    </row>
    <row r="1373" spans="1:5">
      <c r="A1373" s="1305"/>
      <c r="B1373" s="1307"/>
      <c r="C1373" s="201"/>
      <c r="E1373" s="1310"/>
    </row>
    <row r="1374" spans="1:5" ht="225">
      <c r="A1374" s="1305" t="s">
        <v>1686</v>
      </c>
      <c r="B1374" s="1307" t="s">
        <v>3128</v>
      </c>
      <c r="C1374" s="201" t="s">
        <v>217</v>
      </c>
      <c r="E1374" s="1310"/>
    </row>
    <row r="1375" spans="1:5">
      <c r="A1375" s="1305"/>
      <c r="B1375" s="1307"/>
      <c r="C1375" s="201"/>
      <c r="E1375" s="1310"/>
    </row>
    <row r="1376" spans="1:5" ht="150">
      <c r="A1376" s="1305"/>
      <c r="B1376" s="1307" t="s">
        <v>3129</v>
      </c>
      <c r="C1376" s="201"/>
      <c r="E1376" s="1310"/>
    </row>
    <row r="1377" spans="1:5">
      <c r="A1377" s="1305"/>
      <c r="B1377" s="1307"/>
      <c r="C1377" s="201"/>
      <c r="E1377" s="1310"/>
    </row>
    <row r="1378" spans="1:5" ht="195">
      <c r="A1378" s="1305" t="s">
        <v>1686</v>
      </c>
      <c r="B1378" s="1307" t="s">
        <v>3130</v>
      </c>
      <c r="C1378" s="201" t="s">
        <v>217</v>
      </c>
      <c r="E1378" s="1310"/>
    </row>
    <row r="1379" spans="1:5">
      <c r="A1379" s="1305"/>
      <c r="B1379" s="1307"/>
      <c r="C1379" s="201"/>
      <c r="E1379" s="1310"/>
    </row>
    <row r="1380" spans="1:5" ht="90">
      <c r="A1380" s="1305"/>
      <c r="B1380" s="1307" t="s">
        <v>3131</v>
      </c>
      <c r="C1380" s="201"/>
      <c r="E1380" s="1310"/>
    </row>
    <row r="1381" spans="1:5">
      <c r="A1381" s="1305"/>
      <c r="B1381" s="1307"/>
      <c r="C1381" s="201"/>
      <c r="E1381" s="1310"/>
    </row>
    <row r="1382" spans="1:5" ht="45">
      <c r="A1382" s="1305" t="s">
        <v>1686</v>
      </c>
      <c r="B1382" s="1307" t="s">
        <v>3132</v>
      </c>
      <c r="C1382" s="201" t="s">
        <v>608</v>
      </c>
      <c r="E1382" s="1310" t="s">
        <v>190</v>
      </c>
    </row>
    <row r="1383" spans="1:5">
      <c r="A1383" s="1305"/>
      <c r="B1383" s="1307"/>
      <c r="C1383" s="201"/>
      <c r="E1383" s="1310"/>
    </row>
    <row r="1384" spans="1:5" ht="45">
      <c r="A1384" s="1305" t="s">
        <v>1688</v>
      </c>
      <c r="B1384" s="1307" t="s">
        <v>3133</v>
      </c>
      <c r="C1384" s="201" t="s">
        <v>608</v>
      </c>
      <c r="E1384" s="1310" t="s">
        <v>190</v>
      </c>
    </row>
    <row r="1385" spans="1:5">
      <c r="A1385" s="1305"/>
      <c r="B1385" s="1307"/>
      <c r="C1385" s="201"/>
      <c r="E1385" s="1310"/>
    </row>
    <row r="1386" spans="1:5">
      <c r="A1386" s="1305" t="s">
        <v>1691</v>
      </c>
      <c r="B1386" s="1307" t="s">
        <v>3134</v>
      </c>
      <c r="C1386" s="201" t="s">
        <v>2652</v>
      </c>
      <c r="E1386" s="1310">
        <v>0</v>
      </c>
    </row>
    <row r="1387" spans="1:5">
      <c r="A1387" s="1305"/>
      <c r="B1387" s="1307"/>
      <c r="C1387" s="201"/>
      <c r="E1387" s="1310"/>
    </row>
    <row r="1388" spans="1:5">
      <c r="A1388" s="1305"/>
      <c r="B1388" s="1308" t="s">
        <v>3135</v>
      </c>
      <c r="C1388" s="201"/>
      <c r="E1388" s="1310"/>
    </row>
    <row r="1389" spans="1:5">
      <c r="A1389" s="1305"/>
      <c r="B1389" s="1307"/>
      <c r="C1389" s="201"/>
      <c r="E1389" s="1310"/>
    </row>
    <row r="1390" spans="1:5">
      <c r="A1390" s="1305"/>
      <c r="B1390" s="1306" t="s">
        <v>3136</v>
      </c>
      <c r="C1390" s="201"/>
      <c r="E1390" s="1310"/>
    </row>
    <row r="1391" spans="1:5">
      <c r="A1391" s="1305"/>
      <c r="B1391" s="1307"/>
      <c r="C1391" s="201"/>
      <c r="E1391" s="1310"/>
    </row>
    <row r="1392" spans="1:5">
      <c r="A1392" s="1305"/>
      <c r="B1392" s="1308" t="s">
        <v>1813</v>
      </c>
      <c r="C1392" s="201"/>
      <c r="E1392" s="1310"/>
    </row>
    <row r="1393" spans="1:5">
      <c r="A1393" s="1305"/>
      <c r="B1393" s="1307"/>
      <c r="C1393" s="201"/>
      <c r="E1393" s="1310"/>
    </row>
    <row r="1394" spans="1:5" ht="30">
      <c r="A1394" s="1305"/>
      <c r="B1394" s="1307" t="s">
        <v>3137</v>
      </c>
      <c r="C1394" s="201"/>
      <c r="E1394" s="1310"/>
    </row>
    <row r="1395" spans="1:5">
      <c r="A1395" s="1305"/>
      <c r="B1395" s="1307"/>
      <c r="C1395" s="201"/>
      <c r="E1395" s="1310"/>
    </row>
    <row r="1396" spans="1:5">
      <c r="A1396" s="1305"/>
      <c r="B1396" s="1308" t="s">
        <v>3138</v>
      </c>
      <c r="C1396" s="201"/>
      <c r="E1396" s="1310"/>
    </row>
    <row r="1397" spans="1:5">
      <c r="A1397" s="1305"/>
      <c r="B1397" s="1307"/>
      <c r="C1397" s="201"/>
      <c r="E1397" s="1310"/>
    </row>
    <row r="1398" spans="1:5">
      <c r="A1398" s="1305" t="s">
        <v>1686</v>
      </c>
      <c r="B1398" s="1307" t="s">
        <v>3139</v>
      </c>
      <c r="C1398" s="201" t="s">
        <v>1293</v>
      </c>
      <c r="E1398" s="1310"/>
    </row>
    <row r="1399" spans="1:5">
      <c r="A1399" s="1305"/>
      <c r="B1399" s="1307"/>
      <c r="C1399" s="201"/>
      <c r="E1399" s="1310"/>
    </row>
    <row r="1400" spans="1:5" ht="102.75">
      <c r="A1400" s="1305"/>
      <c r="B1400" s="1308" t="s">
        <v>3140</v>
      </c>
      <c r="C1400" s="201"/>
      <c r="E1400" s="1310"/>
    </row>
    <row r="1401" spans="1:5">
      <c r="A1401" s="1305"/>
      <c r="B1401" s="1307"/>
      <c r="C1401" s="201"/>
      <c r="E1401" s="1310"/>
    </row>
    <row r="1402" spans="1:5" ht="105">
      <c r="A1402" s="1305"/>
      <c r="B1402" s="1307" t="s">
        <v>3141</v>
      </c>
      <c r="C1402" s="201"/>
      <c r="E1402" s="1310"/>
    </row>
    <row r="1403" spans="1:5">
      <c r="A1403" s="1305"/>
      <c r="B1403" s="1307"/>
      <c r="C1403" s="201"/>
      <c r="E1403" s="1310"/>
    </row>
    <row r="1404" spans="1:5" ht="30">
      <c r="A1404" s="1305" t="s">
        <v>1686</v>
      </c>
      <c r="B1404" s="1307" t="s">
        <v>3142</v>
      </c>
      <c r="C1404" s="201" t="s">
        <v>217</v>
      </c>
      <c r="E1404" s="1310"/>
    </row>
    <row r="1405" spans="1:5">
      <c r="A1405" s="1305"/>
      <c r="B1405" s="1307"/>
      <c r="C1405" s="201"/>
      <c r="E1405" s="1310"/>
    </row>
    <row r="1406" spans="1:5">
      <c r="A1406" s="1305" t="s">
        <v>1688</v>
      </c>
      <c r="B1406" s="1307" t="s">
        <v>3143</v>
      </c>
      <c r="C1406" s="201" t="s">
        <v>1299</v>
      </c>
      <c r="E1406" s="1310"/>
    </row>
    <row r="1407" spans="1:5">
      <c r="A1407" s="1305"/>
      <c r="B1407" s="1307"/>
      <c r="C1407" s="201"/>
      <c r="E1407" s="1310"/>
    </row>
    <row r="1408" spans="1:5">
      <c r="A1408" s="1305" t="s">
        <v>1691</v>
      </c>
      <c r="B1408" s="1307" t="s">
        <v>3144</v>
      </c>
      <c r="C1408" s="201" t="s">
        <v>1299</v>
      </c>
      <c r="E1408" s="1310"/>
    </row>
    <row r="1409" spans="1:5">
      <c r="A1409" s="1305"/>
      <c r="B1409" s="1307"/>
      <c r="C1409" s="201"/>
      <c r="E1409" s="1310"/>
    </row>
    <row r="1410" spans="1:5">
      <c r="A1410" s="1305" t="s">
        <v>1693</v>
      </c>
      <c r="B1410" s="1307" t="s">
        <v>3145</v>
      </c>
      <c r="C1410" s="201" t="s">
        <v>1299</v>
      </c>
      <c r="E1410" s="1310"/>
    </row>
    <row r="1411" spans="1:5">
      <c r="A1411" s="1305"/>
      <c r="B1411" s="1307"/>
      <c r="C1411" s="201"/>
      <c r="E1411" s="1310"/>
    </row>
    <row r="1412" spans="1:5">
      <c r="A1412" s="1305" t="s">
        <v>1695</v>
      </c>
      <c r="B1412" s="1307" t="s">
        <v>3146</v>
      </c>
      <c r="C1412" s="201" t="s">
        <v>215</v>
      </c>
      <c r="E1412" s="1310"/>
    </row>
    <row r="1413" spans="1:5">
      <c r="A1413" s="1305"/>
      <c r="B1413" s="1307"/>
      <c r="C1413" s="201"/>
      <c r="E1413" s="1310"/>
    </row>
    <row r="1414" spans="1:5">
      <c r="A1414" s="1305"/>
      <c r="B1414" s="1308" t="s">
        <v>3147</v>
      </c>
      <c r="C1414" s="201"/>
      <c r="E1414" s="1310"/>
    </row>
    <row r="1415" spans="1:5">
      <c r="A1415" s="1305"/>
      <c r="B1415" s="1307"/>
      <c r="C1415" s="201"/>
      <c r="E1415" s="1310"/>
    </row>
    <row r="1416" spans="1:5">
      <c r="A1416" s="1305"/>
      <c r="B1416" s="1308" t="s">
        <v>3148</v>
      </c>
      <c r="C1416" s="201"/>
      <c r="E1416" s="1310"/>
    </row>
    <row r="1417" spans="1:5">
      <c r="A1417" s="1305"/>
      <c r="B1417" s="1307"/>
      <c r="C1417" s="201"/>
      <c r="E1417" s="1310"/>
    </row>
    <row r="1418" spans="1:5">
      <c r="A1418" s="1305" t="s">
        <v>1697</v>
      </c>
      <c r="B1418" s="1307" t="s">
        <v>3149</v>
      </c>
      <c r="C1418" s="201" t="s">
        <v>1293</v>
      </c>
      <c r="E1418" s="1310"/>
    </row>
    <row r="1419" spans="1:5">
      <c r="A1419" s="1305"/>
      <c r="B1419" s="1307"/>
      <c r="C1419" s="201"/>
      <c r="E1419" s="1310"/>
    </row>
    <row r="1420" spans="1:5">
      <c r="A1420" s="1305"/>
      <c r="B1420" s="1308" t="s">
        <v>3150</v>
      </c>
      <c r="C1420" s="201"/>
      <c r="E1420" s="1310"/>
    </row>
    <row r="1421" spans="1:5">
      <c r="A1421" s="1305"/>
      <c r="B1421" s="1307"/>
      <c r="C1421" s="201"/>
      <c r="E1421" s="1310"/>
    </row>
    <row r="1422" spans="1:5" ht="45">
      <c r="A1422" s="1305" t="s">
        <v>1699</v>
      </c>
      <c r="B1422" s="1307" t="s">
        <v>3151</v>
      </c>
      <c r="C1422" s="201" t="s">
        <v>1293</v>
      </c>
      <c r="E1422" s="1310"/>
    </row>
    <row r="1423" spans="1:5">
      <c r="A1423" s="1305"/>
      <c r="B1423" s="1307"/>
      <c r="C1423" s="201"/>
      <c r="E1423" s="1310"/>
    </row>
    <row r="1424" spans="1:5">
      <c r="A1424" s="1305"/>
      <c r="B1424" s="1309" t="s">
        <v>3152</v>
      </c>
      <c r="C1424" s="201"/>
      <c r="E1424" s="1310"/>
    </row>
    <row r="1425" spans="1:5">
      <c r="A1425" s="1305"/>
      <c r="B1425" s="1307"/>
      <c r="C1425" s="201"/>
      <c r="E1425" s="1310"/>
    </row>
    <row r="1426" spans="1:5">
      <c r="A1426" s="1305" t="s">
        <v>1701</v>
      </c>
      <c r="B1426" s="1307" t="s">
        <v>3153</v>
      </c>
      <c r="C1426" s="201" t="s">
        <v>215</v>
      </c>
      <c r="E1426" s="1310"/>
    </row>
    <row r="1427" spans="1:5">
      <c r="A1427" s="1305"/>
      <c r="B1427" s="1307"/>
      <c r="C1427" s="201"/>
      <c r="E1427" s="1310"/>
    </row>
    <row r="1428" spans="1:5">
      <c r="A1428" s="1305" t="s">
        <v>1703</v>
      </c>
      <c r="B1428" s="1307" t="s">
        <v>3154</v>
      </c>
      <c r="C1428" s="201" t="s">
        <v>215</v>
      </c>
      <c r="E1428" s="1310"/>
    </row>
    <row r="1429" spans="1:5">
      <c r="A1429" s="1305"/>
      <c r="B1429" s="1307"/>
      <c r="C1429" s="201"/>
      <c r="E1429" s="1310"/>
    </row>
    <row r="1430" spans="1:5" ht="26.25">
      <c r="A1430" s="1305"/>
      <c r="B1430" s="1308" t="s">
        <v>3155</v>
      </c>
      <c r="C1430" s="201"/>
      <c r="E1430" s="1310"/>
    </row>
    <row r="1431" spans="1:5">
      <c r="A1431" s="1305"/>
      <c r="B1431" s="1307"/>
      <c r="C1431" s="201"/>
      <c r="E1431" s="1310"/>
    </row>
    <row r="1432" spans="1:5">
      <c r="A1432" s="1305"/>
      <c r="B1432" s="1307" t="s">
        <v>3156</v>
      </c>
      <c r="C1432" s="201"/>
      <c r="E1432" s="1310"/>
    </row>
    <row r="1433" spans="1:5">
      <c r="A1433" s="1305"/>
      <c r="B1433" s="1307"/>
      <c r="C1433" s="201"/>
      <c r="E1433" s="1310"/>
    </row>
    <row r="1434" spans="1:5">
      <c r="A1434" s="1305" t="s">
        <v>1706</v>
      </c>
      <c r="B1434" s="1307" t="s">
        <v>3157</v>
      </c>
      <c r="C1434" s="201" t="s">
        <v>217</v>
      </c>
      <c r="E1434" s="1310"/>
    </row>
    <row r="1435" spans="1:5">
      <c r="A1435" s="1305"/>
      <c r="B1435" s="1307"/>
      <c r="C1435" s="201"/>
      <c r="E1435" s="1310"/>
    </row>
    <row r="1436" spans="1:5">
      <c r="A1436" s="1305" t="s">
        <v>1708</v>
      </c>
      <c r="B1436" s="1307" t="s">
        <v>3158</v>
      </c>
      <c r="C1436" s="201" t="s">
        <v>217</v>
      </c>
      <c r="E1436" s="1310"/>
    </row>
    <row r="1437" spans="1:5">
      <c r="A1437" s="1305"/>
      <c r="B1437" s="1307"/>
      <c r="C1437" s="201"/>
      <c r="E1437" s="1310"/>
    </row>
    <row r="1438" spans="1:5">
      <c r="A1438" s="1305" t="s">
        <v>1686</v>
      </c>
      <c r="B1438" s="1307" t="s">
        <v>3159</v>
      </c>
      <c r="C1438" s="201" t="s">
        <v>217</v>
      </c>
      <c r="E1438" s="1310"/>
    </row>
    <row r="1439" spans="1:5">
      <c r="A1439" s="1305"/>
      <c r="B1439" s="1307"/>
      <c r="C1439" s="201"/>
      <c r="E1439" s="1310"/>
    </row>
    <row r="1440" spans="1:5">
      <c r="A1440" s="1305" t="s">
        <v>1688</v>
      </c>
      <c r="B1440" s="1307" t="s">
        <v>3160</v>
      </c>
      <c r="C1440" s="201" t="s">
        <v>217</v>
      </c>
      <c r="E1440" s="1310"/>
    </row>
    <row r="1441" spans="1:5">
      <c r="A1441" s="1305"/>
      <c r="B1441" s="1307"/>
      <c r="C1441" s="201"/>
      <c r="E1441" s="1310"/>
    </row>
    <row r="1442" spans="1:5" ht="30">
      <c r="A1442" s="1305"/>
      <c r="B1442" s="1307" t="s">
        <v>3161</v>
      </c>
      <c r="C1442" s="201"/>
      <c r="E1442" s="1310"/>
    </row>
    <row r="1443" spans="1:5">
      <c r="A1443" s="1305"/>
      <c r="B1443" s="1307"/>
      <c r="C1443" s="201"/>
      <c r="E1443" s="1310"/>
    </row>
    <row r="1444" spans="1:5">
      <c r="A1444" s="1305" t="s">
        <v>1691</v>
      </c>
      <c r="B1444" s="1307" t="s">
        <v>3157</v>
      </c>
      <c r="C1444" s="201" t="s">
        <v>217</v>
      </c>
      <c r="E1444" s="1310"/>
    </row>
    <row r="1445" spans="1:5">
      <c r="A1445" s="1305"/>
      <c r="B1445" s="1307"/>
      <c r="C1445" s="201"/>
      <c r="E1445" s="1310"/>
    </row>
    <row r="1446" spans="1:5">
      <c r="A1446" s="1305" t="s">
        <v>1693</v>
      </c>
      <c r="B1446" s="1307" t="s">
        <v>3158</v>
      </c>
      <c r="C1446" s="201" t="s">
        <v>217</v>
      </c>
      <c r="E1446" s="1310"/>
    </row>
    <row r="1447" spans="1:5">
      <c r="A1447" s="1305"/>
      <c r="B1447" s="1307"/>
      <c r="C1447" s="201"/>
      <c r="E1447" s="1310"/>
    </row>
    <row r="1448" spans="1:5">
      <c r="A1448" s="1305" t="s">
        <v>1695</v>
      </c>
      <c r="B1448" s="1307" t="s">
        <v>3162</v>
      </c>
      <c r="C1448" s="201" t="s">
        <v>217</v>
      </c>
      <c r="E1448" s="1310"/>
    </row>
    <row r="1449" spans="1:5">
      <c r="A1449" s="1305"/>
      <c r="B1449" s="1307"/>
      <c r="C1449" s="201"/>
      <c r="E1449" s="1310"/>
    </row>
    <row r="1450" spans="1:5">
      <c r="A1450" s="1305" t="s">
        <v>1697</v>
      </c>
      <c r="B1450" s="1307" t="s">
        <v>3163</v>
      </c>
      <c r="C1450" s="201" t="s">
        <v>217</v>
      </c>
      <c r="E1450" s="1310"/>
    </row>
    <row r="1451" spans="1:5">
      <c r="A1451" s="1305"/>
      <c r="B1451" s="1307"/>
      <c r="C1451" s="201"/>
      <c r="E1451" s="1310"/>
    </row>
    <row r="1452" spans="1:5">
      <c r="A1452" s="1305"/>
      <c r="B1452" s="1308" t="s">
        <v>1987</v>
      </c>
      <c r="C1452" s="201"/>
      <c r="E1452" s="1310"/>
    </row>
    <row r="1453" spans="1:5">
      <c r="A1453" s="1305"/>
      <c r="B1453" s="1307"/>
      <c r="C1453" s="201"/>
      <c r="E1453" s="1310"/>
    </row>
    <row r="1454" spans="1:5" ht="26.25">
      <c r="A1454" s="1305"/>
      <c r="B1454" s="1308" t="s">
        <v>3164</v>
      </c>
      <c r="C1454" s="201"/>
      <c r="E1454" s="1310"/>
    </row>
    <row r="1455" spans="1:5">
      <c r="A1455" s="1305"/>
      <c r="B1455" s="1307"/>
      <c r="C1455" s="201"/>
      <c r="E1455" s="1310"/>
    </row>
    <row r="1456" spans="1:5">
      <c r="A1456" s="1305" t="s">
        <v>1699</v>
      </c>
      <c r="B1456" s="1307" t="s">
        <v>3165</v>
      </c>
      <c r="C1456" s="201" t="s">
        <v>1357</v>
      </c>
      <c r="E1456" s="1310"/>
    </row>
    <row r="1457" spans="1:5">
      <c r="A1457" s="1305"/>
      <c r="B1457" s="1307"/>
      <c r="C1457" s="201"/>
      <c r="E1457" s="1310"/>
    </row>
    <row r="1458" spans="1:5">
      <c r="A1458" s="1305" t="s">
        <v>1701</v>
      </c>
      <c r="B1458" s="1307" t="s">
        <v>3166</v>
      </c>
      <c r="C1458" s="201" t="s">
        <v>1357</v>
      </c>
      <c r="E1458" s="1310"/>
    </row>
    <row r="1459" spans="1:5">
      <c r="A1459" s="1305"/>
      <c r="B1459" s="1307"/>
      <c r="C1459" s="201"/>
      <c r="E1459" s="1310"/>
    </row>
    <row r="1460" spans="1:5">
      <c r="A1460" s="1305" t="s">
        <v>1703</v>
      </c>
      <c r="B1460" s="1307" t="s">
        <v>3167</v>
      </c>
      <c r="C1460" s="201" t="s">
        <v>1357</v>
      </c>
      <c r="E1460" s="1310"/>
    </row>
    <row r="1461" spans="1:5">
      <c r="A1461" s="1305"/>
      <c r="B1461" s="1307"/>
      <c r="C1461" s="201"/>
      <c r="E1461" s="1310"/>
    </row>
    <row r="1462" spans="1:5">
      <c r="A1462" s="1305" t="s">
        <v>1706</v>
      </c>
      <c r="B1462" s="1307" t="s">
        <v>3168</v>
      </c>
      <c r="C1462" s="201" t="s">
        <v>1357</v>
      </c>
      <c r="E1462" s="1310"/>
    </row>
    <row r="1463" spans="1:5">
      <c r="A1463" s="1305"/>
      <c r="B1463" s="1307"/>
      <c r="C1463" s="201"/>
      <c r="E1463" s="1310"/>
    </row>
    <row r="1464" spans="1:5">
      <c r="A1464" s="1305" t="s">
        <v>1708</v>
      </c>
      <c r="B1464" s="1307" t="s">
        <v>3169</v>
      </c>
      <c r="C1464" s="201" t="s">
        <v>1357</v>
      </c>
      <c r="E1464" s="1310"/>
    </row>
    <row r="1465" spans="1:5">
      <c r="A1465" s="1305"/>
      <c r="B1465" s="1307"/>
      <c r="C1465" s="201"/>
      <c r="E1465" s="1310"/>
    </row>
    <row r="1466" spans="1:5">
      <c r="A1466" s="1305"/>
      <c r="B1466" s="1308" t="s">
        <v>3170</v>
      </c>
      <c r="C1466" s="201"/>
      <c r="E1466" s="1310"/>
    </row>
    <row r="1467" spans="1:5">
      <c r="A1467" s="1305"/>
      <c r="B1467" s="1307"/>
      <c r="C1467" s="201"/>
      <c r="E1467" s="1310"/>
    </row>
    <row r="1468" spans="1:5" ht="30">
      <c r="A1468" s="1305" t="s">
        <v>1710</v>
      </c>
      <c r="B1468" s="1307" t="s">
        <v>3171</v>
      </c>
      <c r="C1468" s="201" t="s">
        <v>1293</v>
      </c>
      <c r="E1468" s="1310"/>
    </row>
    <row r="1469" spans="1:5">
      <c r="A1469" s="1305"/>
      <c r="B1469" s="1307"/>
      <c r="C1469" s="201"/>
      <c r="E1469" s="1310"/>
    </row>
    <row r="1470" spans="1:5" ht="30">
      <c r="A1470" s="1305" t="s">
        <v>1712</v>
      </c>
      <c r="B1470" s="1307" t="s">
        <v>3172</v>
      </c>
      <c r="C1470" s="201" t="s">
        <v>1293</v>
      </c>
      <c r="E1470" s="1310"/>
    </row>
    <row r="1471" spans="1:5">
      <c r="A1471" s="1305"/>
      <c r="B1471" s="1307"/>
      <c r="C1471" s="201"/>
      <c r="E1471" s="1310"/>
    </row>
    <row r="1472" spans="1:5" ht="30">
      <c r="A1472" s="1305" t="s">
        <v>1834</v>
      </c>
      <c r="B1472" s="1307" t="s">
        <v>3173</v>
      </c>
      <c r="C1472" s="201" t="s">
        <v>1293</v>
      </c>
      <c r="E1472" s="1310"/>
    </row>
    <row r="1473" spans="1:5">
      <c r="A1473" s="1305"/>
      <c r="B1473" s="1307"/>
      <c r="C1473" s="201"/>
      <c r="E1473" s="1310"/>
    </row>
    <row r="1474" spans="1:5">
      <c r="A1474" s="1305"/>
      <c r="B1474" s="1308" t="s">
        <v>3174</v>
      </c>
      <c r="C1474" s="201"/>
      <c r="E1474" s="1310"/>
    </row>
    <row r="1475" spans="1:5">
      <c r="A1475" s="1305"/>
      <c r="B1475" s="1307"/>
      <c r="C1475" s="201"/>
      <c r="E1475" s="1310"/>
    </row>
    <row r="1476" spans="1:5">
      <c r="A1476" s="1305"/>
      <c r="B1476" s="1307" t="s">
        <v>3175</v>
      </c>
      <c r="C1476" s="201"/>
      <c r="E1476" s="1310"/>
    </row>
    <row r="1477" spans="1:5">
      <c r="A1477" s="1305"/>
      <c r="B1477" s="1307"/>
      <c r="C1477" s="201"/>
      <c r="E1477" s="1310"/>
    </row>
    <row r="1478" spans="1:5">
      <c r="A1478" s="1305" t="s">
        <v>1686</v>
      </c>
      <c r="B1478" s="1307" t="s">
        <v>3176</v>
      </c>
      <c r="C1478" s="201" t="s">
        <v>1293</v>
      </c>
      <c r="E1478" s="1310"/>
    </row>
    <row r="1479" spans="1:5">
      <c r="A1479" s="1305"/>
      <c r="B1479" s="1307"/>
      <c r="C1479" s="201"/>
      <c r="E1479" s="1310"/>
    </row>
    <row r="1480" spans="1:5">
      <c r="A1480" s="1305"/>
      <c r="B1480" s="1306" t="s">
        <v>3177</v>
      </c>
      <c r="C1480" s="201"/>
      <c r="E1480" s="1310"/>
    </row>
    <row r="1481" spans="1:5">
      <c r="A1481" s="1305"/>
      <c r="B1481" s="1307"/>
      <c r="C1481" s="201"/>
      <c r="E1481" s="1310"/>
    </row>
    <row r="1482" spans="1:5" ht="120">
      <c r="A1482" s="1305" t="s">
        <v>1688</v>
      </c>
      <c r="B1482" s="1307" t="s">
        <v>3178</v>
      </c>
      <c r="C1482" s="201" t="s">
        <v>215</v>
      </c>
      <c r="E1482" s="1310"/>
    </row>
    <row r="1483" spans="1:5">
      <c r="A1483" s="1305"/>
      <c r="B1483" s="1307"/>
      <c r="C1483" s="201"/>
      <c r="E1483" s="1310"/>
    </row>
    <row r="1484" spans="1:5">
      <c r="A1484" s="1305"/>
      <c r="B1484" s="1306" t="s">
        <v>3179</v>
      </c>
      <c r="C1484" s="201"/>
      <c r="E1484" s="1310"/>
    </row>
    <row r="1485" spans="1:5">
      <c r="A1485" s="1305"/>
      <c r="B1485" s="1307"/>
      <c r="C1485" s="201"/>
      <c r="E1485" s="1310"/>
    </row>
    <row r="1486" spans="1:5">
      <c r="A1486" s="1305"/>
      <c r="B1486" s="1306" t="s">
        <v>3180</v>
      </c>
      <c r="C1486" s="201"/>
      <c r="E1486" s="1310"/>
    </row>
    <row r="1487" spans="1:5">
      <c r="A1487" s="1305"/>
      <c r="B1487" s="1307"/>
      <c r="C1487" s="201"/>
      <c r="E1487" s="1310"/>
    </row>
    <row r="1488" spans="1:5" ht="30">
      <c r="A1488" s="1305"/>
      <c r="B1488" s="1307" t="s">
        <v>2650</v>
      </c>
      <c r="C1488" s="201"/>
      <c r="E1488" s="1310"/>
    </row>
    <row r="1489" spans="1:5">
      <c r="A1489" s="1305"/>
      <c r="B1489" s="1307"/>
      <c r="C1489" s="201"/>
      <c r="E1489" s="1310"/>
    </row>
    <row r="1490" spans="1:5" ht="45">
      <c r="A1490" s="1305"/>
      <c r="B1490" s="1307" t="s">
        <v>3181</v>
      </c>
      <c r="C1490" s="201"/>
      <c r="E1490" s="1310"/>
    </row>
    <row r="1491" spans="1:5">
      <c r="A1491" s="1305"/>
      <c r="B1491" s="1307"/>
      <c r="C1491" s="201"/>
      <c r="E1491" s="1310"/>
    </row>
    <row r="1492" spans="1:5" ht="30">
      <c r="A1492" s="1305"/>
      <c r="B1492" s="1307" t="s">
        <v>3182</v>
      </c>
      <c r="C1492" s="201"/>
      <c r="E1492" s="1310"/>
    </row>
    <row r="1493" spans="1:5">
      <c r="A1493" s="1305"/>
      <c r="B1493" s="1307"/>
      <c r="C1493" s="201"/>
      <c r="E1493" s="1310"/>
    </row>
    <row r="1494" spans="1:5" ht="45">
      <c r="A1494" s="1305"/>
      <c r="B1494" s="1307" t="s">
        <v>3183</v>
      </c>
      <c r="C1494" s="201"/>
      <c r="E1494" s="1310"/>
    </row>
    <row r="1495" spans="1:5">
      <c r="A1495" s="1305"/>
      <c r="B1495" s="1307"/>
      <c r="C1495" s="201"/>
      <c r="E1495" s="1310"/>
    </row>
    <row r="1496" spans="1:5" ht="75">
      <c r="A1496" s="1305"/>
      <c r="B1496" s="1307" t="s">
        <v>3184</v>
      </c>
      <c r="C1496" s="201"/>
      <c r="E1496" s="1310"/>
    </row>
    <row r="1497" spans="1:5">
      <c r="A1497" s="1305"/>
      <c r="B1497" s="1307"/>
      <c r="C1497" s="201"/>
      <c r="E1497" s="1310"/>
    </row>
    <row r="1498" spans="1:5" ht="60">
      <c r="A1498" s="1305"/>
      <c r="B1498" s="1307" t="s">
        <v>3185</v>
      </c>
      <c r="C1498" s="201"/>
      <c r="E1498" s="1310"/>
    </row>
    <row r="1499" spans="1:5">
      <c r="A1499" s="1305"/>
      <c r="B1499" s="1307"/>
      <c r="C1499" s="201"/>
      <c r="E1499" s="1310"/>
    </row>
    <row r="1500" spans="1:5">
      <c r="A1500" s="1305"/>
      <c r="B1500" s="1307" t="s">
        <v>1747</v>
      </c>
      <c r="C1500" s="201"/>
      <c r="E1500" s="1310"/>
    </row>
    <row r="1501" spans="1:5">
      <c r="A1501" s="1305"/>
      <c r="B1501" s="1307"/>
      <c r="C1501" s="201"/>
      <c r="E1501" s="1310"/>
    </row>
    <row r="1502" spans="1:5">
      <c r="A1502" s="1305"/>
      <c r="B1502" s="1306" t="s">
        <v>3186</v>
      </c>
      <c r="C1502" s="201"/>
      <c r="E1502" s="1310"/>
    </row>
    <row r="1503" spans="1:5">
      <c r="A1503" s="1305"/>
      <c r="B1503" s="1307"/>
      <c r="C1503" s="201"/>
      <c r="E1503" s="1310"/>
    </row>
    <row r="1504" spans="1:5" ht="45">
      <c r="A1504" s="1305" t="s">
        <v>1686</v>
      </c>
      <c r="B1504" s="1307" t="s">
        <v>3187</v>
      </c>
      <c r="C1504" s="201" t="s">
        <v>608</v>
      </c>
      <c r="E1504" s="1310">
        <v>120000</v>
      </c>
    </row>
    <row r="1505" spans="1:5">
      <c r="A1505" s="1305"/>
      <c r="B1505" s="1307"/>
      <c r="C1505" s="201"/>
      <c r="E1505" s="1310"/>
    </row>
    <row r="1506" spans="1:5">
      <c r="A1506" s="1305" t="s">
        <v>1688</v>
      </c>
      <c r="B1506" s="1307" t="s">
        <v>2651</v>
      </c>
      <c r="C1506" s="201" t="s">
        <v>2652</v>
      </c>
      <c r="E1506" s="1310">
        <v>120000</v>
      </c>
    </row>
    <row r="1507" spans="1:5">
      <c r="A1507" s="1305"/>
      <c r="B1507" s="1307"/>
      <c r="C1507" s="201"/>
      <c r="E1507" s="1310"/>
    </row>
    <row r="1508" spans="1:5">
      <c r="A1508" s="1305" t="s">
        <v>1691</v>
      </c>
      <c r="B1508" s="1307" t="s">
        <v>2653</v>
      </c>
      <c r="C1508" s="201" t="s">
        <v>2652</v>
      </c>
      <c r="E1508" s="1310">
        <v>120000</v>
      </c>
    </row>
    <row r="1509" spans="1:5">
      <c r="A1509" s="1305"/>
      <c r="B1509" s="1307"/>
      <c r="C1509" s="201"/>
      <c r="E1509" s="1310"/>
    </row>
    <row r="1510" spans="1:5">
      <c r="A1510" s="1305"/>
      <c r="B1510" s="1306" t="s">
        <v>3188</v>
      </c>
      <c r="C1510" s="201"/>
      <c r="E1510" s="1310"/>
    </row>
    <row r="1511" spans="1:5">
      <c r="A1511" s="1305"/>
      <c r="B1511" s="1307"/>
      <c r="C1511" s="201"/>
      <c r="E1511" s="1310"/>
    </row>
    <row r="1512" spans="1:5" ht="45">
      <c r="A1512" s="1305" t="s">
        <v>1693</v>
      </c>
      <c r="B1512" s="1307" t="s">
        <v>3189</v>
      </c>
      <c r="C1512" s="201" t="s">
        <v>608</v>
      </c>
      <c r="E1512" s="1310">
        <v>50000</v>
      </c>
    </row>
    <row r="1513" spans="1:5">
      <c r="A1513" s="1305"/>
      <c r="B1513" s="1307"/>
      <c r="C1513" s="201"/>
      <c r="E1513" s="1310"/>
    </row>
    <row r="1514" spans="1:5">
      <c r="A1514" s="1305" t="s">
        <v>1695</v>
      </c>
      <c r="B1514" s="1307" t="s">
        <v>2651</v>
      </c>
      <c r="C1514" s="201" t="s">
        <v>2652</v>
      </c>
      <c r="E1514" s="1310">
        <v>50000</v>
      </c>
    </row>
    <row r="1515" spans="1:5">
      <c r="A1515" s="1305"/>
      <c r="B1515" s="1307"/>
      <c r="C1515" s="201"/>
      <c r="E1515" s="1310"/>
    </row>
    <row r="1516" spans="1:5">
      <c r="A1516" s="1305" t="s">
        <v>1697</v>
      </c>
      <c r="B1516" s="1307" t="s">
        <v>2653</v>
      </c>
      <c r="C1516" s="201" t="s">
        <v>2652</v>
      </c>
      <c r="E1516" s="1310">
        <v>50000</v>
      </c>
    </row>
    <row r="1517" spans="1:5">
      <c r="A1517" s="1305"/>
      <c r="B1517" s="1307"/>
      <c r="C1517" s="201"/>
      <c r="E1517" s="1310"/>
    </row>
    <row r="1518" spans="1:5">
      <c r="A1518" s="1305"/>
      <c r="B1518" s="1306" t="s">
        <v>3190</v>
      </c>
      <c r="C1518" s="201"/>
      <c r="E1518" s="1310"/>
    </row>
    <row r="1519" spans="1:5">
      <c r="A1519" s="1305"/>
      <c r="B1519" s="1307"/>
      <c r="C1519" s="201"/>
      <c r="E1519" s="1310"/>
    </row>
    <row r="1520" spans="1:5" ht="60">
      <c r="A1520" s="1305" t="s">
        <v>1699</v>
      </c>
      <c r="B1520" s="1307" t="s">
        <v>3191</v>
      </c>
      <c r="C1520" s="201" t="s">
        <v>608</v>
      </c>
      <c r="E1520" s="1310">
        <v>70000</v>
      </c>
    </row>
    <row r="1521" spans="1:5">
      <c r="A1521" s="1305"/>
      <c r="B1521" s="1307"/>
      <c r="C1521" s="201"/>
      <c r="E1521" s="1310"/>
    </row>
    <row r="1522" spans="1:5">
      <c r="A1522" s="1305" t="s">
        <v>1701</v>
      </c>
      <c r="B1522" s="1307" t="s">
        <v>2651</v>
      </c>
      <c r="C1522" s="201" t="s">
        <v>2652</v>
      </c>
      <c r="E1522" s="1310">
        <v>70000</v>
      </c>
    </row>
    <row r="1523" spans="1:5">
      <c r="A1523" s="1305"/>
      <c r="B1523" s="1307"/>
      <c r="C1523" s="201"/>
      <c r="E1523" s="1310"/>
    </row>
    <row r="1524" spans="1:5">
      <c r="A1524" s="1305" t="s">
        <v>1703</v>
      </c>
      <c r="B1524" s="1307" t="s">
        <v>2653</v>
      </c>
      <c r="C1524" s="201" t="s">
        <v>2652</v>
      </c>
      <c r="E1524" s="1310">
        <v>70000</v>
      </c>
    </row>
    <row r="1525" spans="1:5">
      <c r="A1525" s="1305"/>
      <c r="B1525" s="1307"/>
      <c r="C1525" s="201"/>
      <c r="E1525" s="1310"/>
    </row>
    <row r="1526" spans="1:5">
      <c r="A1526" s="1305"/>
      <c r="B1526" s="1306" t="s">
        <v>3192</v>
      </c>
      <c r="C1526" s="201"/>
      <c r="E1526" s="1310"/>
    </row>
    <row r="1527" spans="1:5">
      <c r="A1527" s="1305"/>
      <c r="B1527" s="1307"/>
      <c r="C1527" s="201"/>
      <c r="E1527" s="1310"/>
    </row>
    <row r="1528" spans="1:5" ht="45">
      <c r="A1528" s="1305" t="s">
        <v>1706</v>
      </c>
      <c r="B1528" s="1307" t="s">
        <v>3193</v>
      </c>
      <c r="C1528" s="201" t="s">
        <v>608</v>
      </c>
      <c r="E1528" s="1310">
        <v>70000</v>
      </c>
    </row>
    <row r="1529" spans="1:5">
      <c r="A1529" s="1305"/>
      <c r="B1529" s="1307"/>
      <c r="C1529" s="201"/>
      <c r="E1529" s="1310"/>
    </row>
    <row r="1530" spans="1:5">
      <c r="A1530" s="1305" t="s">
        <v>1708</v>
      </c>
      <c r="B1530" s="1307" t="s">
        <v>2651</v>
      </c>
      <c r="C1530" s="201" t="s">
        <v>2652</v>
      </c>
      <c r="E1530" s="1310">
        <v>70000</v>
      </c>
    </row>
    <row r="1531" spans="1:5">
      <c r="A1531" s="1305"/>
      <c r="B1531" s="1307"/>
      <c r="C1531" s="201"/>
      <c r="E1531" s="1310"/>
    </row>
    <row r="1532" spans="1:5">
      <c r="A1532" s="1305" t="s">
        <v>1710</v>
      </c>
      <c r="B1532" s="1307" t="s">
        <v>2653</v>
      </c>
      <c r="C1532" s="201" t="s">
        <v>2652</v>
      </c>
      <c r="E1532" s="1310">
        <v>70000</v>
      </c>
    </row>
    <row r="1533" spans="1:5">
      <c r="A1533" s="1305"/>
      <c r="B1533" s="1307"/>
      <c r="C1533" s="201"/>
      <c r="E1533" s="1310"/>
    </row>
    <row r="1534" spans="1:5">
      <c r="A1534" s="1305"/>
      <c r="B1534" s="1306" t="s">
        <v>3194</v>
      </c>
      <c r="C1534" s="201"/>
      <c r="E1534" s="1310"/>
    </row>
    <row r="1535" spans="1:5">
      <c r="A1535" s="1305"/>
      <c r="B1535" s="1307"/>
      <c r="C1535" s="201"/>
      <c r="E1535" s="1310"/>
    </row>
    <row r="1536" spans="1:5" ht="45">
      <c r="A1536" s="1305" t="s">
        <v>1686</v>
      </c>
      <c r="B1536" s="1307" t="s">
        <v>3195</v>
      </c>
      <c r="C1536" s="201" t="s">
        <v>608</v>
      </c>
      <c r="E1536" s="1310">
        <v>1000000</v>
      </c>
    </row>
    <row r="1537" spans="1:5">
      <c r="A1537" s="1305"/>
      <c r="B1537" s="1307"/>
      <c r="C1537" s="201"/>
      <c r="E1537" s="1310"/>
    </row>
    <row r="1538" spans="1:5">
      <c r="A1538" s="1305" t="s">
        <v>1688</v>
      </c>
      <c r="B1538" s="1307" t="s">
        <v>2651</v>
      </c>
      <c r="C1538" s="201" t="s">
        <v>2652</v>
      </c>
      <c r="E1538" s="1310">
        <v>1000000</v>
      </c>
    </row>
    <row r="1539" spans="1:5">
      <c r="A1539" s="1305"/>
      <c r="B1539" s="1307"/>
      <c r="C1539" s="201"/>
      <c r="E1539" s="1310"/>
    </row>
    <row r="1540" spans="1:5">
      <c r="A1540" s="1305" t="s">
        <v>1691</v>
      </c>
      <c r="B1540" s="1307" t="s">
        <v>2653</v>
      </c>
      <c r="C1540" s="201" t="s">
        <v>2652</v>
      </c>
      <c r="E1540" s="1310">
        <v>1000000</v>
      </c>
    </row>
    <row r="1541" spans="1:5">
      <c r="A1541" s="1305"/>
      <c r="B1541" s="1307"/>
      <c r="C1541" s="201"/>
      <c r="E1541" s="1310"/>
    </row>
    <row r="1542" spans="1:5">
      <c r="A1542" s="1305"/>
      <c r="B1542" s="1306" t="s">
        <v>2345</v>
      </c>
      <c r="C1542" s="201"/>
      <c r="E1542" s="1310"/>
    </row>
    <row r="1543" spans="1:5">
      <c r="A1543" s="1305"/>
      <c r="B1543" s="1307"/>
      <c r="C1543" s="201"/>
      <c r="E1543" s="1310"/>
    </row>
    <row r="1544" spans="1:5" ht="45">
      <c r="A1544" s="1305" t="s">
        <v>1693</v>
      </c>
      <c r="B1544" s="1307" t="s">
        <v>3196</v>
      </c>
      <c r="C1544" s="201" t="s">
        <v>608</v>
      </c>
      <c r="E1544" s="1310">
        <v>160000</v>
      </c>
    </row>
    <row r="1545" spans="1:5">
      <c r="A1545" s="1305"/>
      <c r="B1545" s="1307"/>
      <c r="C1545" s="201"/>
      <c r="E1545" s="1310"/>
    </row>
    <row r="1546" spans="1:5">
      <c r="A1546" s="1305" t="s">
        <v>1695</v>
      </c>
      <c r="B1546" s="1307" t="s">
        <v>2651</v>
      </c>
      <c r="C1546" s="201" t="s">
        <v>2652</v>
      </c>
      <c r="E1546" s="1310">
        <v>160000</v>
      </c>
    </row>
    <row r="1547" spans="1:5">
      <c r="A1547" s="1305"/>
      <c r="B1547" s="1307"/>
      <c r="C1547" s="201"/>
      <c r="E1547" s="1310"/>
    </row>
    <row r="1548" spans="1:5">
      <c r="A1548" s="1305" t="s">
        <v>1697</v>
      </c>
      <c r="B1548" s="1307" t="s">
        <v>2653</v>
      </c>
      <c r="C1548" s="201" t="s">
        <v>2652</v>
      </c>
      <c r="E1548" s="1310">
        <v>160000</v>
      </c>
    </row>
    <row r="1549" spans="1:5">
      <c r="A1549" s="1305"/>
      <c r="B1549" s="1307"/>
      <c r="C1549" s="201"/>
      <c r="E1549" s="1310"/>
    </row>
    <row r="1550" spans="1:5">
      <c r="A1550" s="1305"/>
      <c r="B1550" s="1306" t="s">
        <v>3197</v>
      </c>
      <c r="C1550" s="201"/>
      <c r="E1550" s="1310"/>
    </row>
    <row r="1551" spans="1:5">
      <c r="A1551" s="1305"/>
      <c r="B1551" s="1307"/>
      <c r="C1551" s="201"/>
      <c r="E1551" s="1310"/>
    </row>
    <row r="1552" spans="1:5" ht="45">
      <c r="A1552" s="1305" t="s">
        <v>1699</v>
      </c>
      <c r="B1552" s="1307" t="s">
        <v>3198</v>
      </c>
      <c r="C1552" s="201" t="s">
        <v>608</v>
      </c>
      <c r="E1552" s="1310">
        <v>3050000</v>
      </c>
    </row>
    <row r="1553" spans="1:5">
      <c r="A1553" s="1305"/>
      <c r="B1553" s="1307"/>
      <c r="C1553" s="201"/>
      <c r="E1553" s="1310"/>
    </row>
    <row r="1554" spans="1:5">
      <c r="A1554" s="1305" t="s">
        <v>1701</v>
      </c>
      <c r="B1554" s="1307" t="s">
        <v>2651</v>
      </c>
      <c r="C1554" s="201" t="s">
        <v>2652</v>
      </c>
      <c r="E1554" s="1310">
        <v>3050000</v>
      </c>
    </row>
    <row r="1555" spans="1:5">
      <c r="A1555" s="1305"/>
      <c r="B1555" s="1307"/>
      <c r="C1555" s="201"/>
      <c r="E1555" s="1310"/>
    </row>
    <row r="1556" spans="1:5">
      <c r="A1556" s="1305" t="s">
        <v>1703</v>
      </c>
      <c r="B1556" s="1307" t="s">
        <v>2653</v>
      </c>
      <c r="C1556" s="201" t="s">
        <v>2652</v>
      </c>
      <c r="E1556" s="1310">
        <v>3050000</v>
      </c>
    </row>
    <row r="1557" spans="1:5">
      <c r="A1557" s="1305"/>
      <c r="B1557" s="1307"/>
      <c r="C1557" s="201"/>
      <c r="E1557" s="1310"/>
    </row>
    <row r="1558" spans="1:5">
      <c r="A1558" s="1305"/>
      <c r="B1558" s="1306" t="s">
        <v>3199</v>
      </c>
      <c r="C1558" s="201"/>
      <c r="E1558" s="1310"/>
    </row>
    <row r="1559" spans="1:5">
      <c r="A1559" s="1305"/>
      <c r="B1559" s="1307"/>
      <c r="C1559" s="201"/>
      <c r="E1559" s="1310"/>
    </row>
    <row r="1560" spans="1:5" ht="45">
      <c r="A1560" s="1305" t="s">
        <v>1706</v>
      </c>
      <c r="B1560" s="1307" t="s">
        <v>3200</v>
      </c>
      <c r="C1560" s="201" t="s">
        <v>608</v>
      </c>
      <c r="E1560" s="1310">
        <v>7600000</v>
      </c>
    </row>
    <row r="1561" spans="1:5">
      <c r="A1561" s="1305"/>
      <c r="B1561" s="1307"/>
      <c r="C1561" s="201"/>
      <c r="E1561" s="1310"/>
    </row>
    <row r="1562" spans="1:5">
      <c r="A1562" s="1305" t="s">
        <v>1708</v>
      </c>
      <c r="B1562" s="1307" t="s">
        <v>2651</v>
      </c>
      <c r="C1562" s="201" t="s">
        <v>2652</v>
      </c>
      <c r="E1562" s="1310">
        <v>7600000</v>
      </c>
    </row>
    <row r="1563" spans="1:5">
      <c r="A1563" s="1305"/>
      <c r="B1563" s="1307"/>
      <c r="C1563" s="201"/>
      <c r="E1563" s="1310"/>
    </row>
    <row r="1564" spans="1:5">
      <c r="A1564" s="1305" t="s">
        <v>1710</v>
      </c>
      <c r="B1564" s="1307" t="s">
        <v>2653</v>
      </c>
      <c r="C1564" s="201" t="s">
        <v>2652</v>
      </c>
      <c r="E1564" s="1310">
        <v>7600000</v>
      </c>
    </row>
    <row r="1565" spans="1:5">
      <c r="A1565" s="1305"/>
      <c r="B1565" s="1307"/>
      <c r="C1565" s="201"/>
      <c r="E1565" s="1310"/>
    </row>
    <row r="1566" spans="1:5">
      <c r="A1566" s="1305"/>
      <c r="B1566" s="1306" t="s">
        <v>3201</v>
      </c>
      <c r="C1566" s="201"/>
      <c r="E1566" s="1310"/>
    </row>
    <row r="1567" spans="1:5">
      <c r="A1567" s="1305"/>
      <c r="B1567" s="1307"/>
      <c r="C1567" s="201"/>
      <c r="E1567" s="1310"/>
    </row>
    <row r="1568" spans="1:5" ht="45">
      <c r="A1568" s="1305" t="s">
        <v>1712</v>
      </c>
      <c r="B1568" s="1307" t="s">
        <v>3202</v>
      </c>
      <c r="C1568" s="201" t="s">
        <v>608</v>
      </c>
      <c r="E1568" s="1310">
        <v>1550000</v>
      </c>
    </row>
    <row r="1569" spans="1:5">
      <c r="A1569" s="1305"/>
      <c r="B1569" s="1307"/>
      <c r="C1569" s="201"/>
      <c r="E1569" s="1310"/>
    </row>
    <row r="1570" spans="1:5">
      <c r="A1570" s="1305" t="s">
        <v>1834</v>
      </c>
      <c r="B1570" s="1307" t="s">
        <v>2651</v>
      </c>
      <c r="C1570" s="201" t="s">
        <v>2652</v>
      </c>
      <c r="E1570" s="1310">
        <v>1550000</v>
      </c>
    </row>
    <row r="1571" spans="1:5">
      <c r="A1571" s="1305"/>
      <c r="B1571" s="1307"/>
      <c r="C1571" s="201"/>
      <c r="E1571" s="1310"/>
    </row>
    <row r="1572" spans="1:5">
      <c r="A1572" s="1305" t="s">
        <v>1836</v>
      </c>
      <c r="B1572" s="1307" t="s">
        <v>2653</v>
      </c>
      <c r="C1572" s="201" t="s">
        <v>2652</v>
      </c>
      <c r="E1572" s="1310">
        <v>1550000</v>
      </c>
    </row>
    <row r="1573" spans="1:5">
      <c r="A1573" s="1305"/>
      <c r="B1573" s="1307"/>
      <c r="C1573" s="201"/>
      <c r="E1573" s="1310"/>
    </row>
    <row r="1574" spans="1:5">
      <c r="A1574" s="1305"/>
      <c r="B1574" s="1306" t="s">
        <v>3203</v>
      </c>
      <c r="C1574" s="201"/>
      <c r="E1574" s="1310"/>
    </row>
    <row r="1575" spans="1:5">
      <c r="A1575" s="1305"/>
      <c r="B1575" s="1307"/>
      <c r="C1575" s="201"/>
      <c r="E1575" s="1310"/>
    </row>
    <row r="1576" spans="1:5" ht="45">
      <c r="A1576" s="1305" t="s">
        <v>1686</v>
      </c>
      <c r="B1576" s="1307" t="s">
        <v>3204</v>
      </c>
      <c r="C1576" s="201" t="s">
        <v>608</v>
      </c>
      <c r="E1576" s="1310">
        <v>3900000</v>
      </c>
    </row>
    <row r="1577" spans="1:5">
      <c r="A1577" s="1305"/>
      <c r="B1577" s="1307"/>
      <c r="C1577" s="201"/>
      <c r="E1577" s="1310"/>
    </row>
    <row r="1578" spans="1:5">
      <c r="A1578" s="1305" t="s">
        <v>1688</v>
      </c>
      <c r="B1578" s="1307" t="s">
        <v>2651</v>
      </c>
      <c r="C1578" s="201" t="s">
        <v>2652</v>
      </c>
      <c r="E1578" s="1310">
        <v>3900000</v>
      </c>
    </row>
    <row r="1579" spans="1:5">
      <c r="A1579" s="1305"/>
      <c r="B1579" s="1307"/>
      <c r="C1579" s="201"/>
      <c r="E1579" s="1310"/>
    </row>
    <row r="1580" spans="1:5">
      <c r="A1580" s="1305" t="s">
        <v>1691</v>
      </c>
      <c r="B1580" s="1307" t="s">
        <v>2653</v>
      </c>
      <c r="C1580" s="201" t="s">
        <v>2652</v>
      </c>
      <c r="E1580" s="1310">
        <v>3900000</v>
      </c>
    </row>
    <row r="1581" spans="1:5">
      <c r="A1581" s="1305"/>
      <c r="B1581" s="1307"/>
      <c r="C1581" s="201"/>
      <c r="E1581" s="1310"/>
    </row>
    <row r="1582" spans="1:5">
      <c r="A1582" s="1305"/>
      <c r="B1582" s="1306" t="s">
        <v>3205</v>
      </c>
      <c r="C1582" s="201"/>
      <c r="E1582" s="1310"/>
    </row>
    <row r="1583" spans="1:5">
      <c r="A1583" s="1305"/>
      <c r="B1583" s="1307"/>
      <c r="C1583" s="201"/>
      <c r="E1583" s="1310"/>
    </row>
    <row r="1584" spans="1:5" ht="45">
      <c r="A1584" s="1305" t="s">
        <v>1693</v>
      </c>
      <c r="B1584" s="1307" t="s">
        <v>3206</v>
      </c>
      <c r="C1584" s="201" t="s">
        <v>608</v>
      </c>
      <c r="E1584" s="1310">
        <v>700000</v>
      </c>
    </row>
    <row r="1585" spans="1:5">
      <c r="A1585" s="1305"/>
      <c r="B1585" s="1307"/>
      <c r="C1585" s="201"/>
      <c r="E1585" s="1310"/>
    </row>
    <row r="1586" spans="1:5">
      <c r="A1586" s="1305" t="s">
        <v>1695</v>
      </c>
      <c r="B1586" s="1307" t="s">
        <v>2651</v>
      </c>
      <c r="C1586" s="201" t="s">
        <v>2652</v>
      </c>
      <c r="E1586" s="1310">
        <v>700000</v>
      </c>
    </row>
    <row r="1587" spans="1:5">
      <c r="A1587" s="1305"/>
      <c r="B1587" s="1307"/>
      <c r="C1587" s="201"/>
      <c r="E1587" s="1310"/>
    </row>
    <row r="1588" spans="1:5">
      <c r="A1588" s="1305" t="s">
        <v>1697</v>
      </c>
      <c r="B1588" s="1307" t="s">
        <v>2653</v>
      </c>
      <c r="C1588" s="201" t="s">
        <v>2652</v>
      </c>
      <c r="E1588" s="1310">
        <v>700000</v>
      </c>
    </row>
    <row r="1589" spans="1:5">
      <c r="A1589" s="1305"/>
      <c r="B1589" s="1307"/>
      <c r="C1589" s="201"/>
      <c r="E1589" s="1310"/>
    </row>
    <row r="1590" spans="1:5">
      <c r="A1590" s="1305"/>
      <c r="B1590" s="1306" t="s">
        <v>3207</v>
      </c>
      <c r="C1590" s="201"/>
      <c r="E1590" s="1310"/>
    </row>
    <row r="1591" spans="1:5">
      <c r="A1591" s="1305"/>
      <c r="B1591" s="1307"/>
      <c r="C1591" s="201"/>
      <c r="E1591" s="1310"/>
    </row>
    <row r="1592" spans="1:5" ht="45">
      <c r="A1592" s="1305" t="s">
        <v>1699</v>
      </c>
      <c r="B1592" s="1307" t="s">
        <v>3208</v>
      </c>
      <c r="C1592" s="201" t="s">
        <v>608</v>
      </c>
      <c r="E1592" s="1310">
        <v>1000000</v>
      </c>
    </row>
    <row r="1593" spans="1:5">
      <c r="A1593" s="1305"/>
      <c r="B1593" s="1307"/>
      <c r="C1593" s="201"/>
      <c r="E1593" s="1310"/>
    </row>
    <row r="1594" spans="1:5">
      <c r="A1594" s="1305" t="s">
        <v>1701</v>
      </c>
      <c r="B1594" s="1307" t="s">
        <v>2651</v>
      </c>
      <c r="C1594" s="201" t="s">
        <v>2652</v>
      </c>
      <c r="E1594" s="1310">
        <v>1000000</v>
      </c>
    </row>
    <row r="1595" spans="1:5">
      <c r="A1595" s="1305"/>
      <c r="B1595" s="1307"/>
      <c r="C1595" s="201"/>
      <c r="E1595" s="1310"/>
    </row>
    <row r="1596" spans="1:5">
      <c r="A1596" s="1305" t="s">
        <v>1703</v>
      </c>
      <c r="B1596" s="1307" t="s">
        <v>2653</v>
      </c>
      <c r="C1596" s="201" t="s">
        <v>2652</v>
      </c>
      <c r="E1596" s="1310">
        <v>1000000</v>
      </c>
    </row>
    <row r="1597" spans="1:5">
      <c r="A1597" s="1305"/>
      <c r="B1597" s="1307"/>
      <c r="C1597" s="201"/>
      <c r="E1597" s="1310"/>
    </row>
    <row r="1598" spans="1:5">
      <c r="A1598" s="1305"/>
      <c r="B1598" s="1306" t="s">
        <v>3209</v>
      </c>
      <c r="C1598" s="201"/>
      <c r="E1598" s="1310"/>
    </row>
    <row r="1599" spans="1:5">
      <c r="A1599" s="1305"/>
      <c r="B1599" s="1307"/>
      <c r="C1599" s="201"/>
      <c r="E1599" s="1310"/>
    </row>
    <row r="1600" spans="1:5" ht="45">
      <c r="A1600" s="1305" t="s">
        <v>1706</v>
      </c>
      <c r="B1600" s="1307" t="s">
        <v>3210</v>
      </c>
      <c r="C1600" s="201" t="s">
        <v>608</v>
      </c>
      <c r="E1600" s="1310">
        <v>1000000</v>
      </c>
    </row>
    <row r="1601" spans="1:5">
      <c r="A1601" s="1305"/>
      <c r="B1601" s="1307"/>
      <c r="C1601" s="201"/>
      <c r="E1601" s="1310"/>
    </row>
    <row r="1602" spans="1:5">
      <c r="A1602" s="1305" t="s">
        <v>1708</v>
      </c>
      <c r="B1602" s="1307" t="s">
        <v>2651</v>
      </c>
      <c r="C1602" s="201" t="s">
        <v>2652</v>
      </c>
      <c r="E1602" s="1310">
        <v>1000000</v>
      </c>
    </row>
    <row r="1603" spans="1:5">
      <c r="A1603" s="1305"/>
      <c r="B1603" s="1307"/>
      <c r="C1603" s="201"/>
      <c r="E1603" s="1310"/>
    </row>
    <row r="1604" spans="1:5">
      <c r="A1604" s="1305" t="s">
        <v>1710</v>
      </c>
      <c r="B1604" s="1307" t="s">
        <v>2653</v>
      </c>
      <c r="C1604" s="201" t="s">
        <v>2652</v>
      </c>
      <c r="E1604" s="1310">
        <v>1000000</v>
      </c>
    </row>
    <row r="1605" spans="1:5">
      <c r="A1605" s="1305"/>
      <c r="B1605" s="1307"/>
      <c r="C1605" s="201"/>
      <c r="E1605" s="1310"/>
    </row>
    <row r="1606" spans="1:5">
      <c r="A1606" s="1305"/>
      <c r="B1606" s="1306" t="s">
        <v>3211</v>
      </c>
      <c r="C1606" s="201"/>
      <c r="E1606" s="1310"/>
    </row>
    <row r="1607" spans="1:5">
      <c r="A1607" s="1305"/>
      <c r="B1607" s="1307"/>
      <c r="C1607" s="201"/>
      <c r="E1607" s="1310"/>
    </row>
    <row r="1608" spans="1:5" ht="45">
      <c r="A1608" s="1305" t="s">
        <v>1712</v>
      </c>
      <c r="B1608" s="1307" t="s">
        <v>3212</v>
      </c>
      <c r="C1608" s="201" t="s">
        <v>608</v>
      </c>
      <c r="E1608" s="1310">
        <v>100000</v>
      </c>
    </row>
    <row r="1609" spans="1:5">
      <c r="A1609" s="1305"/>
      <c r="B1609" s="1307"/>
      <c r="C1609" s="201"/>
      <c r="E1609" s="1310"/>
    </row>
    <row r="1610" spans="1:5">
      <c r="A1610" s="1305" t="s">
        <v>1834</v>
      </c>
      <c r="B1610" s="1307" t="s">
        <v>2651</v>
      </c>
      <c r="C1610" s="201" t="s">
        <v>2652</v>
      </c>
      <c r="E1610" s="1310">
        <v>100000</v>
      </c>
    </row>
    <row r="1611" spans="1:5">
      <c r="A1611" s="1305"/>
      <c r="B1611" s="1307"/>
      <c r="C1611" s="201"/>
      <c r="E1611" s="1310"/>
    </row>
    <row r="1612" spans="1:5">
      <c r="A1612" s="1305" t="s">
        <v>1836</v>
      </c>
      <c r="B1612" s="1307" t="s">
        <v>2653</v>
      </c>
      <c r="C1612" s="201" t="s">
        <v>2652</v>
      </c>
      <c r="E1612" s="1310">
        <v>100000</v>
      </c>
    </row>
    <row r="1613" spans="1:5">
      <c r="A1613" s="1305"/>
      <c r="B1613" s="1307"/>
      <c r="C1613" s="201"/>
      <c r="E1613" s="1310"/>
    </row>
    <row r="1614" spans="1:5">
      <c r="A1614" s="1305"/>
      <c r="B1614" s="1306" t="s">
        <v>3213</v>
      </c>
      <c r="C1614" s="201"/>
      <c r="E1614" s="1310"/>
    </row>
    <row r="1615" spans="1:5">
      <c r="A1615" s="1305"/>
      <c r="B1615" s="1307"/>
      <c r="C1615" s="201"/>
      <c r="E1615" s="1310"/>
    </row>
    <row r="1616" spans="1:5" ht="45">
      <c r="A1616" s="1305" t="s">
        <v>1686</v>
      </c>
      <c r="B1616" s="1307" t="s">
        <v>3214</v>
      </c>
      <c r="C1616" s="201" t="s">
        <v>608</v>
      </c>
      <c r="E1616" s="1310">
        <v>700000</v>
      </c>
    </row>
    <row r="1617" spans="1:5">
      <c r="A1617" s="1305"/>
      <c r="B1617" s="1307"/>
      <c r="C1617" s="201"/>
      <c r="E1617" s="1310"/>
    </row>
    <row r="1618" spans="1:5">
      <c r="A1618" s="1305" t="s">
        <v>1688</v>
      </c>
      <c r="B1618" s="1307" t="s">
        <v>2651</v>
      </c>
      <c r="C1618" s="201" t="s">
        <v>2652</v>
      </c>
      <c r="E1618" s="1310">
        <v>700000</v>
      </c>
    </row>
    <row r="1619" spans="1:5">
      <c r="A1619" s="1305"/>
      <c r="B1619" s="1307"/>
      <c r="C1619" s="201"/>
      <c r="E1619" s="1310"/>
    </row>
    <row r="1620" spans="1:5">
      <c r="A1620" s="1305" t="s">
        <v>1691</v>
      </c>
      <c r="B1620" s="1307" t="s">
        <v>2653</v>
      </c>
      <c r="C1620" s="201" t="s">
        <v>2652</v>
      </c>
      <c r="E1620" s="1310">
        <v>700000</v>
      </c>
    </row>
    <row r="1621" spans="1:5">
      <c r="A1621" s="1305"/>
      <c r="B1621" s="1307"/>
      <c r="C1621" s="201"/>
      <c r="E1621" s="1310"/>
    </row>
    <row r="1622" spans="1:5" ht="26.25">
      <c r="A1622" s="1305"/>
      <c r="B1622" s="1306" t="s">
        <v>3215</v>
      </c>
      <c r="C1622" s="201"/>
      <c r="E1622" s="1310"/>
    </row>
    <row r="1623" spans="1:5">
      <c r="A1623" s="1305"/>
      <c r="B1623" s="1307"/>
      <c r="C1623" s="201"/>
      <c r="E1623" s="1310"/>
    </row>
    <row r="1624" spans="1:5" ht="60">
      <c r="A1624" s="1305" t="s">
        <v>1693</v>
      </c>
      <c r="B1624" s="1307" t="s">
        <v>3216</v>
      </c>
      <c r="C1624" s="201" t="s">
        <v>608</v>
      </c>
      <c r="E1624" s="1310">
        <v>32000000</v>
      </c>
    </row>
    <row r="1625" spans="1:5">
      <c r="A1625" s="1305"/>
      <c r="B1625" s="1307"/>
      <c r="C1625" s="201"/>
      <c r="E1625" s="1310"/>
    </row>
    <row r="1626" spans="1:5">
      <c r="A1626" s="1305" t="s">
        <v>1695</v>
      </c>
      <c r="B1626" s="1307" t="s">
        <v>2651</v>
      </c>
      <c r="C1626" s="201" t="s">
        <v>2652</v>
      </c>
      <c r="E1626" s="1310">
        <v>32000000</v>
      </c>
    </row>
    <row r="1627" spans="1:5">
      <c r="A1627" s="1305"/>
      <c r="B1627" s="1307"/>
      <c r="C1627" s="201"/>
      <c r="E1627" s="1310"/>
    </row>
    <row r="1628" spans="1:5">
      <c r="A1628" s="1305" t="s">
        <v>1697</v>
      </c>
      <c r="B1628" s="1307" t="s">
        <v>2653</v>
      </c>
      <c r="C1628" s="201" t="s">
        <v>2652</v>
      </c>
      <c r="E1628" s="1310">
        <v>32000000</v>
      </c>
    </row>
    <row r="1629" spans="1:5">
      <c r="A1629" s="1305"/>
      <c r="B1629" s="1307"/>
      <c r="C1629" s="201"/>
      <c r="E1629" s="1310"/>
    </row>
    <row r="1630" spans="1:5">
      <c r="A1630" s="1305"/>
      <c r="B1630" s="1306" t="s">
        <v>3217</v>
      </c>
      <c r="C1630" s="201"/>
      <c r="E1630" s="1310"/>
    </row>
    <row r="1631" spans="1:5">
      <c r="A1631" s="1305"/>
      <c r="B1631" s="1307"/>
      <c r="C1631" s="201"/>
      <c r="E1631" s="1310"/>
    </row>
    <row r="1632" spans="1:5" ht="60">
      <c r="A1632" s="1305" t="s">
        <v>1699</v>
      </c>
      <c r="B1632" s="1307" t="s">
        <v>3218</v>
      </c>
      <c r="C1632" s="201" t="s">
        <v>608</v>
      </c>
      <c r="E1632" s="1310">
        <v>117458072</v>
      </c>
    </row>
    <row r="1633" spans="1:5">
      <c r="A1633" s="1305"/>
      <c r="B1633" s="1307"/>
      <c r="C1633" s="201"/>
      <c r="E1633" s="1310"/>
    </row>
    <row r="1634" spans="1:5">
      <c r="A1634" s="1305" t="s">
        <v>1701</v>
      </c>
      <c r="B1634" s="1307" t="s">
        <v>2651</v>
      </c>
      <c r="C1634" s="201" t="s">
        <v>2652</v>
      </c>
      <c r="E1634" s="1310">
        <v>117458072</v>
      </c>
    </row>
    <row r="1635" spans="1:5">
      <c r="A1635" s="1305"/>
      <c r="B1635" s="1307"/>
      <c r="C1635" s="201"/>
      <c r="E1635" s="1310"/>
    </row>
    <row r="1636" spans="1:5">
      <c r="A1636" s="1305" t="s">
        <v>1703</v>
      </c>
      <c r="B1636" s="1307" t="s">
        <v>2653</v>
      </c>
      <c r="C1636" s="201" t="s">
        <v>2652</v>
      </c>
      <c r="E1636" s="1310">
        <v>117458072</v>
      </c>
    </row>
    <row r="1637" spans="1:5">
      <c r="A1637" s="1305"/>
      <c r="B1637" s="1307"/>
      <c r="C1637" s="201"/>
      <c r="E1637" s="1310"/>
    </row>
    <row r="1638" spans="1:5">
      <c r="A1638" s="1305"/>
      <c r="B1638" s="1306" t="s">
        <v>3219</v>
      </c>
      <c r="C1638" s="201"/>
      <c r="E1638" s="1310"/>
    </row>
    <row r="1639" spans="1:5">
      <c r="A1639" s="1305"/>
      <c r="B1639" s="1307"/>
      <c r="C1639" s="201"/>
      <c r="E1639" s="1310"/>
    </row>
    <row r="1640" spans="1:5" ht="60">
      <c r="A1640" s="1305" t="s">
        <v>1706</v>
      </c>
      <c r="B1640" s="1307" t="s">
        <v>3220</v>
      </c>
      <c r="C1640" s="201" t="s">
        <v>608</v>
      </c>
      <c r="E1640" s="1310">
        <v>51335664</v>
      </c>
    </row>
    <row r="1641" spans="1:5">
      <c r="A1641" s="1305"/>
      <c r="B1641" s="1307"/>
      <c r="C1641" s="201"/>
      <c r="E1641" s="1310"/>
    </row>
    <row r="1642" spans="1:5">
      <c r="A1642" s="1305" t="s">
        <v>1708</v>
      </c>
      <c r="B1642" s="1307" t="s">
        <v>2651</v>
      </c>
      <c r="C1642" s="201" t="s">
        <v>2652</v>
      </c>
      <c r="E1642" s="1310">
        <v>51335664</v>
      </c>
    </row>
    <row r="1643" spans="1:5">
      <c r="A1643" s="1305"/>
      <c r="B1643" s="1307"/>
      <c r="C1643" s="201"/>
      <c r="E1643" s="1310"/>
    </row>
    <row r="1644" spans="1:5">
      <c r="A1644" s="1305" t="s">
        <v>1710</v>
      </c>
      <c r="B1644" s="1307" t="s">
        <v>2653</v>
      </c>
      <c r="C1644" s="201" t="s">
        <v>2652</v>
      </c>
      <c r="E1644" s="1310">
        <v>51335664</v>
      </c>
    </row>
    <row r="1645" spans="1:5">
      <c r="A1645" s="1305"/>
      <c r="B1645" s="1307"/>
      <c r="C1645" s="201"/>
      <c r="E1645" s="1310"/>
    </row>
    <row r="1646" spans="1:5">
      <c r="A1646" s="1305"/>
      <c r="B1646" s="1306" t="s">
        <v>1664</v>
      </c>
      <c r="C1646" s="201"/>
      <c r="E1646" s="1310"/>
    </row>
    <row r="1647" spans="1:5">
      <c r="A1647" s="1305"/>
      <c r="B1647" s="1307"/>
      <c r="C1647" s="201"/>
      <c r="E1647" s="1310"/>
    </row>
    <row r="1648" spans="1:5" ht="60">
      <c r="A1648" s="1305" t="s">
        <v>1686</v>
      </c>
      <c r="B1648" s="1307" t="s">
        <v>3221</v>
      </c>
      <c r="C1648" s="201" t="s">
        <v>608</v>
      </c>
      <c r="E1648" s="1310">
        <v>10855578</v>
      </c>
    </row>
    <row r="1649" spans="1:5">
      <c r="A1649" s="1305"/>
      <c r="B1649" s="1307"/>
      <c r="C1649" s="201"/>
      <c r="E1649" s="1310"/>
    </row>
    <row r="1650" spans="1:5">
      <c r="A1650" s="1305" t="s">
        <v>1688</v>
      </c>
      <c r="B1650" s="1307" t="s">
        <v>2651</v>
      </c>
      <c r="C1650" s="201" t="s">
        <v>2652</v>
      </c>
      <c r="E1650" s="1310">
        <v>10855578</v>
      </c>
    </row>
    <row r="1651" spans="1:5">
      <c r="A1651" s="1305"/>
      <c r="B1651" s="1307"/>
      <c r="C1651" s="201"/>
      <c r="E1651" s="1310"/>
    </row>
    <row r="1652" spans="1:5">
      <c r="A1652" s="1305" t="s">
        <v>1691</v>
      </c>
      <c r="B1652" s="1307" t="s">
        <v>2653</v>
      </c>
      <c r="C1652" s="201" t="s">
        <v>2652</v>
      </c>
      <c r="E1652" s="1310">
        <v>10855578</v>
      </c>
    </row>
    <row r="1653" spans="1:5">
      <c r="A1653" s="1305"/>
      <c r="B1653" s="1307"/>
      <c r="C1653" s="201"/>
      <c r="E1653" s="1310"/>
    </row>
    <row r="1654" spans="1:5">
      <c r="A1654" s="1305"/>
      <c r="B1654" s="1306" t="s">
        <v>3222</v>
      </c>
      <c r="C1654" s="201"/>
      <c r="E1654" s="1310"/>
    </row>
    <row r="1655" spans="1:5">
      <c r="A1655" s="1305"/>
      <c r="B1655" s="1307"/>
      <c r="C1655" s="201"/>
      <c r="E1655" s="1310"/>
    </row>
    <row r="1656" spans="1:5" ht="60">
      <c r="A1656" s="1305" t="s">
        <v>1693</v>
      </c>
      <c r="B1656" s="1307" t="s">
        <v>3223</v>
      </c>
      <c r="C1656" s="201" t="s">
        <v>608</v>
      </c>
      <c r="E1656" s="1310">
        <v>16751717</v>
      </c>
    </row>
    <row r="1657" spans="1:5">
      <c r="A1657" s="1305"/>
      <c r="B1657" s="1307"/>
      <c r="C1657" s="201"/>
      <c r="E1657" s="1310"/>
    </row>
    <row r="1658" spans="1:5">
      <c r="A1658" s="1305" t="s">
        <v>1695</v>
      </c>
      <c r="B1658" s="1307" t="s">
        <v>2651</v>
      </c>
      <c r="C1658" s="201" t="s">
        <v>2652</v>
      </c>
      <c r="E1658" s="1310">
        <v>16751717</v>
      </c>
    </row>
    <row r="1659" spans="1:5">
      <c r="A1659" s="1305"/>
      <c r="B1659" s="1307"/>
      <c r="C1659" s="201"/>
      <c r="E1659" s="1310"/>
    </row>
    <row r="1660" spans="1:5">
      <c r="A1660" s="1305" t="s">
        <v>1697</v>
      </c>
      <c r="B1660" s="1307" t="s">
        <v>2653</v>
      </c>
      <c r="C1660" s="201" t="s">
        <v>2652</v>
      </c>
      <c r="E1660" s="1310">
        <v>16751717</v>
      </c>
    </row>
    <row r="1661" spans="1:5">
      <c r="A1661" s="1305"/>
      <c r="B1661" s="1307"/>
      <c r="C1661" s="201"/>
      <c r="E1661" s="1310"/>
    </row>
    <row r="1662" spans="1:5">
      <c r="A1662" s="1305"/>
      <c r="B1662" s="1306" t="s">
        <v>3224</v>
      </c>
      <c r="C1662" s="201"/>
      <c r="E1662" s="1310"/>
    </row>
    <row r="1663" spans="1:5">
      <c r="A1663" s="1305"/>
      <c r="B1663" s="1307"/>
      <c r="C1663" s="201"/>
      <c r="E1663" s="1310"/>
    </row>
    <row r="1664" spans="1:5" ht="45">
      <c r="A1664" s="1305" t="s">
        <v>1699</v>
      </c>
      <c r="B1664" s="1307" t="s">
        <v>3225</v>
      </c>
      <c r="C1664" s="201" t="s">
        <v>608</v>
      </c>
      <c r="E1664" s="1310">
        <v>14086600</v>
      </c>
    </row>
    <row r="1665" spans="1:5">
      <c r="A1665" s="1305"/>
      <c r="B1665" s="1307"/>
      <c r="C1665" s="201"/>
      <c r="E1665" s="1310"/>
    </row>
    <row r="1666" spans="1:5">
      <c r="A1666" s="1305" t="s">
        <v>1701</v>
      </c>
      <c r="B1666" s="1307" t="s">
        <v>2651</v>
      </c>
      <c r="C1666" s="201" t="s">
        <v>2652</v>
      </c>
      <c r="E1666" s="1310">
        <v>14086600</v>
      </c>
    </row>
    <row r="1667" spans="1:5">
      <c r="A1667" s="1305"/>
      <c r="B1667" s="1307"/>
      <c r="C1667" s="201"/>
      <c r="E1667" s="1310"/>
    </row>
    <row r="1668" spans="1:5">
      <c r="A1668" s="1305" t="s">
        <v>1703</v>
      </c>
      <c r="B1668" s="1307" t="s">
        <v>2653</v>
      </c>
      <c r="C1668" s="201" t="s">
        <v>2652</v>
      </c>
      <c r="E1668" s="1310">
        <v>14086600</v>
      </c>
    </row>
    <row r="1669" spans="1:5">
      <c r="A1669" s="1305"/>
      <c r="B1669" s="1307"/>
      <c r="C1669" s="201"/>
      <c r="E1669" s="1310"/>
    </row>
    <row r="1670" spans="1:5">
      <c r="A1670" s="1305"/>
      <c r="B1670" s="1306" t="s">
        <v>1483</v>
      </c>
      <c r="C1670" s="201"/>
      <c r="E1670" s="1310"/>
    </row>
    <row r="1671" spans="1:5">
      <c r="A1671" s="1305"/>
      <c r="B1671" s="1307"/>
      <c r="C1671" s="201"/>
      <c r="E1671" s="1310"/>
    </row>
    <row r="1672" spans="1:5" ht="45">
      <c r="A1672" s="1305" t="s">
        <v>1706</v>
      </c>
      <c r="B1672" s="1307" t="s">
        <v>3226</v>
      </c>
      <c r="C1672" s="201" t="s">
        <v>608</v>
      </c>
      <c r="E1672" s="1310">
        <v>555000</v>
      </c>
    </row>
    <row r="1673" spans="1:5">
      <c r="A1673" s="1305"/>
      <c r="B1673" s="1307"/>
      <c r="C1673" s="201"/>
      <c r="E1673" s="1310"/>
    </row>
    <row r="1674" spans="1:5">
      <c r="A1674" s="1305" t="s">
        <v>1708</v>
      </c>
      <c r="B1674" s="1307" t="s">
        <v>2651</v>
      </c>
      <c r="C1674" s="201" t="s">
        <v>2652</v>
      </c>
      <c r="E1674" s="1310">
        <v>555000</v>
      </c>
    </row>
    <row r="1675" spans="1:5">
      <c r="A1675" s="1305"/>
      <c r="B1675" s="1307"/>
      <c r="C1675" s="201"/>
      <c r="E1675" s="1310"/>
    </row>
    <row r="1676" spans="1:5">
      <c r="A1676" s="1305" t="s">
        <v>1710</v>
      </c>
      <c r="B1676" s="1307" t="s">
        <v>2653</v>
      </c>
      <c r="C1676" s="201" t="s">
        <v>2652</v>
      </c>
      <c r="E1676" s="1310">
        <v>555000</v>
      </c>
    </row>
    <row r="1677" spans="1:5">
      <c r="A1677" s="1305"/>
      <c r="B1677" s="1307"/>
      <c r="C1677" s="201"/>
      <c r="E1677" s="1310"/>
    </row>
    <row r="1678" spans="1:5">
      <c r="A1678" s="1305"/>
      <c r="B1678" s="1306" t="s">
        <v>3227</v>
      </c>
      <c r="C1678" s="201"/>
      <c r="E1678" s="1310"/>
    </row>
    <row r="1679" spans="1:5">
      <c r="A1679" s="1305"/>
      <c r="B1679" s="1307"/>
      <c r="C1679" s="201"/>
      <c r="E1679" s="1310"/>
    </row>
    <row r="1680" spans="1:5" ht="45">
      <c r="A1680" s="1305" t="s">
        <v>1686</v>
      </c>
      <c r="B1680" s="1307" t="s">
        <v>3228</v>
      </c>
      <c r="C1680" s="201" t="s">
        <v>608</v>
      </c>
      <c r="E1680" s="1310">
        <v>2400000</v>
      </c>
    </row>
    <row r="1681" spans="1:5">
      <c r="A1681" s="1305"/>
      <c r="B1681" s="1307"/>
      <c r="C1681" s="201"/>
      <c r="E1681" s="1310"/>
    </row>
    <row r="1682" spans="1:5">
      <c r="A1682" s="1305" t="s">
        <v>1688</v>
      </c>
      <c r="B1682" s="1307" t="s">
        <v>2651</v>
      </c>
      <c r="C1682" s="201" t="s">
        <v>2652</v>
      </c>
      <c r="E1682" s="1310">
        <v>2400000</v>
      </c>
    </row>
    <row r="1683" spans="1:5">
      <c r="A1683" s="1305"/>
      <c r="B1683" s="1307"/>
      <c r="C1683" s="201"/>
      <c r="E1683" s="1310"/>
    </row>
    <row r="1684" spans="1:5">
      <c r="A1684" s="1305" t="s">
        <v>1691</v>
      </c>
      <c r="B1684" s="1307" t="s">
        <v>2653</v>
      </c>
      <c r="C1684" s="201" t="s">
        <v>2652</v>
      </c>
      <c r="E1684" s="1310">
        <v>2400000</v>
      </c>
    </row>
    <row r="1685" spans="1:5">
      <c r="A1685" s="1305"/>
      <c r="B1685" s="1307"/>
      <c r="C1685" s="201"/>
      <c r="E1685" s="1310"/>
    </row>
    <row r="1686" spans="1:5">
      <c r="A1686" s="1305"/>
      <c r="B1686" s="1306" t="s">
        <v>3229</v>
      </c>
      <c r="C1686" s="201"/>
      <c r="E1686" s="1310"/>
    </row>
    <row r="1687" spans="1:5">
      <c r="A1687" s="1305"/>
      <c r="B1687" s="1307"/>
      <c r="C1687" s="201"/>
      <c r="E1687" s="1310"/>
    </row>
    <row r="1688" spans="1:5" ht="45">
      <c r="A1688" s="1305" t="s">
        <v>1693</v>
      </c>
      <c r="B1688" s="1307" t="s">
        <v>3230</v>
      </c>
      <c r="C1688" s="201" t="s">
        <v>608</v>
      </c>
      <c r="E1688" s="1310">
        <v>150000</v>
      </c>
    </row>
    <row r="1689" spans="1:5">
      <c r="A1689" s="1305"/>
      <c r="B1689" s="1307"/>
      <c r="C1689" s="201"/>
      <c r="E1689" s="1310"/>
    </row>
    <row r="1690" spans="1:5">
      <c r="A1690" s="1305" t="s">
        <v>1695</v>
      </c>
      <c r="B1690" s="1307" t="s">
        <v>2651</v>
      </c>
      <c r="C1690" s="201" t="s">
        <v>2652</v>
      </c>
      <c r="E1690" s="1310">
        <v>150000</v>
      </c>
    </row>
    <row r="1691" spans="1:5">
      <c r="A1691" s="1305"/>
      <c r="B1691" s="1307"/>
      <c r="C1691" s="201"/>
      <c r="E1691" s="1310"/>
    </row>
    <row r="1692" spans="1:5">
      <c r="A1692" s="1305" t="s">
        <v>1697</v>
      </c>
      <c r="B1692" s="1307" t="s">
        <v>2653</v>
      </c>
      <c r="C1692" s="201" t="s">
        <v>2652</v>
      </c>
      <c r="E1692" s="1310">
        <v>150000</v>
      </c>
    </row>
    <row r="1693" spans="1:5">
      <c r="A1693" s="1305"/>
      <c r="B1693" s="1307"/>
      <c r="C1693" s="201"/>
      <c r="E1693" s="1310"/>
    </row>
    <row r="1694" spans="1:5">
      <c r="A1694" s="1305"/>
      <c r="B1694" s="1306" t="s">
        <v>3231</v>
      </c>
      <c r="C1694" s="201"/>
      <c r="E1694" s="1310"/>
    </row>
    <row r="1695" spans="1:5">
      <c r="A1695" s="1305"/>
      <c r="B1695" s="1307"/>
      <c r="C1695" s="201"/>
      <c r="E1695" s="1310"/>
    </row>
    <row r="1696" spans="1:5" ht="45">
      <c r="A1696" s="1305" t="s">
        <v>1699</v>
      </c>
      <c r="B1696" s="1307" t="s">
        <v>3232</v>
      </c>
      <c r="C1696" s="201" t="s">
        <v>608</v>
      </c>
      <c r="E1696" s="1310">
        <v>2200000</v>
      </c>
    </row>
    <row r="1697" spans="1:5">
      <c r="A1697" s="1305"/>
      <c r="B1697" s="1307"/>
      <c r="C1697" s="201"/>
      <c r="E1697" s="1310"/>
    </row>
    <row r="1698" spans="1:5">
      <c r="A1698" s="1305" t="s">
        <v>1701</v>
      </c>
      <c r="B1698" s="1307" t="s">
        <v>2651</v>
      </c>
      <c r="C1698" s="201" t="s">
        <v>2652</v>
      </c>
      <c r="E1698" s="1310">
        <v>2200000</v>
      </c>
    </row>
    <row r="1699" spans="1:5">
      <c r="A1699" s="1305"/>
      <c r="B1699" s="1307"/>
      <c r="C1699" s="201"/>
      <c r="E1699" s="1310"/>
    </row>
    <row r="1700" spans="1:5">
      <c r="A1700" s="1305" t="s">
        <v>1703</v>
      </c>
      <c r="B1700" s="1307" t="s">
        <v>2653</v>
      </c>
      <c r="C1700" s="201" t="s">
        <v>2652</v>
      </c>
      <c r="E1700" s="1310">
        <v>2200000</v>
      </c>
    </row>
    <row r="1701" spans="1:5">
      <c r="A1701" s="1305"/>
      <c r="B1701" s="1307"/>
      <c r="C1701" s="201"/>
      <c r="E1701" s="1310"/>
    </row>
    <row r="1702" spans="1:5">
      <c r="A1702" s="1305"/>
      <c r="B1702" s="1306" t="s">
        <v>3233</v>
      </c>
      <c r="C1702" s="201"/>
      <c r="E1702" s="1310"/>
    </row>
    <row r="1703" spans="1:5">
      <c r="A1703" s="1305"/>
      <c r="B1703" s="1307"/>
      <c r="C1703" s="201"/>
      <c r="E1703" s="1310"/>
    </row>
    <row r="1704" spans="1:5" ht="45">
      <c r="A1704" s="1305" t="s">
        <v>1706</v>
      </c>
      <c r="B1704" s="1307" t="s">
        <v>3234</v>
      </c>
      <c r="C1704" s="201" t="s">
        <v>608</v>
      </c>
      <c r="E1704" s="1310">
        <v>100000</v>
      </c>
    </row>
    <row r="1705" spans="1:5">
      <c r="A1705" s="1305"/>
      <c r="B1705" s="1307"/>
      <c r="C1705" s="201"/>
      <c r="E1705" s="1310"/>
    </row>
    <row r="1706" spans="1:5">
      <c r="A1706" s="1305" t="s">
        <v>1708</v>
      </c>
      <c r="B1706" s="1307" t="s">
        <v>2651</v>
      </c>
      <c r="C1706" s="201" t="s">
        <v>2652</v>
      </c>
      <c r="E1706" s="1310">
        <v>100000</v>
      </c>
    </row>
    <row r="1707" spans="1:5">
      <c r="A1707" s="1305"/>
      <c r="B1707" s="1307"/>
      <c r="C1707" s="201"/>
      <c r="E1707" s="1310"/>
    </row>
    <row r="1708" spans="1:5">
      <c r="A1708" s="1305" t="s">
        <v>1710</v>
      </c>
      <c r="B1708" s="1307" t="s">
        <v>2653</v>
      </c>
      <c r="C1708" s="201" t="s">
        <v>2652</v>
      </c>
      <c r="E1708" s="1310">
        <v>100000</v>
      </c>
    </row>
    <row r="1709" spans="1:5">
      <c r="A1709" s="1305"/>
      <c r="B1709" s="1307"/>
      <c r="C1709" s="201"/>
      <c r="E1709" s="1310"/>
    </row>
    <row r="1710" spans="1:5">
      <c r="A1710" s="1305"/>
      <c r="B1710" s="1306" t="s">
        <v>3235</v>
      </c>
      <c r="C1710" s="201"/>
      <c r="E1710" s="1310"/>
    </row>
    <row r="1711" spans="1:5">
      <c r="A1711" s="1305"/>
      <c r="B1711" s="1307"/>
      <c r="C1711" s="201"/>
      <c r="E1711" s="1310"/>
    </row>
    <row r="1712" spans="1:5" ht="45">
      <c r="A1712" s="1305" t="s">
        <v>1712</v>
      </c>
      <c r="B1712" s="1307" t="s">
        <v>3236</v>
      </c>
      <c r="C1712" s="201" t="s">
        <v>608</v>
      </c>
      <c r="E1712" s="1310">
        <v>400000</v>
      </c>
    </row>
    <row r="1713" spans="1:5">
      <c r="A1713" s="1305"/>
      <c r="B1713" s="1307"/>
      <c r="C1713" s="201"/>
      <c r="E1713" s="1310"/>
    </row>
    <row r="1714" spans="1:5">
      <c r="A1714" s="1305" t="s">
        <v>1834</v>
      </c>
      <c r="B1714" s="1307" t="s">
        <v>2651</v>
      </c>
      <c r="C1714" s="201" t="s">
        <v>2652</v>
      </c>
      <c r="E1714" s="1310">
        <v>400000</v>
      </c>
    </row>
    <row r="1715" spans="1:5">
      <c r="A1715" s="1305"/>
      <c r="B1715" s="1307"/>
      <c r="C1715" s="201"/>
      <c r="E1715" s="1310"/>
    </row>
    <row r="1716" spans="1:5">
      <c r="A1716" s="1305" t="s">
        <v>1836</v>
      </c>
      <c r="B1716" s="1307" t="s">
        <v>2653</v>
      </c>
      <c r="C1716" s="201" t="s">
        <v>2652</v>
      </c>
      <c r="E1716" s="1310">
        <v>400000</v>
      </c>
    </row>
    <row r="1717" spans="1:5">
      <c r="A1717" s="1305"/>
      <c r="B1717" s="1307"/>
      <c r="C1717" s="201"/>
      <c r="E1717" s="1310"/>
    </row>
    <row r="1718" spans="1:5">
      <c r="A1718" s="1305"/>
      <c r="B1718" s="1306" t="s">
        <v>3237</v>
      </c>
      <c r="C1718" s="201"/>
      <c r="E1718" s="1310"/>
    </row>
    <row r="1719" spans="1:5">
      <c r="A1719" s="1305"/>
      <c r="B1719" s="1307"/>
      <c r="C1719" s="201"/>
      <c r="E1719" s="1310"/>
    </row>
    <row r="1720" spans="1:5" ht="45">
      <c r="A1720" s="1305" t="s">
        <v>1686</v>
      </c>
      <c r="B1720" s="1307" t="s">
        <v>3238</v>
      </c>
      <c r="C1720" s="201" t="s">
        <v>608</v>
      </c>
      <c r="E1720" s="1310">
        <v>2000000</v>
      </c>
    </row>
    <row r="1721" spans="1:5">
      <c r="A1721" s="1305"/>
      <c r="B1721" s="1307"/>
      <c r="C1721" s="201"/>
      <c r="E1721" s="1310"/>
    </row>
    <row r="1722" spans="1:5">
      <c r="A1722" s="1305" t="s">
        <v>1688</v>
      </c>
      <c r="B1722" s="1307" t="s">
        <v>2651</v>
      </c>
      <c r="C1722" s="201" t="s">
        <v>2652</v>
      </c>
      <c r="E1722" s="1310">
        <v>2000000</v>
      </c>
    </row>
    <row r="1723" spans="1:5">
      <c r="A1723" s="1305"/>
      <c r="B1723" s="1307"/>
      <c r="C1723" s="201"/>
      <c r="E1723" s="1310"/>
    </row>
    <row r="1724" spans="1:5">
      <c r="A1724" s="1305" t="s">
        <v>1691</v>
      </c>
      <c r="B1724" s="1307" t="s">
        <v>2653</v>
      </c>
      <c r="C1724" s="201" t="s">
        <v>2652</v>
      </c>
      <c r="E1724" s="1310">
        <v>2000000</v>
      </c>
    </row>
    <row r="1725" spans="1:5">
      <c r="A1725" s="1305"/>
      <c r="B1725" s="1307"/>
      <c r="C1725" s="201"/>
      <c r="E1725" s="1310"/>
    </row>
    <row r="1726" spans="1:5">
      <c r="A1726" s="1305"/>
      <c r="B1726" s="1306" t="s">
        <v>3239</v>
      </c>
      <c r="C1726" s="201"/>
      <c r="E1726" s="1310"/>
    </row>
    <row r="1727" spans="1:5">
      <c r="A1727" s="1305"/>
      <c r="B1727" s="1307"/>
      <c r="C1727" s="201"/>
      <c r="E1727" s="1310"/>
    </row>
    <row r="1728" spans="1:5" ht="45">
      <c r="A1728" s="1305" t="s">
        <v>1693</v>
      </c>
      <c r="B1728" s="1307" t="s">
        <v>3240</v>
      </c>
      <c r="C1728" s="201" t="s">
        <v>608</v>
      </c>
      <c r="E1728" s="1310">
        <v>1150000</v>
      </c>
    </row>
    <row r="1729" spans="1:5">
      <c r="A1729" s="1305"/>
      <c r="B1729" s="1307"/>
      <c r="C1729" s="201"/>
      <c r="E1729" s="1310"/>
    </row>
    <row r="1730" spans="1:5">
      <c r="A1730" s="1305" t="s">
        <v>1695</v>
      </c>
      <c r="B1730" s="1307" t="s">
        <v>2651</v>
      </c>
      <c r="C1730" s="201" t="s">
        <v>2652</v>
      </c>
      <c r="E1730" s="1310">
        <v>1150000</v>
      </c>
    </row>
    <row r="1731" spans="1:5">
      <c r="A1731" s="1305"/>
      <c r="B1731" s="1307"/>
      <c r="C1731" s="201"/>
      <c r="E1731" s="1310"/>
    </row>
    <row r="1732" spans="1:5">
      <c r="A1732" s="1305" t="s">
        <v>1697</v>
      </c>
      <c r="B1732" s="1307" t="s">
        <v>2653</v>
      </c>
      <c r="C1732" s="201" t="s">
        <v>2652</v>
      </c>
      <c r="E1732" s="1310">
        <v>1150000</v>
      </c>
    </row>
    <row r="1733" spans="1:5">
      <c r="A1733" s="1305"/>
      <c r="B1733" s="1307"/>
      <c r="C1733" s="201"/>
      <c r="E1733" s="1310"/>
    </row>
    <row r="1734" spans="1:5">
      <c r="A1734" s="1305"/>
      <c r="B1734" s="1306" t="s">
        <v>3241</v>
      </c>
      <c r="C1734" s="201"/>
      <c r="E1734" s="1310"/>
    </row>
    <row r="1735" spans="1:5">
      <c r="A1735" s="1305"/>
      <c r="B1735" s="1307"/>
      <c r="C1735" s="201"/>
      <c r="E1735" s="1310"/>
    </row>
    <row r="1736" spans="1:5" ht="45">
      <c r="A1736" s="1305" t="s">
        <v>1699</v>
      </c>
      <c r="B1736" s="1307" t="s">
        <v>3242</v>
      </c>
      <c r="C1736" s="201" t="s">
        <v>608</v>
      </c>
      <c r="E1736" s="1310">
        <v>600000</v>
      </c>
    </row>
    <row r="1737" spans="1:5">
      <c r="A1737" s="1305"/>
      <c r="B1737" s="1307"/>
      <c r="C1737" s="201"/>
      <c r="E1737" s="1310"/>
    </row>
    <row r="1738" spans="1:5">
      <c r="A1738" s="1305" t="s">
        <v>1701</v>
      </c>
      <c r="B1738" s="1307" t="s">
        <v>2651</v>
      </c>
      <c r="C1738" s="201" t="s">
        <v>2652</v>
      </c>
      <c r="E1738" s="1310">
        <v>600000</v>
      </c>
    </row>
    <row r="1739" spans="1:5">
      <c r="A1739" s="1305"/>
      <c r="B1739" s="1307"/>
      <c r="C1739" s="201"/>
      <c r="E1739" s="1310"/>
    </row>
    <row r="1740" spans="1:5">
      <c r="A1740" s="1305" t="s">
        <v>1703</v>
      </c>
      <c r="B1740" s="1307" t="s">
        <v>2653</v>
      </c>
      <c r="C1740" s="201" t="s">
        <v>2652</v>
      </c>
      <c r="E1740" s="1310">
        <v>600000</v>
      </c>
    </row>
    <row r="1741" spans="1:5">
      <c r="A1741" s="1305"/>
      <c r="B1741" s="1307"/>
      <c r="C1741" s="201"/>
      <c r="E1741" s="1310"/>
    </row>
    <row r="1742" spans="1:5">
      <c r="A1742" s="1305"/>
      <c r="B1742" s="1306" t="s">
        <v>3243</v>
      </c>
      <c r="C1742" s="201"/>
      <c r="E1742" s="1310"/>
    </row>
    <row r="1743" spans="1:5">
      <c r="A1743" s="1305"/>
      <c r="B1743" s="1307"/>
      <c r="C1743" s="201"/>
      <c r="E1743" s="1310"/>
    </row>
    <row r="1744" spans="1:5" ht="45">
      <c r="A1744" s="1305" t="s">
        <v>1706</v>
      </c>
      <c r="B1744" s="1307" t="s">
        <v>3244</v>
      </c>
      <c r="C1744" s="201" t="s">
        <v>608</v>
      </c>
      <c r="E1744" s="1310">
        <v>25000</v>
      </c>
    </row>
    <row r="1745" spans="1:5">
      <c r="A1745" s="1305"/>
      <c r="B1745" s="1307"/>
      <c r="C1745" s="201"/>
      <c r="E1745" s="1310"/>
    </row>
    <row r="1746" spans="1:5">
      <c r="A1746" s="1305" t="s">
        <v>1708</v>
      </c>
      <c r="B1746" s="1307" t="s">
        <v>2651</v>
      </c>
      <c r="C1746" s="201" t="s">
        <v>2652</v>
      </c>
      <c r="E1746" s="1310">
        <v>25000</v>
      </c>
    </row>
    <row r="1747" spans="1:5">
      <c r="A1747" s="1305"/>
      <c r="B1747" s="1307"/>
      <c r="C1747" s="201"/>
      <c r="E1747" s="1310"/>
    </row>
    <row r="1748" spans="1:5">
      <c r="A1748" s="1305" t="s">
        <v>1710</v>
      </c>
      <c r="B1748" s="1307" t="s">
        <v>2653</v>
      </c>
      <c r="C1748" s="201" t="s">
        <v>2652</v>
      </c>
      <c r="E1748" s="1310">
        <v>25000</v>
      </c>
    </row>
    <row r="1749" spans="1:5">
      <c r="A1749" s="1305"/>
      <c r="B1749" s="1307"/>
      <c r="C1749" s="201"/>
      <c r="E1749" s="1310"/>
    </row>
    <row r="1750" spans="1:5">
      <c r="A1750" s="1305"/>
      <c r="B1750" s="1306" t="s">
        <v>3245</v>
      </c>
      <c r="C1750" s="201"/>
      <c r="E1750" s="1310"/>
    </row>
    <row r="1751" spans="1:5">
      <c r="A1751" s="1305"/>
      <c r="B1751" s="1307"/>
      <c r="C1751" s="201"/>
      <c r="E1751" s="1310"/>
    </row>
    <row r="1752" spans="1:5" ht="45">
      <c r="A1752" s="1305" t="s">
        <v>1712</v>
      </c>
      <c r="B1752" s="1307" t="s">
        <v>3246</v>
      </c>
      <c r="C1752" s="201" t="s">
        <v>608</v>
      </c>
      <c r="E1752" s="1310">
        <v>85000</v>
      </c>
    </row>
    <row r="1753" spans="1:5">
      <c r="A1753" s="1305"/>
      <c r="B1753" s="1307"/>
      <c r="C1753" s="201"/>
      <c r="E1753" s="1310"/>
    </row>
    <row r="1754" spans="1:5">
      <c r="A1754" s="1305" t="s">
        <v>1834</v>
      </c>
      <c r="B1754" s="1307" t="s">
        <v>2651</v>
      </c>
      <c r="C1754" s="201" t="s">
        <v>2652</v>
      </c>
      <c r="E1754" s="1310">
        <v>85000</v>
      </c>
    </row>
    <row r="1755" spans="1:5">
      <c r="A1755" s="1305"/>
      <c r="B1755" s="1307"/>
      <c r="C1755" s="201"/>
      <c r="E1755" s="1310"/>
    </row>
    <row r="1756" spans="1:5">
      <c r="A1756" s="1305" t="s">
        <v>1836</v>
      </c>
      <c r="B1756" s="1307" t="s">
        <v>2653</v>
      </c>
      <c r="C1756" s="201" t="s">
        <v>2652</v>
      </c>
      <c r="E1756" s="1310">
        <v>85000</v>
      </c>
    </row>
    <row r="1757" spans="1:5">
      <c r="A1757" s="1305"/>
      <c r="B1757" s="1307"/>
      <c r="C1757" s="201"/>
      <c r="E1757" s="1310"/>
    </row>
    <row r="1758" spans="1:5">
      <c r="A1758" s="1305"/>
      <c r="B1758" s="1306" t="s">
        <v>3247</v>
      </c>
      <c r="C1758" s="201"/>
      <c r="E1758" s="1310"/>
    </row>
    <row r="1759" spans="1:5">
      <c r="A1759" s="1305"/>
      <c r="B1759" s="1307"/>
      <c r="C1759" s="201"/>
      <c r="E1759" s="1310"/>
    </row>
    <row r="1760" spans="1:5" ht="45">
      <c r="A1760" s="1305" t="s">
        <v>1686</v>
      </c>
      <c r="B1760" s="1307" t="s">
        <v>3248</v>
      </c>
      <c r="C1760" s="201" t="s">
        <v>608</v>
      </c>
      <c r="E1760" s="1310">
        <v>1200000</v>
      </c>
    </row>
    <row r="1761" spans="1:5">
      <c r="A1761" s="1305"/>
      <c r="B1761" s="1307"/>
      <c r="C1761" s="201"/>
      <c r="E1761" s="1310"/>
    </row>
    <row r="1762" spans="1:5">
      <c r="A1762" s="1305" t="s">
        <v>1688</v>
      </c>
      <c r="B1762" s="1307" t="s">
        <v>2651</v>
      </c>
      <c r="C1762" s="201" t="s">
        <v>2652</v>
      </c>
      <c r="E1762" s="1310">
        <v>1200000</v>
      </c>
    </row>
    <row r="1763" spans="1:5">
      <c r="A1763" s="1305"/>
      <c r="B1763" s="1307"/>
      <c r="C1763" s="201"/>
      <c r="E1763" s="1310"/>
    </row>
    <row r="1764" spans="1:5">
      <c r="A1764" s="1305" t="s">
        <v>1691</v>
      </c>
      <c r="B1764" s="1307" t="s">
        <v>2653</v>
      </c>
      <c r="C1764" s="201" t="s">
        <v>2652</v>
      </c>
      <c r="E1764" s="1310">
        <v>1200000</v>
      </c>
    </row>
    <row r="1765" spans="1:5">
      <c r="A1765" s="1305"/>
      <c r="B1765" s="1307"/>
      <c r="C1765" s="201"/>
      <c r="E1765" s="1310"/>
    </row>
    <row r="1766" spans="1:5">
      <c r="A1766" s="1305"/>
      <c r="B1766" s="1306" t="s">
        <v>3249</v>
      </c>
      <c r="C1766" s="201"/>
      <c r="E1766" s="1310"/>
    </row>
    <row r="1767" spans="1:5">
      <c r="A1767" s="1305"/>
      <c r="B1767" s="1307"/>
      <c r="C1767" s="201"/>
      <c r="E1767" s="1310"/>
    </row>
    <row r="1768" spans="1:5" ht="45">
      <c r="A1768" s="1305" t="s">
        <v>1693</v>
      </c>
      <c r="B1768" s="1307" t="s">
        <v>3250</v>
      </c>
      <c r="C1768" s="201" t="s">
        <v>608</v>
      </c>
      <c r="E1768" s="1310">
        <v>7450000</v>
      </c>
    </row>
    <row r="1769" spans="1:5">
      <c r="A1769" s="1305"/>
      <c r="B1769" s="1307"/>
      <c r="C1769" s="201"/>
      <c r="E1769" s="1310"/>
    </row>
    <row r="1770" spans="1:5">
      <c r="A1770" s="1305" t="s">
        <v>1695</v>
      </c>
      <c r="B1770" s="1307" t="s">
        <v>2651</v>
      </c>
      <c r="C1770" s="201" t="s">
        <v>2652</v>
      </c>
      <c r="E1770" s="1310">
        <v>7450000</v>
      </c>
    </row>
    <row r="1771" spans="1:5">
      <c r="A1771" s="1305"/>
      <c r="B1771" s="1307"/>
      <c r="C1771" s="201"/>
      <c r="E1771" s="1310"/>
    </row>
    <row r="1772" spans="1:5">
      <c r="A1772" s="1305" t="s">
        <v>1697</v>
      </c>
      <c r="B1772" s="1307" t="s">
        <v>2653</v>
      </c>
      <c r="C1772" s="201" t="s">
        <v>2652</v>
      </c>
      <c r="E1772" s="1310">
        <v>7450000</v>
      </c>
    </row>
    <row r="1773" spans="1:5">
      <c r="A1773" s="1305"/>
      <c r="B1773" s="1307"/>
      <c r="C1773" s="201"/>
      <c r="E1773" s="1310"/>
    </row>
    <row r="1774" spans="1:5">
      <c r="A1774" s="1305"/>
      <c r="B1774" s="1306" t="s">
        <v>3251</v>
      </c>
      <c r="C1774" s="201"/>
      <c r="E1774" s="1310"/>
    </row>
    <row r="1775" spans="1:5">
      <c r="A1775" s="1305"/>
      <c r="B1775" s="1307"/>
      <c r="C1775" s="201"/>
      <c r="E1775" s="1310"/>
    </row>
    <row r="1776" spans="1:5" ht="45">
      <c r="A1776" s="1305" t="s">
        <v>1699</v>
      </c>
      <c r="B1776" s="1307" t="s">
        <v>3252</v>
      </c>
      <c r="C1776" s="201" t="s">
        <v>608</v>
      </c>
      <c r="E1776" s="1310">
        <v>6900000</v>
      </c>
    </row>
    <row r="1777" spans="1:5">
      <c r="A1777" s="1305"/>
      <c r="B1777" s="1307"/>
      <c r="C1777" s="201"/>
      <c r="E1777" s="1310"/>
    </row>
    <row r="1778" spans="1:5">
      <c r="A1778" s="1305" t="s">
        <v>1701</v>
      </c>
      <c r="B1778" s="1307" t="s">
        <v>2651</v>
      </c>
      <c r="C1778" s="201" t="s">
        <v>2652</v>
      </c>
      <c r="E1778" s="1310">
        <v>6900000</v>
      </c>
    </row>
    <row r="1779" spans="1:5">
      <c r="A1779" s="1305"/>
      <c r="B1779" s="1307"/>
      <c r="C1779" s="201"/>
      <c r="E1779" s="1310"/>
    </row>
    <row r="1780" spans="1:5">
      <c r="A1780" s="1305" t="s">
        <v>1703</v>
      </c>
      <c r="B1780" s="1307" t="s">
        <v>2653</v>
      </c>
      <c r="C1780" s="201" t="s">
        <v>2652</v>
      </c>
      <c r="E1780" s="1310">
        <v>6900000</v>
      </c>
    </row>
    <row r="1781" spans="1:5">
      <c r="A1781" s="1305"/>
      <c r="B1781" s="1307"/>
      <c r="C1781" s="201"/>
      <c r="E1781" s="1310"/>
    </row>
    <row r="1782" spans="1:5">
      <c r="A1782" s="1305"/>
      <c r="B1782" s="1306" t="s">
        <v>3253</v>
      </c>
      <c r="C1782" s="201"/>
      <c r="E1782" s="1310"/>
    </row>
    <row r="1783" spans="1:5">
      <c r="A1783" s="1305"/>
      <c r="B1783" s="1307"/>
      <c r="C1783" s="201"/>
      <c r="E1783" s="1310"/>
    </row>
    <row r="1784" spans="1:5" ht="45">
      <c r="A1784" s="1305" t="s">
        <v>1706</v>
      </c>
      <c r="B1784" s="1307" t="s">
        <v>3254</v>
      </c>
      <c r="C1784" s="201" t="s">
        <v>608</v>
      </c>
      <c r="E1784" s="1310">
        <v>1750000</v>
      </c>
    </row>
    <row r="1785" spans="1:5">
      <c r="A1785" s="1305"/>
      <c r="B1785" s="1307"/>
      <c r="C1785" s="201"/>
      <c r="E1785" s="1310"/>
    </row>
    <row r="1786" spans="1:5">
      <c r="A1786" s="1305" t="s">
        <v>1708</v>
      </c>
      <c r="B1786" s="1307" t="s">
        <v>2651</v>
      </c>
      <c r="C1786" s="201" t="s">
        <v>2652</v>
      </c>
      <c r="E1786" s="1310">
        <v>1750000</v>
      </c>
    </row>
    <row r="1787" spans="1:5">
      <c r="A1787" s="1305"/>
      <c r="B1787" s="1307"/>
      <c r="C1787" s="201"/>
      <c r="E1787" s="1310"/>
    </row>
    <row r="1788" spans="1:5">
      <c r="A1788" s="1305" t="s">
        <v>1710</v>
      </c>
      <c r="B1788" s="1307" t="s">
        <v>2653</v>
      </c>
      <c r="C1788" s="201" t="s">
        <v>2652</v>
      </c>
      <c r="E1788" s="1310">
        <v>1750000</v>
      </c>
    </row>
    <row r="1789" spans="1:5">
      <c r="A1789" s="1305"/>
      <c r="B1789" s="1307"/>
      <c r="C1789" s="201"/>
      <c r="E1789" s="1310"/>
    </row>
    <row r="1790" spans="1:5">
      <c r="A1790" s="1305"/>
      <c r="B1790" s="1306" t="s">
        <v>3255</v>
      </c>
      <c r="C1790" s="201"/>
      <c r="E1790" s="1310"/>
    </row>
    <row r="1791" spans="1:5">
      <c r="A1791" s="1305"/>
      <c r="B1791" s="1307"/>
      <c r="C1791" s="201"/>
      <c r="E1791" s="1310"/>
    </row>
    <row r="1792" spans="1:5" ht="30">
      <c r="A1792" s="1305" t="s">
        <v>1712</v>
      </c>
      <c r="B1792" s="1307" t="s">
        <v>3256</v>
      </c>
      <c r="C1792" s="201" t="s">
        <v>608</v>
      </c>
      <c r="E1792" s="1310">
        <v>50000</v>
      </c>
    </row>
    <row r="1793" spans="1:5">
      <c r="A1793" s="1305"/>
      <c r="B1793" s="1307"/>
      <c r="C1793" s="201"/>
      <c r="E1793" s="1310"/>
    </row>
    <row r="1794" spans="1:5">
      <c r="A1794" s="1305" t="s">
        <v>1834</v>
      </c>
      <c r="B1794" s="1307" t="s">
        <v>2651</v>
      </c>
      <c r="C1794" s="201" t="s">
        <v>2652</v>
      </c>
      <c r="E1794" s="1310">
        <v>50000</v>
      </c>
    </row>
    <row r="1795" spans="1:5">
      <c r="A1795" s="1305"/>
      <c r="B1795" s="1307"/>
      <c r="C1795" s="201"/>
      <c r="E1795" s="1310"/>
    </row>
    <row r="1796" spans="1:5">
      <c r="A1796" s="1305" t="s">
        <v>1836</v>
      </c>
      <c r="B1796" s="1307" t="s">
        <v>2653</v>
      </c>
      <c r="C1796" s="201" t="s">
        <v>2652</v>
      </c>
      <c r="E1796" s="1310">
        <v>50000</v>
      </c>
    </row>
    <row r="1797" spans="1:5">
      <c r="A1797" s="1305"/>
      <c r="B1797" s="1307"/>
      <c r="C1797" s="201"/>
      <c r="E1797" s="1310"/>
    </row>
    <row r="1798" spans="1:5">
      <c r="A1798" s="1305"/>
      <c r="B1798" s="1306" t="s">
        <v>3257</v>
      </c>
      <c r="C1798" s="201"/>
      <c r="E1798" s="1310"/>
    </row>
    <row r="1799" spans="1:5">
      <c r="A1799" s="1305"/>
      <c r="B1799" s="1307"/>
      <c r="C1799" s="201"/>
      <c r="E1799" s="1310"/>
    </row>
    <row r="1800" spans="1:5" ht="45">
      <c r="A1800" s="1305" t="s">
        <v>1686</v>
      </c>
      <c r="B1800" s="1307" t="s">
        <v>3258</v>
      </c>
      <c r="C1800" s="201" t="s">
        <v>608</v>
      </c>
      <c r="E1800" s="1310">
        <v>8450000</v>
      </c>
    </row>
    <row r="1801" spans="1:5">
      <c r="A1801" s="1305"/>
      <c r="B1801" s="1307"/>
      <c r="C1801" s="201"/>
      <c r="E1801" s="1310"/>
    </row>
    <row r="1802" spans="1:5">
      <c r="A1802" s="1305" t="s">
        <v>1688</v>
      </c>
      <c r="B1802" s="1307" t="s">
        <v>2651</v>
      </c>
      <c r="C1802" s="201" t="s">
        <v>2652</v>
      </c>
      <c r="E1802" s="1310">
        <v>8450000</v>
      </c>
    </row>
    <row r="1803" spans="1:5">
      <c r="A1803" s="1305"/>
      <c r="B1803" s="1307"/>
      <c r="C1803" s="201"/>
      <c r="E1803" s="1310"/>
    </row>
    <row r="1804" spans="1:5">
      <c r="A1804" s="1305" t="s">
        <v>1691</v>
      </c>
      <c r="B1804" s="1307" t="s">
        <v>2653</v>
      </c>
      <c r="C1804" s="201" t="s">
        <v>2652</v>
      </c>
      <c r="E1804" s="1310">
        <v>8450000</v>
      </c>
    </row>
    <row r="1805" spans="1:5">
      <c r="A1805" s="1305"/>
      <c r="B1805" s="1307"/>
      <c r="C1805" s="201"/>
      <c r="E1805" s="1310"/>
    </row>
    <row r="1806" spans="1:5">
      <c r="A1806" s="1305"/>
      <c r="B1806" s="1306" t="s">
        <v>3259</v>
      </c>
      <c r="C1806" s="201"/>
      <c r="E1806" s="1310"/>
    </row>
    <row r="1807" spans="1:5">
      <c r="A1807" s="1305"/>
      <c r="B1807" s="1307"/>
      <c r="C1807" s="201"/>
      <c r="E1807" s="1310"/>
    </row>
    <row r="1808" spans="1:5" ht="45">
      <c r="A1808" s="1305" t="s">
        <v>1693</v>
      </c>
      <c r="B1808" s="1307" t="s">
        <v>3260</v>
      </c>
      <c r="C1808" s="201" t="s">
        <v>608</v>
      </c>
      <c r="E1808" s="1310">
        <v>80000</v>
      </c>
    </row>
    <row r="1809" spans="1:5">
      <c r="A1809" s="1305"/>
      <c r="B1809" s="1307"/>
      <c r="C1809" s="201"/>
      <c r="E1809" s="1310"/>
    </row>
    <row r="1810" spans="1:5">
      <c r="A1810" s="1305" t="s">
        <v>1695</v>
      </c>
      <c r="B1810" s="1307" t="s">
        <v>2651</v>
      </c>
      <c r="C1810" s="201" t="s">
        <v>2652</v>
      </c>
      <c r="E1810" s="1310">
        <v>80000</v>
      </c>
    </row>
    <row r="1811" spans="1:5">
      <c r="A1811" s="1305"/>
      <c r="B1811" s="1307"/>
      <c r="C1811" s="201"/>
      <c r="E1811" s="1310"/>
    </row>
    <row r="1812" spans="1:5">
      <c r="A1812" s="1305" t="s">
        <v>1697</v>
      </c>
      <c r="B1812" s="1307" t="s">
        <v>2653</v>
      </c>
      <c r="C1812" s="201" t="s">
        <v>2652</v>
      </c>
      <c r="E1812" s="1310">
        <v>80000</v>
      </c>
    </row>
    <row r="1813" spans="1:5">
      <c r="A1813" s="1305"/>
      <c r="B1813" s="1307"/>
      <c r="C1813" s="201"/>
      <c r="E1813" s="1310"/>
    </row>
    <row r="1814" spans="1:5">
      <c r="A1814" s="1305"/>
      <c r="B1814" s="1306" t="s">
        <v>3261</v>
      </c>
      <c r="C1814" s="201"/>
      <c r="E1814" s="1310"/>
    </row>
    <row r="1815" spans="1:5">
      <c r="A1815" s="1305"/>
      <c r="B1815" s="1307"/>
      <c r="C1815" s="201"/>
      <c r="E1815" s="1310"/>
    </row>
    <row r="1816" spans="1:5" ht="45">
      <c r="A1816" s="1305" t="s">
        <v>1699</v>
      </c>
      <c r="B1816" s="1307" t="s">
        <v>3262</v>
      </c>
      <c r="C1816" s="201" t="s">
        <v>608</v>
      </c>
      <c r="E1816" s="1310">
        <v>300000</v>
      </c>
    </row>
    <row r="1817" spans="1:5">
      <c r="A1817" s="1305"/>
      <c r="B1817" s="1307"/>
      <c r="C1817" s="201"/>
      <c r="E1817" s="1310"/>
    </row>
    <row r="1818" spans="1:5">
      <c r="A1818" s="1305" t="s">
        <v>1701</v>
      </c>
      <c r="B1818" s="1307" t="s">
        <v>2651</v>
      </c>
      <c r="C1818" s="201" t="s">
        <v>2652</v>
      </c>
      <c r="E1818" s="1310">
        <v>300000</v>
      </c>
    </row>
    <row r="1819" spans="1:5">
      <c r="A1819" s="1305"/>
      <c r="B1819" s="1307"/>
      <c r="C1819" s="201"/>
      <c r="E1819" s="1310"/>
    </row>
    <row r="1820" spans="1:5">
      <c r="A1820" s="1305" t="s">
        <v>1703</v>
      </c>
      <c r="B1820" s="1307" t="s">
        <v>2653</v>
      </c>
      <c r="C1820" s="201" t="s">
        <v>2652</v>
      </c>
      <c r="E1820" s="1310">
        <v>300000</v>
      </c>
    </row>
    <row r="1821" spans="1:5">
      <c r="A1821" s="1305"/>
      <c r="B1821" s="1307"/>
      <c r="C1821" s="201"/>
      <c r="E1821" s="1310"/>
    </row>
    <row r="1822" spans="1:5">
      <c r="A1822" s="1305"/>
      <c r="B1822" s="1306" t="s">
        <v>3263</v>
      </c>
      <c r="C1822" s="201"/>
      <c r="E1822" s="1310"/>
    </row>
    <row r="1823" spans="1:5">
      <c r="A1823" s="1305"/>
      <c r="B1823" s="1307"/>
      <c r="C1823" s="201"/>
      <c r="E1823" s="1310"/>
    </row>
    <row r="1824" spans="1:5" ht="45">
      <c r="A1824" s="1305" t="s">
        <v>1706</v>
      </c>
      <c r="B1824" s="1307" t="s">
        <v>3264</v>
      </c>
      <c r="C1824" s="201" t="s">
        <v>608</v>
      </c>
      <c r="E1824" s="1310">
        <v>550000</v>
      </c>
    </row>
    <row r="1825" spans="1:5">
      <c r="A1825" s="1305"/>
      <c r="B1825" s="1307"/>
      <c r="C1825" s="201"/>
      <c r="E1825" s="1310"/>
    </row>
    <row r="1826" spans="1:5">
      <c r="A1826" s="1305" t="s">
        <v>1708</v>
      </c>
      <c r="B1826" s="1307" t="s">
        <v>2651</v>
      </c>
      <c r="C1826" s="201" t="s">
        <v>2652</v>
      </c>
      <c r="E1826" s="1310">
        <v>550000</v>
      </c>
    </row>
    <row r="1827" spans="1:5">
      <c r="A1827" s="1305"/>
      <c r="B1827" s="1307"/>
      <c r="C1827" s="201"/>
      <c r="E1827" s="1310"/>
    </row>
    <row r="1828" spans="1:5">
      <c r="A1828" s="1305" t="s">
        <v>1710</v>
      </c>
      <c r="B1828" s="1307" t="s">
        <v>2653</v>
      </c>
      <c r="C1828" s="201" t="s">
        <v>2652</v>
      </c>
      <c r="E1828" s="1310">
        <v>550000</v>
      </c>
    </row>
    <row r="1829" spans="1:5">
      <c r="A1829" s="1305"/>
      <c r="B1829" s="1307"/>
      <c r="C1829" s="201"/>
      <c r="E1829" s="1310"/>
    </row>
    <row r="1830" spans="1:5">
      <c r="A1830" s="1305"/>
      <c r="B1830" s="1306" t="s">
        <v>3265</v>
      </c>
      <c r="C1830" s="201"/>
      <c r="E1830" s="1310"/>
    </row>
    <row r="1831" spans="1:5">
      <c r="A1831" s="1305"/>
      <c r="B1831" s="1307"/>
      <c r="C1831" s="201"/>
      <c r="E1831" s="1310"/>
    </row>
    <row r="1832" spans="1:5" ht="45">
      <c r="A1832" s="1305" t="s">
        <v>1712</v>
      </c>
      <c r="B1832" s="1307" t="s">
        <v>3266</v>
      </c>
      <c r="C1832" s="201" t="s">
        <v>608</v>
      </c>
      <c r="E1832" s="1310">
        <v>100000</v>
      </c>
    </row>
    <row r="1833" spans="1:5">
      <c r="A1833" s="1305"/>
      <c r="B1833" s="1307"/>
      <c r="C1833" s="201"/>
      <c r="E1833" s="1310"/>
    </row>
    <row r="1834" spans="1:5">
      <c r="A1834" s="1305" t="s">
        <v>1834</v>
      </c>
      <c r="B1834" s="1307" t="s">
        <v>2651</v>
      </c>
      <c r="C1834" s="201" t="s">
        <v>2652</v>
      </c>
      <c r="E1834" s="1310">
        <v>100000</v>
      </c>
    </row>
    <row r="1835" spans="1:5">
      <c r="A1835" s="1305"/>
      <c r="B1835" s="1307"/>
      <c r="C1835" s="201"/>
      <c r="E1835" s="1310"/>
    </row>
    <row r="1836" spans="1:5">
      <c r="A1836" s="1305" t="s">
        <v>1836</v>
      </c>
      <c r="B1836" s="1307" t="s">
        <v>2653</v>
      </c>
      <c r="C1836" s="201" t="s">
        <v>2652</v>
      </c>
      <c r="E1836" s="1310">
        <v>100000</v>
      </c>
    </row>
    <row r="1837" spans="1:5">
      <c r="A1837" s="1305"/>
      <c r="B1837" s="1307"/>
      <c r="C1837" s="201"/>
      <c r="E1837" s="1310"/>
    </row>
    <row r="1838" spans="1:5" ht="26.25">
      <c r="A1838" s="1305"/>
      <c r="B1838" s="1306" t="s">
        <v>3267</v>
      </c>
      <c r="C1838" s="201"/>
      <c r="E1838" s="1310"/>
    </row>
    <row r="1839" spans="1:5">
      <c r="A1839" s="1305"/>
      <c r="B1839" s="1307"/>
      <c r="C1839" s="201"/>
      <c r="E1839" s="1310"/>
    </row>
    <row r="1840" spans="1:5" ht="60">
      <c r="A1840" s="1305" t="s">
        <v>1686</v>
      </c>
      <c r="B1840" s="1307" t="s">
        <v>3268</v>
      </c>
      <c r="C1840" s="201" t="s">
        <v>608</v>
      </c>
      <c r="E1840" s="1310">
        <v>1530000</v>
      </c>
    </row>
    <row r="1841" spans="1:5">
      <c r="A1841" s="1305"/>
      <c r="B1841" s="1307"/>
      <c r="C1841" s="201"/>
      <c r="E1841" s="1310"/>
    </row>
    <row r="1842" spans="1:5">
      <c r="A1842" s="1305" t="s">
        <v>1688</v>
      </c>
      <c r="B1842" s="1307" t="s">
        <v>2651</v>
      </c>
      <c r="C1842" s="201" t="s">
        <v>2652</v>
      </c>
      <c r="E1842" s="1310">
        <v>1530000</v>
      </c>
    </row>
    <row r="1843" spans="1:5">
      <c r="A1843" s="1305"/>
      <c r="B1843" s="1307"/>
      <c r="C1843" s="201"/>
      <c r="E1843" s="1310"/>
    </row>
    <row r="1844" spans="1:5">
      <c r="A1844" s="1305" t="s">
        <v>1691</v>
      </c>
      <c r="B1844" s="1307" t="s">
        <v>2653</v>
      </c>
      <c r="C1844" s="201" t="s">
        <v>2652</v>
      </c>
      <c r="E1844" s="1310">
        <v>1530000</v>
      </c>
    </row>
    <row r="1845" spans="1:5">
      <c r="A1845" s="1305"/>
      <c r="B1845" s="1307"/>
      <c r="C1845" s="201"/>
      <c r="E1845" s="1310"/>
    </row>
    <row r="1846" spans="1:5">
      <c r="A1846" s="1305"/>
      <c r="B1846" s="1306" t="s">
        <v>3269</v>
      </c>
      <c r="C1846" s="201"/>
      <c r="E1846" s="1310"/>
    </row>
    <row r="1847" spans="1:5">
      <c r="A1847" s="1305"/>
      <c r="B1847" s="1307"/>
      <c r="C1847" s="201"/>
      <c r="E1847" s="1310"/>
    </row>
    <row r="1848" spans="1:5" ht="45">
      <c r="A1848" s="1305" t="s">
        <v>1693</v>
      </c>
      <c r="B1848" s="1307" t="s">
        <v>3270</v>
      </c>
      <c r="C1848" s="201" t="s">
        <v>608</v>
      </c>
      <c r="E1848" s="1310">
        <v>300000</v>
      </c>
    </row>
    <row r="1849" spans="1:5">
      <c r="A1849" s="1305"/>
      <c r="B1849" s="1307"/>
      <c r="C1849" s="201"/>
      <c r="E1849" s="1310"/>
    </row>
    <row r="1850" spans="1:5">
      <c r="A1850" s="1305" t="s">
        <v>1695</v>
      </c>
      <c r="B1850" s="1307" t="s">
        <v>2651</v>
      </c>
      <c r="C1850" s="201" t="s">
        <v>2652</v>
      </c>
      <c r="E1850" s="1310">
        <v>300000</v>
      </c>
    </row>
    <row r="1851" spans="1:5">
      <c r="A1851" s="1305"/>
      <c r="B1851" s="1307"/>
      <c r="C1851" s="201"/>
      <c r="E1851" s="1310"/>
    </row>
    <row r="1852" spans="1:5">
      <c r="A1852" s="1305" t="s">
        <v>1697</v>
      </c>
      <c r="B1852" s="1307" t="s">
        <v>2653</v>
      </c>
      <c r="C1852" s="201" t="s">
        <v>2652</v>
      </c>
      <c r="E1852" s="1310">
        <v>300000</v>
      </c>
    </row>
    <row r="1853" spans="1:5">
      <c r="A1853" s="1305"/>
      <c r="B1853" s="1307"/>
      <c r="C1853" s="201"/>
      <c r="E1853" s="1310"/>
    </row>
    <row r="1854" spans="1:5">
      <c r="A1854" s="1305"/>
      <c r="B1854" s="1306" t="s">
        <v>3271</v>
      </c>
      <c r="C1854" s="201"/>
      <c r="E1854" s="1310"/>
    </row>
    <row r="1855" spans="1:5">
      <c r="A1855" s="1305"/>
      <c r="B1855" s="1307"/>
      <c r="C1855" s="201"/>
      <c r="E1855" s="1310"/>
    </row>
    <row r="1856" spans="1:5" ht="45">
      <c r="A1856" s="1305" t="s">
        <v>1699</v>
      </c>
      <c r="B1856" s="1307" t="s">
        <v>3272</v>
      </c>
      <c r="C1856" s="201" t="s">
        <v>608</v>
      </c>
      <c r="E1856" s="1310">
        <v>2800000</v>
      </c>
    </row>
    <row r="1857" spans="1:5">
      <c r="A1857" s="1305"/>
      <c r="B1857" s="1307"/>
      <c r="C1857" s="201"/>
      <c r="E1857" s="1310"/>
    </row>
    <row r="1858" spans="1:5">
      <c r="A1858" s="1305" t="s">
        <v>1701</v>
      </c>
      <c r="B1858" s="1307" t="s">
        <v>2651</v>
      </c>
      <c r="C1858" s="201" t="s">
        <v>2652</v>
      </c>
      <c r="E1858" s="1310">
        <v>2800000</v>
      </c>
    </row>
    <row r="1859" spans="1:5">
      <c r="A1859" s="1305"/>
      <c r="B1859" s="1307"/>
      <c r="C1859" s="201"/>
      <c r="E1859" s="1310"/>
    </row>
    <row r="1860" spans="1:5">
      <c r="A1860" s="1305" t="s">
        <v>1703</v>
      </c>
      <c r="B1860" s="1307" t="s">
        <v>2653</v>
      </c>
      <c r="C1860" s="201" t="s">
        <v>2652</v>
      </c>
      <c r="E1860" s="1310">
        <v>2800000</v>
      </c>
    </row>
    <row r="1861" spans="1:5">
      <c r="A1861" s="1305"/>
      <c r="B1861" s="1307"/>
      <c r="C1861" s="201"/>
      <c r="E1861" s="1310"/>
    </row>
    <row r="1862" spans="1:5" ht="26.25">
      <c r="A1862" s="1305"/>
      <c r="B1862" s="1306" t="s">
        <v>3273</v>
      </c>
      <c r="C1862" s="201"/>
      <c r="E1862" s="1310"/>
    </row>
    <row r="1863" spans="1:5">
      <c r="A1863" s="1305"/>
      <c r="B1863" s="1307"/>
      <c r="C1863" s="201"/>
      <c r="E1863" s="1310"/>
    </row>
    <row r="1864" spans="1:5" ht="60">
      <c r="A1864" s="1305" t="s">
        <v>1706</v>
      </c>
      <c r="B1864" s="1307" t="s">
        <v>3274</v>
      </c>
      <c r="C1864" s="201" t="s">
        <v>608</v>
      </c>
      <c r="E1864" s="1310">
        <v>2450000</v>
      </c>
    </row>
    <row r="1865" spans="1:5">
      <c r="A1865" s="1305"/>
      <c r="B1865" s="1307"/>
      <c r="C1865" s="201"/>
      <c r="E1865" s="1310"/>
    </row>
    <row r="1866" spans="1:5">
      <c r="A1866" s="1305" t="s">
        <v>1708</v>
      </c>
      <c r="B1866" s="1307" t="s">
        <v>2651</v>
      </c>
      <c r="C1866" s="201" t="s">
        <v>2652</v>
      </c>
      <c r="E1866" s="1310">
        <v>2450000</v>
      </c>
    </row>
    <row r="1867" spans="1:5">
      <c r="A1867" s="1305"/>
      <c r="B1867" s="1307"/>
      <c r="C1867" s="201"/>
      <c r="E1867" s="1310"/>
    </row>
    <row r="1868" spans="1:5">
      <c r="A1868" s="1305" t="s">
        <v>1710</v>
      </c>
      <c r="B1868" s="1307" t="s">
        <v>2653</v>
      </c>
      <c r="C1868" s="201" t="s">
        <v>2652</v>
      </c>
      <c r="E1868" s="1310">
        <v>2450000</v>
      </c>
    </row>
    <row r="1869" spans="1:5">
      <c r="A1869" s="1305"/>
      <c r="B1869" s="1307"/>
      <c r="C1869" s="201"/>
      <c r="E1869" s="1310"/>
    </row>
    <row r="1870" spans="1:5">
      <c r="A1870" s="1305"/>
      <c r="B1870" s="1306" t="s">
        <v>3275</v>
      </c>
      <c r="C1870" s="201"/>
      <c r="E1870" s="1310"/>
    </row>
    <row r="1871" spans="1:5">
      <c r="A1871" s="1305"/>
      <c r="B1871" s="1307"/>
      <c r="C1871" s="201"/>
      <c r="E1871" s="1310"/>
    </row>
    <row r="1872" spans="1:5" ht="45">
      <c r="A1872" s="1305" t="s">
        <v>1686</v>
      </c>
      <c r="B1872" s="1307" t="s">
        <v>3276</v>
      </c>
      <c r="C1872" s="201" t="s">
        <v>608</v>
      </c>
      <c r="E1872" s="1310">
        <v>10050000</v>
      </c>
    </row>
    <row r="1873" spans="1:5">
      <c r="A1873" s="1305"/>
      <c r="B1873" s="1307"/>
      <c r="C1873" s="201"/>
      <c r="E1873" s="1310"/>
    </row>
    <row r="1874" spans="1:5">
      <c r="A1874" s="1305" t="s">
        <v>1688</v>
      </c>
      <c r="B1874" s="1307" t="s">
        <v>2651</v>
      </c>
      <c r="C1874" s="201" t="s">
        <v>2652</v>
      </c>
      <c r="E1874" s="1310">
        <v>10050000</v>
      </c>
    </row>
    <row r="1875" spans="1:5">
      <c r="A1875" s="1305"/>
      <c r="B1875" s="1307"/>
      <c r="C1875" s="201"/>
      <c r="E1875" s="1310"/>
    </row>
    <row r="1876" spans="1:5">
      <c r="A1876" s="1305" t="s">
        <v>1691</v>
      </c>
      <c r="B1876" s="1307" t="s">
        <v>2653</v>
      </c>
      <c r="C1876" s="201" t="s">
        <v>2652</v>
      </c>
      <c r="E1876" s="1310">
        <v>10050000</v>
      </c>
    </row>
    <row r="1877" spans="1:5">
      <c r="A1877" s="1305"/>
      <c r="B1877" s="1307"/>
      <c r="C1877" s="201"/>
      <c r="E1877" s="1310"/>
    </row>
    <row r="1878" spans="1:5">
      <c r="A1878" s="1305"/>
      <c r="B1878" s="1306" t="s">
        <v>3277</v>
      </c>
      <c r="C1878" s="201"/>
      <c r="E1878" s="1310"/>
    </row>
    <row r="1879" spans="1:5">
      <c r="A1879" s="1305"/>
      <c r="B1879" s="1307"/>
      <c r="C1879" s="201"/>
      <c r="E1879" s="1310"/>
    </row>
    <row r="1880" spans="1:5" ht="45">
      <c r="A1880" s="1305" t="s">
        <v>1693</v>
      </c>
      <c r="B1880" s="1307" t="s">
        <v>3278</v>
      </c>
      <c r="C1880" s="201" t="s">
        <v>608</v>
      </c>
      <c r="E1880" s="1310">
        <v>16400000</v>
      </c>
    </row>
    <row r="1881" spans="1:5">
      <c r="A1881" s="1305"/>
      <c r="B1881" s="1307"/>
      <c r="C1881" s="201"/>
      <c r="E1881" s="1310"/>
    </row>
    <row r="1882" spans="1:5">
      <c r="A1882" s="1305" t="s">
        <v>1695</v>
      </c>
      <c r="B1882" s="1307" t="s">
        <v>2651</v>
      </c>
      <c r="C1882" s="201" t="s">
        <v>2652</v>
      </c>
      <c r="E1882" s="1310">
        <v>16400000</v>
      </c>
    </row>
    <row r="1883" spans="1:5">
      <c r="A1883" s="1305"/>
      <c r="B1883" s="1307"/>
      <c r="C1883" s="201"/>
      <c r="E1883" s="1310"/>
    </row>
    <row r="1884" spans="1:5">
      <c r="A1884" s="1305" t="s">
        <v>1697</v>
      </c>
      <c r="B1884" s="1307" t="s">
        <v>2653</v>
      </c>
      <c r="C1884" s="201" t="s">
        <v>2652</v>
      </c>
      <c r="E1884" s="1310">
        <v>16400000</v>
      </c>
    </row>
    <row r="1885" spans="1:5">
      <c r="A1885" s="1305"/>
      <c r="B1885" s="1307"/>
      <c r="C1885" s="201"/>
      <c r="E1885" s="1310"/>
    </row>
    <row r="1886" spans="1:5">
      <c r="A1886" s="1305"/>
      <c r="B1886" s="1306" t="s">
        <v>3279</v>
      </c>
      <c r="C1886" s="201"/>
      <c r="E1886" s="1310"/>
    </row>
    <row r="1887" spans="1:5">
      <c r="A1887" s="1305"/>
      <c r="B1887" s="1307"/>
      <c r="C1887" s="201"/>
      <c r="E1887" s="1310"/>
    </row>
    <row r="1888" spans="1:5" ht="45">
      <c r="A1888" s="1305" t="s">
        <v>1699</v>
      </c>
      <c r="B1888" s="1307" t="s">
        <v>3280</v>
      </c>
      <c r="C1888" s="201" t="s">
        <v>608</v>
      </c>
      <c r="E1888" s="1310">
        <v>22500000</v>
      </c>
    </row>
    <row r="1889" spans="1:5">
      <c r="A1889" s="1305"/>
      <c r="B1889" s="1307"/>
      <c r="C1889" s="201"/>
      <c r="E1889" s="1310"/>
    </row>
    <row r="1890" spans="1:5">
      <c r="A1890" s="1305" t="s">
        <v>1701</v>
      </c>
      <c r="B1890" s="1307" t="s">
        <v>2651</v>
      </c>
      <c r="C1890" s="201" t="s">
        <v>2652</v>
      </c>
      <c r="E1890" s="1310">
        <v>22500000</v>
      </c>
    </row>
    <row r="1891" spans="1:5">
      <c r="A1891" s="1305"/>
      <c r="B1891" s="1307"/>
      <c r="C1891" s="201"/>
      <c r="E1891" s="1310"/>
    </row>
    <row r="1892" spans="1:5">
      <c r="A1892" s="1305" t="s">
        <v>1703</v>
      </c>
      <c r="B1892" s="1307" t="s">
        <v>2653</v>
      </c>
      <c r="C1892" s="201" t="s">
        <v>2652</v>
      </c>
      <c r="E1892" s="1310">
        <v>22500000</v>
      </c>
    </row>
    <row r="1893" spans="1:5">
      <c r="A1893" s="1305"/>
      <c r="B1893" s="1307"/>
      <c r="C1893" s="201"/>
      <c r="E1893" s="1310"/>
    </row>
    <row r="1894" spans="1:5">
      <c r="A1894" s="1305"/>
      <c r="B1894" s="1306" t="s">
        <v>3281</v>
      </c>
      <c r="C1894" s="201"/>
      <c r="E1894" s="1310"/>
    </row>
    <row r="1895" spans="1:5">
      <c r="A1895" s="1305"/>
      <c r="B1895" s="1307"/>
      <c r="C1895" s="201"/>
      <c r="E1895" s="1310"/>
    </row>
    <row r="1896" spans="1:5" ht="45">
      <c r="A1896" s="1305" t="s">
        <v>1706</v>
      </c>
      <c r="B1896" s="1307" t="s">
        <v>3282</v>
      </c>
      <c r="C1896" s="201" t="s">
        <v>608</v>
      </c>
      <c r="E1896" s="1310">
        <v>6000000</v>
      </c>
    </row>
    <row r="1897" spans="1:5">
      <c r="A1897" s="1305"/>
      <c r="B1897" s="1307"/>
      <c r="C1897" s="201"/>
      <c r="E1897" s="1310"/>
    </row>
    <row r="1898" spans="1:5">
      <c r="A1898" s="1305" t="s">
        <v>1708</v>
      </c>
      <c r="B1898" s="1307" t="s">
        <v>2651</v>
      </c>
      <c r="C1898" s="201" t="s">
        <v>2652</v>
      </c>
      <c r="E1898" s="1310">
        <v>6000000</v>
      </c>
    </row>
    <row r="1899" spans="1:5">
      <c r="A1899" s="1305"/>
      <c r="B1899" s="1307"/>
      <c r="C1899" s="201"/>
      <c r="E1899" s="1310"/>
    </row>
    <row r="1900" spans="1:5">
      <c r="A1900" s="1305" t="s">
        <v>1710</v>
      </c>
      <c r="B1900" s="1307" t="s">
        <v>2653</v>
      </c>
      <c r="C1900" s="201" t="s">
        <v>2652</v>
      </c>
      <c r="E1900" s="1310">
        <v>6000000</v>
      </c>
    </row>
    <row r="1901" spans="1:5">
      <c r="A1901" s="1305"/>
      <c r="B1901" s="1307"/>
      <c r="C1901" s="201"/>
      <c r="E1901" s="1310"/>
    </row>
    <row r="1902" spans="1:5">
      <c r="A1902" s="1305"/>
      <c r="B1902" s="1306" t="s">
        <v>3283</v>
      </c>
      <c r="C1902" s="201"/>
      <c r="E1902" s="1310"/>
    </row>
    <row r="1903" spans="1:5">
      <c r="A1903" s="1305"/>
      <c r="B1903" s="1307"/>
      <c r="C1903" s="201"/>
      <c r="E1903" s="1310"/>
    </row>
    <row r="1904" spans="1:5" ht="45">
      <c r="A1904" s="1305" t="s">
        <v>1712</v>
      </c>
      <c r="B1904" s="1307" t="s">
        <v>3284</v>
      </c>
      <c r="C1904" s="201" t="s">
        <v>608</v>
      </c>
      <c r="E1904" s="1310">
        <v>1000000</v>
      </c>
    </row>
    <row r="1905" spans="1:5">
      <c r="A1905" s="1305"/>
      <c r="B1905" s="1307"/>
      <c r="C1905" s="201"/>
      <c r="E1905" s="1310"/>
    </row>
    <row r="1906" spans="1:5">
      <c r="A1906" s="1305" t="s">
        <v>1834</v>
      </c>
      <c r="B1906" s="1307" t="s">
        <v>2651</v>
      </c>
      <c r="C1906" s="201" t="s">
        <v>2652</v>
      </c>
      <c r="E1906" s="1310">
        <v>1000000</v>
      </c>
    </row>
    <row r="1907" spans="1:5">
      <c r="A1907" s="1305"/>
      <c r="B1907" s="1307"/>
      <c r="C1907" s="201"/>
      <c r="E1907" s="1310"/>
    </row>
    <row r="1908" spans="1:5">
      <c r="A1908" s="1305" t="s">
        <v>1836</v>
      </c>
      <c r="B1908" s="1307" t="s">
        <v>2653</v>
      </c>
      <c r="C1908" s="201" t="s">
        <v>2652</v>
      </c>
      <c r="E1908" s="1310">
        <v>1000000</v>
      </c>
    </row>
    <row r="1909" spans="1:5">
      <c r="A1909" s="1305"/>
      <c r="B1909" s="1307"/>
      <c r="C1909" s="201"/>
      <c r="E1909" s="1310"/>
    </row>
    <row r="1910" spans="1:5">
      <c r="A1910" s="1305"/>
      <c r="B1910" s="1306" t="s">
        <v>3285</v>
      </c>
      <c r="C1910" s="201"/>
      <c r="E1910" s="1310"/>
    </row>
    <row r="1911" spans="1:5">
      <c r="A1911" s="1305"/>
      <c r="B1911" s="1307"/>
      <c r="C1911" s="201"/>
      <c r="E1911" s="1310"/>
    </row>
    <row r="1912" spans="1:5" ht="45">
      <c r="A1912" s="1305" t="s">
        <v>1686</v>
      </c>
      <c r="B1912" s="1307" t="s">
        <v>3286</v>
      </c>
      <c r="C1912" s="201" t="s">
        <v>608</v>
      </c>
      <c r="E1912" s="1310">
        <v>350000</v>
      </c>
    </row>
    <row r="1913" spans="1:5">
      <c r="A1913" s="1305"/>
      <c r="B1913" s="1307"/>
      <c r="C1913" s="201"/>
      <c r="E1913" s="1310"/>
    </row>
    <row r="1914" spans="1:5">
      <c r="A1914" s="1305" t="s">
        <v>1688</v>
      </c>
      <c r="B1914" s="1307" t="s">
        <v>2651</v>
      </c>
      <c r="C1914" s="201" t="s">
        <v>2652</v>
      </c>
      <c r="E1914" s="1310">
        <v>350000</v>
      </c>
    </row>
    <row r="1915" spans="1:5">
      <c r="A1915" s="1305"/>
      <c r="B1915" s="1307"/>
      <c r="C1915" s="201"/>
      <c r="E1915" s="1310"/>
    </row>
    <row r="1916" spans="1:5">
      <c r="A1916" s="1305" t="s">
        <v>1691</v>
      </c>
      <c r="B1916" s="1307" t="s">
        <v>2653</v>
      </c>
      <c r="C1916" s="201" t="s">
        <v>2652</v>
      </c>
      <c r="E1916" s="1310">
        <v>350000</v>
      </c>
    </row>
    <row r="1917" spans="1:5">
      <c r="A1917" s="1305"/>
      <c r="B1917" s="1307"/>
      <c r="C1917" s="201"/>
      <c r="E1917" s="1310"/>
    </row>
    <row r="1918" spans="1:5">
      <c r="A1918" s="1305"/>
      <c r="B1918" s="1306" t="s">
        <v>3287</v>
      </c>
      <c r="C1918" s="201"/>
      <c r="E1918" s="1310"/>
    </row>
    <row r="1919" spans="1:5">
      <c r="A1919" s="1305"/>
      <c r="B1919" s="1307"/>
      <c r="C1919" s="201"/>
      <c r="E1919" s="1310"/>
    </row>
    <row r="1920" spans="1:5" ht="45">
      <c r="A1920" s="1305" t="s">
        <v>1693</v>
      </c>
      <c r="B1920" s="1307" t="s">
        <v>3288</v>
      </c>
      <c r="C1920" s="201" t="s">
        <v>608</v>
      </c>
      <c r="E1920" s="1310">
        <v>7350000</v>
      </c>
    </row>
    <row r="1921" spans="1:5">
      <c r="A1921" s="1305"/>
      <c r="B1921" s="1307"/>
      <c r="C1921" s="201"/>
      <c r="E1921" s="1310"/>
    </row>
    <row r="1922" spans="1:5">
      <c r="A1922" s="1305" t="s">
        <v>1695</v>
      </c>
      <c r="B1922" s="1307" t="s">
        <v>2651</v>
      </c>
      <c r="C1922" s="201" t="s">
        <v>2652</v>
      </c>
      <c r="E1922" s="1310">
        <v>7350000</v>
      </c>
    </row>
    <row r="1923" spans="1:5">
      <c r="A1923" s="1305"/>
      <c r="B1923" s="1307"/>
      <c r="C1923" s="201"/>
      <c r="E1923" s="1310"/>
    </row>
    <row r="1924" spans="1:5">
      <c r="A1924" s="1305" t="s">
        <v>1697</v>
      </c>
      <c r="B1924" s="1307" t="s">
        <v>2653</v>
      </c>
      <c r="C1924" s="201" t="s">
        <v>2652</v>
      </c>
      <c r="E1924" s="1310">
        <v>7350000</v>
      </c>
    </row>
    <row r="1925" spans="1:5">
      <c r="A1925" s="1305"/>
      <c r="B1925" s="1307"/>
      <c r="C1925" s="201"/>
      <c r="E1925" s="1310"/>
    </row>
    <row r="1926" spans="1:5">
      <c r="A1926" s="1305"/>
      <c r="B1926" s="1306" t="s">
        <v>3289</v>
      </c>
      <c r="C1926" s="201"/>
      <c r="E1926" s="1310"/>
    </row>
    <row r="1927" spans="1:5">
      <c r="A1927" s="1305"/>
      <c r="B1927" s="1307"/>
      <c r="C1927" s="201"/>
      <c r="E1927" s="1310"/>
    </row>
    <row r="1928" spans="1:5" ht="45">
      <c r="A1928" s="1305" t="s">
        <v>1699</v>
      </c>
      <c r="B1928" s="1307" t="s">
        <v>3290</v>
      </c>
      <c r="C1928" s="201" t="s">
        <v>608</v>
      </c>
      <c r="E1928" s="1310">
        <v>120000</v>
      </c>
    </row>
    <row r="1929" spans="1:5">
      <c r="A1929" s="1305"/>
      <c r="B1929" s="1307"/>
      <c r="C1929" s="201"/>
      <c r="E1929" s="1310"/>
    </row>
    <row r="1930" spans="1:5">
      <c r="A1930" s="1305" t="s">
        <v>1701</v>
      </c>
      <c r="B1930" s="1307" t="s">
        <v>2651</v>
      </c>
      <c r="C1930" s="201" t="s">
        <v>2652</v>
      </c>
      <c r="E1930" s="1310">
        <v>120000</v>
      </c>
    </row>
    <row r="1931" spans="1:5">
      <c r="A1931" s="1305"/>
      <c r="B1931" s="1307"/>
      <c r="C1931" s="201"/>
      <c r="E1931" s="1310"/>
    </row>
    <row r="1932" spans="1:5">
      <c r="A1932" s="1305" t="s">
        <v>1703</v>
      </c>
      <c r="B1932" s="1307" t="s">
        <v>2653</v>
      </c>
      <c r="C1932" s="201" t="s">
        <v>2652</v>
      </c>
      <c r="E1932" s="1310">
        <v>120000</v>
      </c>
    </row>
    <row r="1933" spans="1:5">
      <c r="A1933" s="1305"/>
      <c r="B1933" s="1307"/>
      <c r="C1933" s="201"/>
      <c r="E1933" s="1310"/>
    </row>
    <row r="1934" spans="1:5">
      <c r="A1934" s="1305"/>
      <c r="B1934" s="1306" t="s">
        <v>3291</v>
      </c>
      <c r="C1934" s="201"/>
      <c r="E1934" s="1310"/>
    </row>
    <row r="1935" spans="1:5">
      <c r="A1935" s="1305"/>
      <c r="B1935" s="1307"/>
      <c r="C1935" s="201"/>
      <c r="E1935" s="1310"/>
    </row>
    <row r="1936" spans="1:5" ht="45">
      <c r="A1936" s="1305" t="s">
        <v>1706</v>
      </c>
      <c r="B1936" s="1307" t="s">
        <v>3292</v>
      </c>
      <c r="C1936" s="201" t="s">
        <v>608</v>
      </c>
      <c r="E1936" s="1310">
        <v>1000000</v>
      </c>
    </row>
    <row r="1937" spans="1:5">
      <c r="A1937" s="1305"/>
      <c r="B1937" s="1307"/>
      <c r="C1937" s="201"/>
      <c r="E1937" s="1310"/>
    </row>
    <row r="1938" spans="1:5">
      <c r="A1938" s="1305" t="s">
        <v>1708</v>
      </c>
      <c r="B1938" s="1307" t="s">
        <v>2651</v>
      </c>
      <c r="C1938" s="201" t="s">
        <v>2652</v>
      </c>
      <c r="E1938" s="1310">
        <v>1000000</v>
      </c>
    </row>
    <row r="1939" spans="1:5">
      <c r="A1939" s="1305"/>
      <c r="B1939" s="1307"/>
      <c r="C1939" s="201"/>
      <c r="E1939" s="1310"/>
    </row>
    <row r="1940" spans="1:5">
      <c r="A1940" s="1305" t="s">
        <v>1710</v>
      </c>
      <c r="B1940" s="1307" t="s">
        <v>2653</v>
      </c>
      <c r="C1940" s="201" t="s">
        <v>2652</v>
      </c>
      <c r="E1940" s="1310">
        <v>1000000</v>
      </c>
    </row>
    <row r="1941" spans="1:5">
      <c r="A1941" s="1305"/>
      <c r="B1941" s="1307"/>
      <c r="C1941" s="201"/>
      <c r="E1941" s="1310"/>
    </row>
    <row r="1942" spans="1:5">
      <c r="A1942" s="1305"/>
      <c r="B1942" s="1306" t="s">
        <v>3293</v>
      </c>
      <c r="C1942" s="201"/>
      <c r="E1942" s="1310"/>
    </row>
    <row r="1943" spans="1:5">
      <c r="A1943" s="1305"/>
      <c r="B1943" s="1307"/>
      <c r="C1943" s="201"/>
      <c r="E1943" s="1310"/>
    </row>
    <row r="1944" spans="1:5" ht="45">
      <c r="A1944" s="1305" t="s">
        <v>1712</v>
      </c>
      <c r="B1944" s="1307" t="s">
        <v>3294</v>
      </c>
      <c r="C1944" s="201" t="s">
        <v>608</v>
      </c>
      <c r="E1944" s="1310">
        <v>3200000</v>
      </c>
    </row>
    <row r="1945" spans="1:5">
      <c r="A1945" s="1305"/>
      <c r="B1945" s="1307"/>
      <c r="C1945" s="201"/>
      <c r="E1945" s="1310"/>
    </row>
    <row r="1946" spans="1:5">
      <c r="A1946" s="1305" t="s">
        <v>1834</v>
      </c>
      <c r="B1946" s="1307" t="s">
        <v>2651</v>
      </c>
      <c r="C1946" s="201" t="s">
        <v>2652</v>
      </c>
      <c r="E1946" s="1310">
        <v>3200000</v>
      </c>
    </row>
    <row r="1947" spans="1:5">
      <c r="A1947" s="1305"/>
      <c r="B1947" s="1307"/>
      <c r="C1947" s="201"/>
      <c r="E1947" s="1310"/>
    </row>
    <row r="1948" spans="1:5">
      <c r="A1948" s="1305" t="s">
        <v>1836</v>
      </c>
      <c r="B1948" s="1307" t="s">
        <v>2653</v>
      </c>
      <c r="C1948" s="201" t="s">
        <v>2652</v>
      </c>
      <c r="E1948" s="1310">
        <v>3200000</v>
      </c>
    </row>
    <row r="1949" spans="1:5">
      <c r="A1949" s="1305"/>
      <c r="B1949" s="1307"/>
      <c r="C1949" s="201"/>
      <c r="E1949" s="1310"/>
    </row>
    <row r="1950" spans="1:5">
      <c r="A1950" s="1305"/>
      <c r="B1950" s="1306" t="s">
        <v>3295</v>
      </c>
      <c r="C1950" s="201"/>
      <c r="E1950" s="1310"/>
    </row>
    <row r="1951" spans="1:5">
      <c r="A1951" s="1305"/>
      <c r="B1951" s="1307"/>
      <c r="C1951" s="201"/>
      <c r="E1951" s="1310"/>
    </row>
    <row r="1952" spans="1:5" ht="45">
      <c r="A1952" s="1305" t="s">
        <v>1686</v>
      </c>
      <c r="B1952" s="1307" t="s">
        <v>3296</v>
      </c>
      <c r="C1952" s="201" t="s">
        <v>608</v>
      </c>
      <c r="E1952" s="1310">
        <v>1400000</v>
      </c>
    </row>
    <row r="1953" spans="1:5">
      <c r="A1953" s="1305"/>
      <c r="B1953" s="1307"/>
      <c r="C1953" s="201"/>
      <c r="E1953" s="1310"/>
    </row>
    <row r="1954" spans="1:5">
      <c r="A1954" s="1305" t="s">
        <v>1688</v>
      </c>
      <c r="B1954" s="1307" t="s">
        <v>2651</v>
      </c>
      <c r="C1954" s="201" t="s">
        <v>2652</v>
      </c>
      <c r="E1954" s="1310">
        <v>1400000</v>
      </c>
    </row>
    <row r="1955" spans="1:5">
      <c r="A1955" s="1305"/>
      <c r="B1955" s="1307"/>
      <c r="C1955" s="201"/>
      <c r="E1955" s="1310"/>
    </row>
    <row r="1956" spans="1:5">
      <c r="A1956" s="1305" t="s">
        <v>1691</v>
      </c>
      <c r="B1956" s="1307" t="s">
        <v>2653</v>
      </c>
      <c r="C1956" s="201" t="s">
        <v>2652</v>
      </c>
      <c r="E1956" s="1310">
        <v>1400000</v>
      </c>
    </row>
    <row r="1957" spans="1:5">
      <c r="A1957" s="1305"/>
      <c r="B1957" s="1307"/>
      <c r="C1957" s="201"/>
      <c r="E1957" s="1310"/>
    </row>
    <row r="1958" spans="1:5">
      <c r="A1958" s="1305"/>
      <c r="B1958" s="1306" t="s">
        <v>3297</v>
      </c>
      <c r="C1958" s="201"/>
      <c r="E1958" s="1310"/>
    </row>
    <row r="1959" spans="1:5">
      <c r="A1959" s="1305"/>
      <c r="B1959" s="1307"/>
      <c r="C1959" s="201"/>
      <c r="E1959" s="1310"/>
    </row>
    <row r="1960" spans="1:5" ht="45">
      <c r="A1960" s="1305" t="s">
        <v>1693</v>
      </c>
      <c r="B1960" s="1307" t="s">
        <v>3298</v>
      </c>
      <c r="C1960" s="201" t="s">
        <v>608</v>
      </c>
      <c r="E1960" s="1310">
        <v>950000</v>
      </c>
    </row>
    <row r="1961" spans="1:5">
      <c r="A1961" s="1305"/>
      <c r="B1961" s="1307"/>
      <c r="C1961" s="201"/>
      <c r="E1961" s="1310"/>
    </row>
    <row r="1962" spans="1:5">
      <c r="A1962" s="1305" t="s">
        <v>1695</v>
      </c>
      <c r="B1962" s="1307" t="s">
        <v>2651</v>
      </c>
      <c r="C1962" s="201" t="s">
        <v>2652</v>
      </c>
      <c r="E1962" s="1310">
        <v>950000</v>
      </c>
    </row>
    <row r="1963" spans="1:5">
      <c r="A1963" s="1305"/>
      <c r="B1963" s="1307"/>
      <c r="C1963" s="201"/>
      <c r="E1963" s="1310"/>
    </row>
    <row r="1964" spans="1:5">
      <c r="A1964" s="1305" t="s">
        <v>1697</v>
      </c>
      <c r="B1964" s="1307" t="s">
        <v>2653</v>
      </c>
      <c r="C1964" s="201" t="s">
        <v>2652</v>
      </c>
      <c r="E1964" s="1310">
        <v>950000</v>
      </c>
    </row>
    <row r="1965" spans="1:5">
      <c r="A1965" s="1305"/>
      <c r="B1965" s="1307"/>
      <c r="C1965" s="201"/>
      <c r="E1965" s="1310"/>
    </row>
    <row r="1966" spans="1:5">
      <c r="A1966" s="1305"/>
      <c r="B1966" s="1306" t="s">
        <v>3299</v>
      </c>
      <c r="C1966" s="201"/>
      <c r="E1966" s="1310"/>
    </row>
    <row r="1967" spans="1:5">
      <c r="A1967" s="1305"/>
      <c r="B1967" s="1307"/>
      <c r="C1967" s="201"/>
      <c r="E1967" s="1310"/>
    </row>
    <row r="1968" spans="1:5" ht="45">
      <c r="A1968" s="1305" t="s">
        <v>1699</v>
      </c>
      <c r="B1968" s="1307" t="s">
        <v>3300</v>
      </c>
      <c r="C1968" s="201" t="s">
        <v>608</v>
      </c>
      <c r="E1968" s="1310">
        <v>1250000</v>
      </c>
    </row>
    <row r="1969" spans="1:5">
      <c r="A1969" s="1305"/>
      <c r="B1969" s="1307"/>
      <c r="C1969" s="201"/>
      <c r="E1969" s="1310"/>
    </row>
    <row r="1970" spans="1:5">
      <c r="A1970" s="1305" t="s">
        <v>1701</v>
      </c>
      <c r="B1970" s="1307" t="s">
        <v>2651</v>
      </c>
      <c r="C1970" s="201" t="s">
        <v>2652</v>
      </c>
      <c r="E1970" s="1310">
        <v>1250000</v>
      </c>
    </row>
    <row r="1971" spans="1:5">
      <c r="A1971" s="1305"/>
      <c r="B1971" s="1307"/>
      <c r="C1971" s="201"/>
      <c r="E1971" s="1310"/>
    </row>
    <row r="1972" spans="1:5">
      <c r="A1972" s="1305" t="s">
        <v>1703</v>
      </c>
      <c r="B1972" s="1307" t="s">
        <v>2653</v>
      </c>
      <c r="C1972" s="201" t="s">
        <v>2652</v>
      </c>
      <c r="E1972" s="1310">
        <v>1250000</v>
      </c>
    </row>
    <row r="1973" spans="1:5">
      <c r="A1973" s="1305"/>
      <c r="B1973" s="1307"/>
      <c r="C1973" s="201"/>
      <c r="E1973" s="1310"/>
    </row>
    <row r="1974" spans="1:5">
      <c r="A1974" s="1305"/>
      <c r="B1974" s="1306" t="s">
        <v>3301</v>
      </c>
      <c r="C1974" s="201"/>
      <c r="E1974" s="1310"/>
    </row>
    <row r="1975" spans="1:5">
      <c r="A1975" s="1305"/>
      <c r="B1975" s="1307"/>
      <c r="C1975" s="201"/>
      <c r="E1975" s="1310"/>
    </row>
    <row r="1976" spans="1:5" ht="45">
      <c r="A1976" s="1305" t="s">
        <v>1706</v>
      </c>
      <c r="B1976" s="1307" t="s">
        <v>3302</v>
      </c>
      <c r="C1976" s="201" t="s">
        <v>608</v>
      </c>
      <c r="E1976" s="1310">
        <v>2500000</v>
      </c>
    </row>
    <row r="1977" spans="1:5">
      <c r="A1977" s="1305"/>
      <c r="B1977" s="1307"/>
      <c r="C1977" s="201"/>
      <c r="E1977" s="1310"/>
    </row>
    <row r="1978" spans="1:5">
      <c r="A1978" s="1305" t="s">
        <v>1708</v>
      </c>
      <c r="B1978" s="1307" t="s">
        <v>2651</v>
      </c>
      <c r="C1978" s="201" t="s">
        <v>2652</v>
      </c>
      <c r="E1978" s="1310">
        <v>2500000</v>
      </c>
    </row>
    <row r="1979" spans="1:5">
      <c r="A1979" s="1305"/>
      <c r="B1979" s="1307"/>
      <c r="C1979" s="201"/>
      <c r="E1979" s="1310"/>
    </row>
    <row r="1980" spans="1:5">
      <c r="A1980" s="1305" t="s">
        <v>1710</v>
      </c>
      <c r="B1980" s="1307" t="s">
        <v>2653</v>
      </c>
      <c r="C1980" s="201" t="s">
        <v>2652</v>
      </c>
      <c r="E1980" s="1310">
        <v>2500000</v>
      </c>
    </row>
    <row r="1981" spans="1:5">
      <c r="A1981" s="1305"/>
      <c r="B1981" s="1307"/>
      <c r="C1981" s="201"/>
      <c r="E1981" s="1310"/>
    </row>
    <row r="1982" spans="1:5">
      <c r="A1982" s="1305"/>
      <c r="B1982" s="1306" t="s">
        <v>3303</v>
      </c>
      <c r="C1982" s="201"/>
      <c r="E1982" s="1310"/>
    </row>
    <row r="1983" spans="1:5">
      <c r="A1983" s="1305"/>
      <c r="B1983" s="1307"/>
      <c r="C1983" s="201"/>
      <c r="E1983" s="1310"/>
    </row>
    <row r="1984" spans="1:5" ht="45">
      <c r="A1984" s="1305" t="s">
        <v>1712</v>
      </c>
      <c r="B1984" s="1307" t="s">
        <v>3304</v>
      </c>
      <c r="C1984" s="201" t="s">
        <v>608</v>
      </c>
      <c r="E1984" s="1310">
        <v>1755000</v>
      </c>
    </row>
    <row r="1985" spans="1:5">
      <c r="A1985" s="1305"/>
      <c r="B1985" s="1307"/>
      <c r="C1985" s="201"/>
      <c r="E1985" s="1310"/>
    </row>
    <row r="1986" spans="1:5">
      <c r="A1986" s="1305" t="s">
        <v>1834</v>
      </c>
      <c r="B1986" s="1307" t="s">
        <v>2651</v>
      </c>
      <c r="C1986" s="201" t="s">
        <v>2652</v>
      </c>
      <c r="E1986" s="1310">
        <v>1755000</v>
      </c>
    </row>
    <row r="1987" spans="1:5">
      <c r="A1987" s="1305"/>
      <c r="B1987" s="1307"/>
      <c r="C1987" s="201"/>
      <c r="E1987" s="1310"/>
    </row>
    <row r="1988" spans="1:5">
      <c r="A1988" s="1305" t="s">
        <v>1836</v>
      </c>
      <c r="B1988" s="1307" t="s">
        <v>2653</v>
      </c>
      <c r="C1988" s="201" t="s">
        <v>2652</v>
      </c>
      <c r="E1988" s="1310">
        <v>1755000</v>
      </c>
    </row>
    <row r="1989" spans="1:5">
      <c r="A1989" s="1305"/>
      <c r="B1989" s="1307"/>
      <c r="C1989" s="201"/>
      <c r="E1989" s="1310"/>
    </row>
    <row r="1990" spans="1:5">
      <c r="A1990" s="1305"/>
      <c r="B1990" s="1306" t="s">
        <v>3305</v>
      </c>
      <c r="C1990" s="201"/>
      <c r="E1990" s="1310"/>
    </row>
    <row r="1991" spans="1:5">
      <c r="A1991" s="1305"/>
      <c r="B1991" s="1307"/>
      <c r="C1991" s="201"/>
      <c r="E1991" s="1310"/>
    </row>
    <row r="1992" spans="1:5" ht="45">
      <c r="A1992" s="1305" t="s">
        <v>1686</v>
      </c>
      <c r="B1992" s="1307" t="s">
        <v>3306</v>
      </c>
      <c r="C1992" s="201" t="s">
        <v>608</v>
      </c>
      <c r="E1992" s="1310">
        <v>3000000</v>
      </c>
    </row>
    <row r="1993" spans="1:5">
      <c r="A1993" s="1305"/>
      <c r="B1993" s="1307"/>
      <c r="C1993" s="201"/>
      <c r="E1993" s="1310"/>
    </row>
    <row r="1994" spans="1:5">
      <c r="A1994" s="1305" t="s">
        <v>1688</v>
      </c>
      <c r="B1994" s="1307" t="s">
        <v>2651</v>
      </c>
      <c r="C1994" s="201" t="s">
        <v>2652</v>
      </c>
      <c r="E1994" s="1310">
        <v>3000000</v>
      </c>
    </row>
    <row r="1995" spans="1:5">
      <c r="A1995" s="1305"/>
      <c r="B1995" s="1307"/>
      <c r="C1995" s="201"/>
      <c r="E1995" s="1310"/>
    </row>
    <row r="1996" spans="1:5">
      <c r="A1996" s="1305" t="s">
        <v>1691</v>
      </c>
      <c r="B1996" s="1307" t="s">
        <v>2653</v>
      </c>
      <c r="C1996" s="201" t="s">
        <v>2652</v>
      </c>
      <c r="E1996" s="1310">
        <v>3000000</v>
      </c>
    </row>
    <row r="1997" spans="1:5">
      <c r="A1997" s="1305"/>
      <c r="B1997" s="1307"/>
      <c r="C1997" s="201"/>
      <c r="E1997" s="1310"/>
    </row>
    <row r="1998" spans="1:5">
      <c r="A1998" s="1305"/>
      <c r="B1998" s="1306" t="s">
        <v>3307</v>
      </c>
      <c r="C1998" s="201"/>
      <c r="E1998" s="1310"/>
    </row>
    <row r="1999" spans="1:5">
      <c r="A1999" s="1305"/>
      <c r="B1999" s="1307"/>
      <c r="C1999" s="201"/>
      <c r="E1999" s="1310"/>
    </row>
    <row r="2000" spans="1:5" ht="45">
      <c r="A2000" s="1305" t="s">
        <v>1693</v>
      </c>
      <c r="B2000" s="1307" t="s">
        <v>3308</v>
      </c>
      <c r="C2000" s="201" t="s">
        <v>608</v>
      </c>
      <c r="E2000" s="1310">
        <v>250000</v>
      </c>
    </row>
    <row r="2001" spans="1:5">
      <c r="A2001" s="1305"/>
      <c r="B2001" s="1307"/>
      <c r="C2001" s="201"/>
      <c r="E2001" s="1310"/>
    </row>
    <row r="2002" spans="1:5">
      <c r="A2002" s="1305" t="s">
        <v>1695</v>
      </c>
      <c r="B2002" s="1307" t="s">
        <v>2651</v>
      </c>
      <c r="C2002" s="201" t="s">
        <v>2652</v>
      </c>
      <c r="E2002" s="1310">
        <v>250000</v>
      </c>
    </row>
    <row r="2003" spans="1:5">
      <c r="A2003" s="1305"/>
      <c r="B2003" s="1307"/>
      <c r="C2003" s="201"/>
      <c r="E2003" s="1310"/>
    </row>
    <row r="2004" spans="1:5">
      <c r="A2004" s="1305" t="s">
        <v>1697</v>
      </c>
      <c r="B2004" s="1307" t="s">
        <v>2653</v>
      </c>
      <c r="C2004" s="201" t="s">
        <v>2652</v>
      </c>
      <c r="E2004" s="1310">
        <v>250000</v>
      </c>
    </row>
    <row r="2005" spans="1:5">
      <c r="A2005" s="1305"/>
      <c r="B2005" s="1307"/>
      <c r="C2005" s="201"/>
      <c r="E2005" s="1310"/>
    </row>
    <row r="2006" spans="1:5">
      <c r="A2006" s="1305"/>
      <c r="B2006" s="1306" t="s">
        <v>3309</v>
      </c>
      <c r="C2006" s="201"/>
      <c r="E2006" s="1310"/>
    </row>
    <row r="2007" spans="1:5">
      <c r="A2007" s="1305"/>
      <c r="B2007" s="1307"/>
      <c r="C2007" s="201"/>
      <c r="E2007" s="1310"/>
    </row>
    <row r="2008" spans="1:5" ht="45">
      <c r="A2008" s="1305" t="s">
        <v>1699</v>
      </c>
      <c r="B2008" s="1307" t="s">
        <v>3310</v>
      </c>
      <c r="C2008" s="201" t="s">
        <v>608</v>
      </c>
      <c r="E2008" s="1310">
        <v>9450000</v>
      </c>
    </row>
    <row r="2009" spans="1:5">
      <c r="A2009" s="1305"/>
      <c r="B2009" s="1307"/>
      <c r="C2009" s="201"/>
      <c r="E2009" s="1310"/>
    </row>
    <row r="2010" spans="1:5">
      <c r="A2010" s="1305" t="s">
        <v>1701</v>
      </c>
      <c r="B2010" s="1307" t="s">
        <v>2651</v>
      </c>
      <c r="C2010" s="201" t="s">
        <v>2652</v>
      </c>
      <c r="E2010" s="1310">
        <v>9450000</v>
      </c>
    </row>
    <row r="2011" spans="1:5">
      <c r="A2011" s="1305"/>
      <c r="B2011" s="1307"/>
      <c r="C2011" s="201"/>
      <c r="E2011" s="1310"/>
    </row>
    <row r="2012" spans="1:5">
      <c r="A2012" s="1305" t="s">
        <v>1703</v>
      </c>
      <c r="B2012" s="1307" t="s">
        <v>2653</v>
      </c>
      <c r="C2012" s="201" t="s">
        <v>2652</v>
      </c>
      <c r="E2012" s="1310">
        <v>9450000</v>
      </c>
    </row>
    <row r="2013" spans="1:5">
      <c r="A2013" s="1305"/>
      <c r="B2013" s="1307"/>
      <c r="C2013" s="201"/>
      <c r="E2013" s="1310"/>
    </row>
    <row r="2014" spans="1:5">
      <c r="A2014" s="1305"/>
      <c r="B2014" s="1306" t="s">
        <v>3311</v>
      </c>
      <c r="C2014" s="201"/>
      <c r="E2014" s="1310"/>
    </row>
    <row r="2015" spans="1:5">
      <c r="A2015" s="1305"/>
      <c r="B2015" s="1307"/>
      <c r="C2015" s="201"/>
      <c r="E2015" s="1310"/>
    </row>
    <row r="2016" spans="1:5" ht="45">
      <c r="A2016" s="1305" t="s">
        <v>1706</v>
      </c>
      <c r="B2016" s="1307" t="s">
        <v>3312</v>
      </c>
      <c r="C2016" s="201" t="s">
        <v>608</v>
      </c>
      <c r="E2016" s="1310">
        <v>1000000</v>
      </c>
    </row>
    <row r="2017" spans="1:5">
      <c r="A2017" s="1305"/>
      <c r="B2017" s="1307"/>
      <c r="C2017" s="201"/>
      <c r="E2017" s="1310"/>
    </row>
    <row r="2018" spans="1:5">
      <c r="A2018" s="1305" t="s">
        <v>1708</v>
      </c>
      <c r="B2018" s="1307" t="s">
        <v>2651</v>
      </c>
      <c r="C2018" s="201" t="s">
        <v>2652</v>
      </c>
      <c r="E2018" s="1310">
        <v>1000000</v>
      </c>
    </row>
    <row r="2019" spans="1:5">
      <c r="A2019" s="1305"/>
      <c r="B2019" s="1307"/>
      <c r="C2019" s="201"/>
      <c r="E2019" s="1310"/>
    </row>
    <row r="2020" spans="1:5">
      <c r="A2020" s="1305" t="s">
        <v>1710</v>
      </c>
      <c r="B2020" s="1307" t="s">
        <v>2653</v>
      </c>
      <c r="C2020" s="201" t="s">
        <v>2652</v>
      </c>
      <c r="E2020" s="1310">
        <v>1000000</v>
      </c>
    </row>
    <row r="2021" spans="1:5">
      <c r="A2021" s="1305"/>
      <c r="B2021" s="1307"/>
      <c r="C2021" s="201"/>
      <c r="E2021" s="1310"/>
    </row>
    <row r="2022" spans="1:5">
      <c r="A2022" s="1305"/>
      <c r="B2022" s="1306" t="s">
        <v>3313</v>
      </c>
      <c r="C2022" s="201"/>
      <c r="E2022" s="1310"/>
    </row>
    <row r="2023" spans="1:5">
      <c r="A2023" s="1305"/>
      <c r="B2023" s="1307"/>
      <c r="C2023" s="201"/>
      <c r="E2023" s="1310"/>
    </row>
    <row r="2024" spans="1:5" ht="45">
      <c r="A2024" s="1305" t="s">
        <v>1712</v>
      </c>
      <c r="B2024" s="1307" t="s">
        <v>3314</v>
      </c>
      <c r="C2024" s="201" t="s">
        <v>608</v>
      </c>
      <c r="E2024" s="1310">
        <v>6100000</v>
      </c>
    </row>
    <row r="2025" spans="1:5">
      <c r="A2025" s="1305"/>
      <c r="B2025" s="1307"/>
      <c r="C2025" s="201"/>
      <c r="E2025" s="1310"/>
    </row>
    <row r="2026" spans="1:5">
      <c r="A2026" s="1305" t="s">
        <v>1834</v>
      </c>
      <c r="B2026" s="1307" t="s">
        <v>2651</v>
      </c>
      <c r="C2026" s="201" t="s">
        <v>2652</v>
      </c>
      <c r="E2026" s="1310">
        <v>6100000</v>
      </c>
    </row>
    <row r="2027" spans="1:5">
      <c r="A2027" s="1305"/>
      <c r="B2027" s="1307"/>
      <c r="C2027" s="201"/>
      <c r="E2027" s="1310"/>
    </row>
    <row r="2028" spans="1:5">
      <c r="A2028" s="1305" t="s">
        <v>1836</v>
      </c>
      <c r="B2028" s="1307" t="s">
        <v>2653</v>
      </c>
      <c r="C2028" s="201" t="s">
        <v>2652</v>
      </c>
      <c r="E2028" s="1310">
        <v>6100000</v>
      </c>
    </row>
    <row r="2029" spans="1:5">
      <c r="A2029" s="1305"/>
      <c r="B2029" s="1307"/>
      <c r="C2029" s="201"/>
      <c r="E2029" s="1310"/>
    </row>
    <row r="2030" spans="1:5">
      <c r="A2030" s="1305"/>
      <c r="B2030" s="1306" t="s">
        <v>3315</v>
      </c>
      <c r="C2030" s="201"/>
      <c r="E2030" s="1310"/>
    </row>
    <row r="2031" spans="1:5">
      <c r="A2031" s="1305"/>
      <c r="B2031" s="1307"/>
      <c r="C2031" s="201"/>
      <c r="E2031" s="1310"/>
    </row>
    <row r="2032" spans="1:5" ht="45">
      <c r="A2032" s="1305" t="s">
        <v>1686</v>
      </c>
      <c r="B2032" s="1307" t="s">
        <v>3316</v>
      </c>
      <c r="C2032" s="201" t="s">
        <v>608</v>
      </c>
      <c r="E2032" s="1310">
        <v>950000</v>
      </c>
    </row>
    <row r="2033" spans="1:5">
      <c r="A2033" s="1305"/>
      <c r="B2033" s="1307"/>
      <c r="C2033" s="201"/>
      <c r="E2033" s="1310"/>
    </row>
    <row r="2034" spans="1:5">
      <c r="A2034" s="1305" t="s">
        <v>1688</v>
      </c>
      <c r="B2034" s="1307" t="s">
        <v>2651</v>
      </c>
      <c r="C2034" s="201" t="s">
        <v>2652</v>
      </c>
      <c r="E2034" s="1310">
        <v>950000</v>
      </c>
    </row>
    <row r="2035" spans="1:5">
      <c r="A2035" s="1305"/>
      <c r="B2035" s="1307"/>
      <c r="C2035" s="201"/>
      <c r="E2035" s="1310"/>
    </row>
    <row r="2036" spans="1:5">
      <c r="A2036" s="1305" t="s">
        <v>1691</v>
      </c>
      <c r="B2036" s="1307" t="s">
        <v>2653</v>
      </c>
      <c r="C2036" s="201" t="s">
        <v>2652</v>
      </c>
      <c r="E2036" s="1310">
        <v>950000</v>
      </c>
    </row>
    <row r="2037" spans="1:5">
      <c r="A2037" s="1305"/>
      <c r="B2037" s="1307"/>
      <c r="C2037" s="201"/>
      <c r="E2037" s="1310"/>
    </row>
    <row r="2038" spans="1:5" ht="26.25">
      <c r="A2038" s="1305"/>
      <c r="B2038" s="1306" t="s">
        <v>3317</v>
      </c>
      <c r="C2038" s="201"/>
      <c r="E2038" s="1310"/>
    </row>
    <row r="2039" spans="1:5">
      <c r="A2039" s="1305"/>
      <c r="B2039" s="1307"/>
      <c r="C2039" s="201"/>
      <c r="E2039" s="1310"/>
    </row>
    <row r="2040" spans="1:5" ht="45">
      <c r="A2040" s="1305" t="s">
        <v>1693</v>
      </c>
      <c r="B2040" s="1307" t="s">
        <v>3318</v>
      </c>
      <c r="C2040" s="201" t="s">
        <v>608</v>
      </c>
      <c r="E2040" s="1310">
        <v>750000</v>
      </c>
    </row>
    <row r="2041" spans="1:5">
      <c r="A2041" s="1305"/>
      <c r="B2041" s="1307"/>
      <c r="C2041" s="201"/>
      <c r="E2041" s="1310"/>
    </row>
    <row r="2042" spans="1:5">
      <c r="A2042" s="1305" t="s">
        <v>1695</v>
      </c>
      <c r="B2042" s="1307" t="s">
        <v>2651</v>
      </c>
      <c r="C2042" s="201" t="s">
        <v>2652</v>
      </c>
      <c r="E2042" s="1310">
        <v>750000</v>
      </c>
    </row>
    <row r="2043" spans="1:5">
      <c r="A2043" s="1305"/>
      <c r="B2043" s="1307"/>
      <c r="C2043" s="201"/>
      <c r="E2043" s="1310"/>
    </row>
    <row r="2044" spans="1:5">
      <c r="A2044" s="1305" t="s">
        <v>1697</v>
      </c>
      <c r="B2044" s="1307" t="s">
        <v>2653</v>
      </c>
      <c r="C2044" s="201" t="s">
        <v>2652</v>
      </c>
      <c r="E2044" s="1310">
        <v>750000</v>
      </c>
    </row>
    <row r="2045" spans="1:5">
      <c r="A2045" s="1305"/>
      <c r="B2045" s="1307"/>
      <c r="C2045" s="201"/>
      <c r="E2045" s="1310"/>
    </row>
    <row r="2046" spans="1:5">
      <c r="A2046" s="1305"/>
      <c r="B2046" s="1306" t="s">
        <v>3319</v>
      </c>
      <c r="C2046" s="201"/>
      <c r="E2046" s="1310"/>
    </row>
    <row r="2047" spans="1:5">
      <c r="A2047" s="1305"/>
      <c r="B2047" s="1307"/>
      <c r="C2047" s="201"/>
      <c r="E2047" s="1310"/>
    </row>
    <row r="2048" spans="1:5" ht="45">
      <c r="A2048" s="1305" t="s">
        <v>1699</v>
      </c>
      <c r="B2048" s="1307" t="s">
        <v>3320</v>
      </c>
      <c r="C2048" s="201" t="s">
        <v>608</v>
      </c>
      <c r="E2048" s="1310">
        <v>2000000</v>
      </c>
    </row>
    <row r="2049" spans="1:5">
      <c r="A2049" s="1305"/>
      <c r="B2049" s="1307"/>
      <c r="C2049" s="201"/>
      <c r="E2049" s="1310"/>
    </row>
    <row r="2050" spans="1:5">
      <c r="A2050" s="1305" t="s">
        <v>1701</v>
      </c>
      <c r="B2050" s="1307" t="s">
        <v>2651</v>
      </c>
      <c r="C2050" s="201" t="s">
        <v>2652</v>
      </c>
      <c r="E2050" s="1310">
        <v>2000000</v>
      </c>
    </row>
    <row r="2051" spans="1:5">
      <c r="A2051" s="1305"/>
      <c r="B2051" s="1307"/>
      <c r="C2051" s="201"/>
      <c r="E2051" s="1310"/>
    </row>
    <row r="2052" spans="1:5">
      <c r="A2052" s="1305" t="s">
        <v>1703</v>
      </c>
      <c r="B2052" s="1307" t="s">
        <v>2653</v>
      </c>
      <c r="C2052" s="201" t="s">
        <v>2652</v>
      </c>
      <c r="E2052" s="1310">
        <v>2000000</v>
      </c>
    </row>
    <row r="2053" spans="1:5">
      <c r="A2053" s="1305"/>
      <c r="B2053" s="1307"/>
      <c r="C2053" s="201"/>
      <c r="E2053" s="1310"/>
    </row>
    <row r="2054" spans="1:5">
      <c r="A2054" s="1305"/>
      <c r="B2054" s="1306" t="s">
        <v>3321</v>
      </c>
      <c r="C2054" s="201"/>
      <c r="E2054" s="1310"/>
    </row>
    <row r="2055" spans="1:5">
      <c r="A2055" s="1305"/>
      <c r="B2055" s="1307"/>
      <c r="C2055" s="201"/>
      <c r="E2055" s="1310"/>
    </row>
    <row r="2056" spans="1:5" ht="45">
      <c r="A2056" s="1305" t="s">
        <v>1706</v>
      </c>
      <c r="B2056" s="1307" t="s">
        <v>3322</v>
      </c>
      <c r="C2056" s="201" t="s">
        <v>608</v>
      </c>
      <c r="E2056" s="1310">
        <v>500000</v>
      </c>
    </row>
    <row r="2057" spans="1:5">
      <c r="A2057" s="1305"/>
      <c r="B2057" s="1307"/>
      <c r="C2057" s="201"/>
      <c r="E2057" s="1310"/>
    </row>
    <row r="2058" spans="1:5">
      <c r="A2058" s="1305" t="s">
        <v>1708</v>
      </c>
      <c r="B2058" s="1307" t="s">
        <v>2651</v>
      </c>
      <c r="C2058" s="201" t="s">
        <v>2652</v>
      </c>
      <c r="E2058" s="1310">
        <v>500000</v>
      </c>
    </row>
    <row r="2059" spans="1:5">
      <c r="A2059" s="1305"/>
      <c r="B2059" s="1307"/>
      <c r="C2059" s="201"/>
      <c r="E2059" s="1310"/>
    </row>
    <row r="2060" spans="1:5">
      <c r="A2060" s="1305" t="s">
        <v>1710</v>
      </c>
      <c r="B2060" s="1307" t="s">
        <v>2653</v>
      </c>
      <c r="C2060" s="201" t="s">
        <v>2652</v>
      </c>
      <c r="E2060" s="1310">
        <v>500000</v>
      </c>
    </row>
    <row r="2061" spans="1:5">
      <c r="A2061" s="1305"/>
      <c r="B2061" s="1307"/>
      <c r="C2061" s="201"/>
      <c r="E2061" s="1310"/>
    </row>
    <row r="2062" spans="1:5">
      <c r="A2062" s="1305"/>
      <c r="B2062" s="1306" t="s">
        <v>3323</v>
      </c>
      <c r="C2062" s="201"/>
      <c r="E2062" s="1310"/>
    </row>
    <row r="2063" spans="1:5">
      <c r="A2063" s="1305"/>
      <c r="B2063" s="1307"/>
      <c r="C2063" s="201"/>
      <c r="E2063" s="1310"/>
    </row>
    <row r="2064" spans="1:5" ht="45">
      <c r="A2064" s="1305" t="s">
        <v>1686</v>
      </c>
      <c r="B2064" s="1307" t="s">
        <v>3324</v>
      </c>
      <c r="C2064" s="201" t="s">
        <v>608</v>
      </c>
      <c r="E2064" s="1310">
        <v>1500000</v>
      </c>
    </row>
    <row r="2065" spans="1:5">
      <c r="A2065" s="1305"/>
      <c r="B2065" s="1307"/>
      <c r="C2065" s="201"/>
      <c r="E2065" s="1310"/>
    </row>
    <row r="2066" spans="1:5">
      <c r="A2066" s="1305" t="s">
        <v>1688</v>
      </c>
      <c r="B2066" s="1307" t="s">
        <v>2651</v>
      </c>
      <c r="C2066" s="201" t="s">
        <v>2652</v>
      </c>
      <c r="E2066" s="1310">
        <v>1500000</v>
      </c>
    </row>
    <row r="2067" spans="1:5">
      <c r="A2067" s="1305"/>
      <c r="B2067" s="1307"/>
      <c r="C2067" s="201"/>
      <c r="E2067" s="1310"/>
    </row>
    <row r="2068" spans="1:5">
      <c r="A2068" s="1305" t="s">
        <v>1691</v>
      </c>
      <c r="B2068" s="1307" t="s">
        <v>2653</v>
      </c>
      <c r="C2068" s="201" t="s">
        <v>2652</v>
      </c>
      <c r="E2068" s="1310">
        <v>1500000</v>
      </c>
    </row>
    <row r="2069" spans="1:5">
      <c r="A2069" s="1305"/>
      <c r="B2069" s="1307"/>
      <c r="C2069" s="201"/>
      <c r="E2069" s="1310"/>
    </row>
    <row r="2070" spans="1:5">
      <c r="A2070" s="1305"/>
      <c r="B2070" s="1306" t="s">
        <v>3325</v>
      </c>
      <c r="C2070" s="201"/>
      <c r="E2070" s="1310"/>
    </row>
    <row r="2071" spans="1:5">
      <c r="A2071" s="1305"/>
      <c r="B2071" s="1307"/>
      <c r="C2071" s="201"/>
      <c r="E2071" s="1310"/>
    </row>
    <row r="2072" spans="1:5" ht="45">
      <c r="A2072" s="1305" t="s">
        <v>1693</v>
      </c>
      <c r="B2072" s="1307" t="s">
        <v>3326</v>
      </c>
      <c r="C2072" s="201" t="s">
        <v>608</v>
      </c>
      <c r="E2072" s="1310">
        <v>1500000</v>
      </c>
    </row>
    <row r="2073" spans="1:5">
      <c r="A2073" s="1305"/>
      <c r="B2073" s="1307"/>
      <c r="C2073" s="201"/>
      <c r="E2073" s="1310"/>
    </row>
    <row r="2074" spans="1:5">
      <c r="A2074" s="1305" t="s">
        <v>1695</v>
      </c>
      <c r="B2074" s="1307" t="s">
        <v>2651</v>
      </c>
      <c r="C2074" s="201" t="s">
        <v>2652</v>
      </c>
      <c r="E2074" s="1310">
        <v>1500000</v>
      </c>
    </row>
    <row r="2075" spans="1:5">
      <c r="A2075" s="1305"/>
      <c r="B2075" s="1307"/>
      <c r="C2075" s="201"/>
      <c r="E2075" s="1310"/>
    </row>
    <row r="2076" spans="1:5">
      <c r="A2076" s="1305" t="s">
        <v>1697</v>
      </c>
      <c r="B2076" s="1307" t="s">
        <v>2653</v>
      </c>
      <c r="C2076" s="201" t="s">
        <v>2652</v>
      </c>
      <c r="E2076" s="1310">
        <v>1500000</v>
      </c>
    </row>
    <row r="2077" spans="1:5">
      <c r="A2077" s="1305"/>
      <c r="B2077" s="1307"/>
      <c r="C2077" s="201"/>
      <c r="E2077" s="1310"/>
    </row>
    <row r="2078" spans="1:5">
      <c r="A2078" s="1305"/>
      <c r="B2078" s="1306" t="s">
        <v>3327</v>
      </c>
      <c r="C2078" s="201"/>
      <c r="E2078" s="1310"/>
    </row>
    <row r="2079" spans="1:5">
      <c r="A2079" s="1305"/>
      <c r="B2079" s="1307"/>
      <c r="C2079" s="201"/>
      <c r="E2079" s="1310"/>
    </row>
    <row r="2080" spans="1:5" ht="45">
      <c r="A2080" s="1305" t="s">
        <v>1699</v>
      </c>
      <c r="B2080" s="1307" t="s">
        <v>3328</v>
      </c>
      <c r="C2080" s="201" t="s">
        <v>608</v>
      </c>
      <c r="E2080" s="1310">
        <v>8800000</v>
      </c>
    </row>
    <row r="2081" spans="1:5">
      <c r="A2081" s="1305"/>
      <c r="B2081" s="1307"/>
      <c r="C2081" s="201"/>
      <c r="E2081" s="1310"/>
    </row>
    <row r="2082" spans="1:5">
      <c r="A2082" s="1305" t="s">
        <v>1701</v>
      </c>
      <c r="B2082" s="1307" t="s">
        <v>2651</v>
      </c>
      <c r="C2082" s="201" t="s">
        <v>2652</v>
      </c>
      <c r="E2082" s="1310">
        <v>8800000</v>
      </c>
    </row>
    <row r="2083" spans="1:5">
      <c r="A2083" s="1305"/>
      <c r="B2083" s="1307"/>
      <c r="C2083" s="201"/>
      <c r="E2083" s="1310"/>
    </row>
    <row r="2084" spans="1:5">
      <c r="A2084" s="1305" t="s">
        <v>1703</v>
      </c>
      <c r="B2084" s="1307" t="s">
        <v>2653</v>
      </c>
      <c r="C2084" s="201" t="s">
        <v>2652</v>
      </c>
      <c r="E2084" s="1310">
        <v>8800000</v>
      </c>
    </row>
    <row r="2085" spans="1:5">
      <c r="A2085" s="1305"/>
      <c r="B2085" s="1307"/>
      <c r="C2085" s="201"/>
      <c r="E2085" s="1310"/>
    </row>
    <row r="2086" spans="1:5">
      <c r="A2086" s="1305"/>
      <c r="B2086" s="1306" t="s">
        <v>3329</v>
      </c>
      <c r="C2086" s="201"/>
      <c r="E2086" s="1310"/>
    </row>
    <row r="2087" spans="1:5">
      <c r="A2087" s="1305"/>
      <c r="B2087" s="1307"/>
      <c r="C2087" s="201"/>
      <c r="E2087" s="1310"/>
    </row>
    <row r="2088" spans="1:5" ht="45">
      <c r="A2088" s="1305" t="s">
        <v>1706</v>
      </c>
      <c r="B2088" s="1307" t="s">
        <v>3330</v>
      </c>
      <c r="C2088" s="201" t="s">
        <v>608</v>
      </c>
      <c r="E2088" s="1310">
        <v>3000000</v>
      </c>
    </row>
    <row r="2089" spans="1:5">
      <c r="A2089" s="1305"/>
      <c r="B2089" s="1307"/>
      <c r="C2089" s="201"/>
      <c r="E2089" s="1310"/>
    </row>
    <row r="2090" spans="1:5">
      <c r="A2090" s="1305" t="s">
        <v>1708</v>
      </c>
      <c r="B2090" s="1307" t="s">
        <v>2651</v>
      </c>
      <c r="C2090" s="201" t="s">
        <v>2652</v>
      </c>
      <c r="E2090" s="1310">
        <v>3000000</v>
      </c>
    </row>
    <row r="2091" spans="1:5">
      <c r="A2091" s="1305"/>
      <c r="B2091" s="1307"/>
      <c r="C2091" s="201"/>
      <c r="E2091" s="1310"/>
    </row>
    <row r="2092" spans="1:5">
      <c r="A2092" s="1305" t="s">
        <v>1710</v>
      </c>
      <c r="B2092" s="1307" t="s">
        <v>2653</v>
      </c>
      <c r="C2092" s="201" t="s">
        <v>2652</v>
      </c>
      <c r="E2092" s="1310">
        <v>3000000</v>
      </c>
    </row>
    <row r="2093" spans="1:5">
      <c r="A2093" s="1305"/>
      <c r="B2093" s="1307"/>
      <c r="C2093" s="201"/>
      <c r="E2093" s="1310"/>
    </row>
    <row r="2094" spans="1:5">
      <c r="A2094" s="1305"/>
      <c r="B2094" s="1306" t="s">
        <v>3331</v>
      </c>
      <c r="C2094" s="201"/>
      <c r="E2094" s="1310"/>
    </row>
    <row r="2095" spans="1:5">
      <c r="A2095" s="1305"/>
      <c r="B2095" s="1307"/>
      <c r="C2095" s="201"/>
      <c r="E2095" s="1310"/>
    </row>
    <row r="2096" spans="1:5" ht="45">
      <c r="A2096" s="1305" t="s">
        <v>1712</v>
      </c>
      <c r="B2096" s="1307" t="s">
        <v>3332</v>
      </c>
      <c r="C2096" s="201" t="s">
        <v>608</v>
      </c>
      <c r="E2096" s="1310">
        <v>360000</v>
      </c>
    </row>
    <row r="2097" spans="1:5">
      <c r="A2097" s="1305"/>
      <c r="B2097" s="1307"/>
      <c r="C2097" s="201"/>
      <c r="E2097" s="1310"/>
    </row>
    <row r="2098" spans="1:5">
      <c r="A2098" s="1305" t="s">
        <v>1834</v>
      </c>
      <c r="B2098" s="1307" t="s">
        <v>2651</v>
      </c>
      <c r="C2098" s="201" t="s">
        <v>2652</v>
      </c>
      <c r="E2098" s="1310">
        <v>360000</v>
      </c>
    </row>
    <row r="2099" spans="1:5">
      <c r="A2099" s="1305"/>
      <c r="B2099" s="1307"/>
      <c r="C2099" s="201"/>
      <c r="E2099" s="1310"/>
    </row>
    <row r="2100" spans="1:5">
      <c r="A2100" s="1305" t="s">
        <v>1836</v>
      </c>
      <c r="B2100" s="1307" t="s">
        <v>2653</v>
      </c>
      <c r="C2100" s="201" t="s">
        <v>2652</v>
      </c>
      <c r="E2100" s="1310">
        <v>360000</v>
      </c>
    </row>
    <row r="2101" spans="1:5">
      <c r="A2101" s="1305"/>
      <c r="B2101" s="1307"/>
      <c r="C2101" s="201"/>
      <c r="E2101" s="1310"/>
    </row>
    <row r="2102" spans="1:5">
      <c r="A2102" s="1305"/>
      <c r="B2102" s="1306" t="s">
        <v>3333</v>
      </c>
      <c r="C2102" s="201"/>
      <c r="E2102" s="1310"/>
    </row>
    <row r="2103" spans="1:5">
      <c r="A2103" s="1305"/>
      <c r="B2103" s="1307"/>
      <c r="C2103" s="201"/>
      <c r="E2103" s="1310"/>
    </row>
    <row r="2104" spans="1:5" ht="45">
      <c r="A2104" s="1305" t="s">
        <v>1686</v>
      </c>
      <c r="B2104" s="1307" t="s">
        <v>3334</v>
      </c>
      <c r="C2104" s="201" t="s">
        <v>608</v>
      </c>
      <c r="E2104" s="1310">
        <v>3800000</v>
      </c>
    </row>
    <row r="2105" spans="1:5">
      <c r="A2105" s="1305"/>
      <c r="B2105" s="1307"/>
      <c r="C2105" s="201"/>
      <c r="E2105" s="1310"/>
    </row>
    <row r="2106" spans="1:5">
      <c r="A2106" s="1305" t="s">
        <v>1688</v>
      </c>
      <c r="B2106" s="1307" t="s">
        <v>2651</v>
      </c>
      <c r="C2106" s="201" t="s">
        <v>2652</v>
      </c>
      <c r="E2106" s="1310">
        <v>3800000</v>
      </c>
    </row>
    <row r="2107" spans="1:5">
      <c r="A2107" s="1305"/>
      <c r="B2107" s="1307"/>
      <c r="C2107" s="201"/>
      <c r="E2107" s="1310"/>
    </row>
    <row r="2108" spans="1:5">
      <c r="A2108" s="1305" t="s">
        <v>1691</v>
      </c>
      <c r="B2108" s="1307" t="s">
        <v>2653</v>
      </c>
      <c r="C2108" s="201" t="s">
        <v>2652</v>
      </c>
      <c r="E2108" s="1310">
        <v>3800000</v>
      </c>
    </row>
    <row r="2109" spans="1:5">
      <c r="A2109" s="1305"/>
      <c r="B2109" s="1307"/>
      <c r="C2109" s="201"/>
      <c r="E2109" s="1310"/>
    </row>
    <row r="2110" spans="1:5">
      <c r="A2110" s="1305"/>
      <c r="B2110" s="1306" t="s">
        <v>3335</v>
      </c>
      <c r="C2110" s="201"/>
      <c r="E2110" s="1310"/>
    </row>
    <row r="2111" spans="1:5">
      <c r="A2111" s="1305"/>
      <c r="B2111" s="1307"/>
      <c r="C2111" s="201"/>
      <c r="E2111" s="1310"/>
    </row>
    <row r="2112" spans="1:5" ht="45">
      <c r="A2112" s="1305" t="s">
        <v>1693</v>
      </c>
      <c r="B2112" s="1307" t="s">
        <v>3336</v>
      </c>
      <c r="C2112" s="201" t="s">
        <v>608</v>
      </c>
      <c r="E2112" s="1310">
        <v>5000000</v>
      </c>
    </row>
    <row r="2113" spans="1:5">
      <c r="A2113" s="1305"/>
      <c r="B2113" s="1307"/>
      <c r="C2113" s="201"/>
      <c r="E2113" s="1310"/>
    </row>
    <row r="2114" spans="1:5">
      <c r="A2114" s="1305" t="s">
        <v>1695</v>
      </c>
      <c r="B2114" s="1307" t="s">
        <v>2651</v>
      </c>
      <c r="C2114" s="201" t="s">
        <v>2652</v>
      </c>
      <c r="E2114" s="1310">
        <v>5000000</v>
      </c>
    </row>
    <row r="2115" spans="1:5">
      <c r="A2115" s="1305"/>
      <c r="B2115" s="1307"/>
      <c r="C2115" s="201"/>
      <c r="E2115" s="1310"/>
    </row>
    <row r="2116" spans="1:5">
      <c r="A2116" s="1305" t="s">
        <v>1697</v>
      </c>
      <c r="B2116" s="1307" t="s">
        <v>2653</v>
      </c>
      <c r="C2116" s="201" t="s">
        <v>2652</v>
      </c>
      <c r="E2116" s="1310">
        <v>5000000</v>
      </c>
    </row>
    <row r="2117" spans="1:5">
      <c r="A2117" s="1305"/>
      <c r="B2117" s="1307"/>
      <c r="C2117" s="201"/>
      <c r="E2117" s="1310"/>
    </row>
    <row r="2118" spans="1:5">
      <c r="A2118" s="1305"/>
      <c r="B2118" s="1306" t="s">
        <v>3337</v>
      </c>
      <c r="C2118" s="201"/>
      <c r="E2118" s="1310"/>
    </row>
    <row r="2119" spans="1:5">
      <c r="A2119" s="1305"/>
      <c r="B2119" s="1307"/>
      <c r="C2119" s="201"/>
      <c r="E2119" s="1310"/>
    </row>
    <row r="2120" spans="1:5" ht="45">
      <c r="A2120" s="1305" t="s">
        <v>1699</v>
      </c>
      <c r="B2120" s="1307" t="s">
        <v>3338</v>
      </c>
      <c r="C2120" s="201" t="s">
        <v>608</v>
      </c>
      <c r="E2120" s="1310">
        <v>1350000</v>
      </c>
    </row>
    <row r="2121" spans="1:5">
      <c r="A2121" s="1305"/>
      <c r="B2121" s="1307"/>
      <c r="C2121" s="201"/>
      <c r="E2121" s="1310"/>
    </row>
    <row r="2122" spans="1:5">
      <c r="A2122" s="1305" t="s">
        <v>1701</v>
      </c>
      <c r="B2122" s="1307" t="s">
        <v>2651</v>
      </c>
      <c r="C2122" s="201" t="s">
        <v>2652</v>
      </c>
      <c r="E2122" s="1310">
        <v>1350000</v>
      </c>
    </row>
    <row r="2123" spans="1:5">
      <c r="A2123" s="1305"/>
      <c r="B2123" s="1307"/>
      <c r="C2123" s="201"/>
      <c r="E2123" s="1310"/>
    </row>
    <row r="2124" spans="1:5">
      <c r="A2124" s="1305" t="s">
        <v>1703</v>
      </c>
      <c r="B2124" s="1307" t="s">
        <v>2653</v>
      </c>
      <c r="C2124" s="201" t="s">
        <v>2652</v>
      </c>
      <c r="E2124" s="1310">
        <v>1350000</v>
      </c>
    </row>
    <row r="2125" spans="1:5">
      <c r="A2125" s="1305"/>
      <c r="B2125" s="1307"/>
      <c r="C2125" s="201"/>
      <c r="E2125" s="1310"/>
    </row>
    <row r="2126" spans="1:5">
      <c r="A2126" s="1305"/>
      <c r="B2126" s="1306" t="s">
        <v>3339</v>
      </c>
      <c r="C2126" s="201"/>
      <c r="E2126" s="1310"/>
    </row>
    <row r="2127" spans="1:5">
      <c r="A2127" s="1305"/>
      <c r="B2127" s="1307"/>
      <c r="C2127" s="201"/>
      <c r="E2127" s="1310"/>
    </row>
    <row r="2128" spans="1:5" ht="45">
      <c r="A2128" s="1305" t="s">
        <v>1706</v>
      </c>
      <c r="B2128" s="1307" t="s">
        <v>3340</v>
      </c>
      <c r="C2128" s="201" t="s">
        <v>608</v>
      </c>
      <c r="E2128" s="1310">
        <v>3200000</v>
      </c>
    </row>
    <row r="2129" spans="1:5">
      <c r="A2129" s="1305"/>
      <c r="B2129" s="1307"/>
      <c r="C2129" s="201"/>
      <c r="E2129" s="1310"/>
    </row>
    <row r="2130" spans="1:5">
      <c r="A2130" s="1305" t="s">
        <v>1708</v>
      </c>
      <c r="B2130" s="1307" t="s">
        <v>2651</v>
      </c>
      <c r="C2130" s="201" t="s">
        <v>2652</v>
      </c>
      <c r="E2130" s="1310">
        <v>3200000</v>
      </c>
    </row>
    <row r="2131" spans="1:5">
      <c r="A2131" s="1305"/>
      <c r="B2131" s="1307"/>
      <c r="C2131" s="201"/>
      <c r="E2131" s="1310"/>
    </row>
    <row r="2132" spans="1:5">
      <c r="A2132" s="1305" t="s">
        <v>1710</v>
      </c>
      <c r="B2132" s="1307" t="s">
        <v>2653</v>
      </c>
      <c r="C2132" s="201" t="s">
        <v>2652</v>
      </c>
      <c r="E2132" s="1310">
        <v>3200000</v>
      </c>
    </row>
    <row r="2133" spans="1:5">
      <c r="A2133" s="1305"/>
      <c r="B2133" s="1307"/>
      <c r="C2133" s="201"/>
      <c r="E2133" s="1310"/>
    </row>
    <row r="2134" spans="1:5" ht="26.25">
      <c r="A2134" s="1305"/>
      <c r="B2134" s="1306" t="s">
        <v>3341</v>
      </c>
      <c r="C2134" s="201"/>
      <c r="E2134" s="1310"/>
    </row>
    <row r="2135" spans="1:5">
      <c r="A2135" s="1305"/>
      <c r="B2135" s="1307"/>
      <c r="C2135" s="201"/>
      <c r="E2135" s="1310"/>
    </row>
    <row r="2136" spans="1:5" ht="60">
      <c r="A2136" s="1305" t="s">
        <v>1686</v>
      </c>
      <c r="B2136" s="1307" t="s">
        <v>3342</v>
      </c>
      <c r="C2136" s="201" t="s">
        <v>608</v>
      </c>
      <c r="E2136" s="1310">
        <v>155000000</v>
      </c>
    </row>
    <row r="2137" spans="1:5">
      <c r="A2137" s="1305"/>
      <c r="B2137" s="1307"/>
      <c r="C2137" s="201"/>
      <c r="E2137" s="1310"/>
    </row>
    <row r="2138" spans="1:5">
      <c r="A2138" s="1305" t="s">
        <v>1688</v>
      </c>
      <c r="B2138" s="1307" t="s">
        <v>2651</v>
      </c>
      <c r="C2138" s="201" t="s">
        <v>2652</v>
      </c>
      <c r="E2138" s="1310">
        <v>155000000</v>
      </c>
    </row>
    <row r="2139" spans="1:5">
      <c r="A2139" s="1305"/>
      <c r="B2139" s="1307"/>
      <c r="C2139" s="201"/>
      <c r="E2139" s="1310"/>
    </row>
    <row r="2140" spans="1:5">
      <c r="A2140" s="1305" t="s">
        <v>1691</v>
      </c>
      <c r="B2140" s="1307" t="s">
        <v>2653</v>
      </c>
      <c r="C2140" s="201" t="s">
        <v>2652</v>
      </c>
      <c r="E2140" s="1310">
        <v>155000000</v>
      </c>
    </row>
    <row r="2141" spans="1:5">
      <c r="A2141" s="1305"/>
      <c r="B2141" s="1307"/>
      <c r="C2141" s="201"/>
      <c r="E2141" s="1310"/>
    </row>
    <row r="2142" spans="1:5">
      <c r="A2142" s="1305"/>
      <c r="B2142" s="1306" t="s">
        <v>3343</v>
      </c>
      <c r="C2142" s="201"/>
      <c r="E2142" s="1310"/>
    </row>
    <row r="2143" spans="1:5">
      <c r="A2143" s="1305"/>
      <c r="B2143" s="1307"/>
      <c r="C2143" s="201"/>
      <c r="E2143" s="1310"/>
    </row>
    <row r="2144" spans="1:5" ht="45">
      <c r="A2144" s="1305" t="s">
        <v>1693</v>
      </c>
      <c r="B2144" s="1307" t="s">
        <v>3344</v>
      </c>
      <c r="C2144" s="201" t="s">
        <v>608</v>
      </c>
      <c r="E2144" s="1310">
        <v>49000000</v>
      </c>
    </row>
    <row r="2145" spans="1:5">
      <c r="A2145" s="1305"/>
      <c r="B2145" s="1307"/>
      <c r="C2145" s="201"/>
      <c r="E2145" s="1310"/>
    </row>
    <row r="2146" spans="1:5">
      <c r="A2146" s="1305" t="s">
        <v>1695</v>
      </c>
      <c r="B2146" s="1307" t="s">
        <v>2651</v>
      </c>
      <c r="C2146" s="201" t="s">
        <v>2652</v>
      </c>
      <c r="E2146" s="1310">
        <v>49000000</v>
      </c>
    </row>
    <row r="2147" spans="1:5">
      <c r="A2147" s="1305"/>
      <c r="B2147" s="1307"/>
      <c r="C2147" s="201"/>
      <c r="E2147" s="1310"/>
    </row>
    <row r="2148" spans="1:5">
      <c r="A2148" s="1305" t="s">
        <v>1697</v>
      </c>
      <c r="B2148" s="1307" t="s">
        <v>2653</v>
      </c>
      <c r="C2148" s="201" t="s">
        <v>2652</v>
      </c>
      <c r="E2148" s="1310">
        <v>49000000</v>
      </c>
    </row>
    <row r="2149" spans="1:5">
      <c r="A2149" s="1305"/>
      <c r="B2149" s="1307"/>
      <c r="C2149" s="201"/>
      <c r="E2149" s="1310"/>
    </row>
    <row r="2150" spans="1:5" ht="26.25">
      <c r="A2150" s="1305"/>
      <c r="B2150" s="1306" t="s">
        <v>3345</v>
      </c>
      <c r="C2150" s="201"/>
      <c r="E2150" s="1310"/>
    </row>
    <row r="2151" spans="1:5">
      <c r="A2151" s="1305"/>
      <c r="B2151" s="1307"/>
      <c r="C2151" s="201"/>
      <c r="E2151" s="1310"/>
    </row>
    <row r="2152" spans="1:5" ht="60">
      <c r="A2152" s="1305" t="s">
        <v>1699</v>
      </c>
      <c r="B2152" s="1307" t="s">
        <v>3346</v>
      </c>
      <c r="C2152" s="201" t="s">
        <v>608</v>
      </c>
      <c r="E2152" s="1310">
        <v>22300000</v>
      </c>
    </row>
    <row r="2153" spans="1:5">
      <c r="A2153" s="1305"/>
      <c r="B2153" s="1307"/>
      <c r="C2153" s="201"/>
      <c r="E2153" s="1310"/>
    </row>
    <row r="2154" spans="1:5">
      <c r="A2154" s="1305" t="s">
        <v>1701</v>
      </c>
      <c r="B2154" s="1307" t="s">
        <v>2651</v>
      </c>
      <c r="C2154" s="201" t="s">
        <v>2652</v>
      </c>
      <c r="E2154" s="1310">
        <v>22300000</v>
      </c>
    </row>
    <row r="2155" spans="1:5">
      <c r="A2155" s="1305"/>
      <c r="B2155" s="1307"/>
      <c r="C2155" s="201"/>
      <c r="E2155" s="1310"/>
    </row>
    <row r="2156" spans="1:5">
      <c r="A2156" s="1305" t="s">
        <v>1703</v>
      </c>
      <c r="B2156" s="1307" t="s">
        <v>2653</v>
      </c>
      <c r="C2156" s="201" t="s">
        <v>2652</v>
      </c>
      <c r="E2156" s="1310">
        <v>22300000</v>
      </c>
    </row>
    <row r="2157" spans="1:5">
      <c r="A2157" s="1305"/>
      <c r="B2157" s="1307"/>
      <c r="C2157" s="201"/>
      <c r="E2157" s="1310"/>
    </row>
    <row r="2158" spans="1:5">
      <c r="A2158" s="1305"/>
      <c r="B2158" s="1306" t="s">
        <v>3347</v>
      </c>
      <c r="C2158" s="201"/>
      <c r="E2158" s="1310"/>
    </row>
    <row r="2159" spans="1:5">
      <c r="A2159" s="1305"/>
      <c r="B2159" s="1307"/>
      <c r="C2159" s="201"/>
      <c r="E2159" s="1310"/>
    </row>
    <row r="2160" spans="1:5" ht="45">
      <c r="A2160" s="1305" t="s">
        <v>1706</v>
      </c>
      <c r="B2160" s="1307" t="s">
        <v>3348</v>
      </c>
      <c r="C2160" s="201" t="s">
        <v>608</v>
      </c>
      <c r="E2160" s="1310">
        <v>102950000</v>
      </c>
    </row>
    <row r="2161" spans="1:5">
      <c r="A2161" s="1305"/>
      <c r="B2161" s="1307"/>
      <c r="C2161" s="201"/>
      <c r="E2161" s="1310"/>
    </row>
    <row r="2162" spans="1:5">
      <c r="A2162" s="1305" t="s">
        <v>1708</v>
      </c>
      <c r="B2162" s="1307" t="s">
        <v>2651</v>
      </c>
      <c r="C2162" s="201" t="s">
        <v>2652</v>
      </c>
      <c r="E2162" s="1310">
        <v>102950000</v>
      </c>
    </row>
    <row r="2163" spans="1:5">
      <c r="A2163" s="1305"/>
      <c r="B2163" s="1307"/>
      <c r="C2163" s="201"/>
      <c r="E2163" s="1310"/>
    </row>
    <row r="2164" spans="1:5">
      <c r="A2164" s="1305" t="s">
        <v>1710</v>
      </c>
      <c r="B2164" s="1307" t="s">
        <v>2653</v>
      </c>
      <c r="C2164" s="201" t="s">
        <v>2652</v>
      </c>
      <c r="E2164" s="1310">
        <v>102950000</v>
      </c>
    </row>
  </sheetData>
  <autoFilter ref="A6:E6" xr:uid="{A072E96C-994F-4BEB-A77F-11801F50CA82}"/>
  <mergeCells count="2">
    <mergeCell ref="C2:E2"/>
    <mergeCell ref="B3:B4"/>
  </mergeCells>
  <printOptions horizontalCentered="1" verticalCentered="1"/>
  <pageMargins left="0.70866141732283472" right="0.70866141732283472" top="0.74803149606299213" bottom="0.74803149606299213" header="0.31496062992125984" footer="0.31496062992125984"/>
  <pageSetup scale="10" orientation="portrait" r:id="rId1"/>
  <headerFooter>
    <oddHeader>&amp;C&amp;"Calibri"&amp;10&amp;K000000Confidential&amp;1#</oddHeader>
    <oddFooter>&amp;R&amp;1#&amp;"Calibri"&amp;10&amp;K000000Confidential</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tabColor theme="5" tint="0.39997558519241921"/>
  </sheetPr>
  <dimension ref="B1:L141"/>
  <sheetViews>
    <sheetView view="pageBreakPreview" topLeftCell="A25" zoomScale="80" zoomScaleNormal="80" zoomScaleSheetLayoutView="80" workbookViewId="0">
      <selection activeCell="K57" sqref="K57"/>
    </sheetView>
  </sheetViews>
  <sheetFormatPr defaultColWidth="9.140625" defaultRowHeight="12.75"/>
  <cols>
    <col min="1" max="1" width="3.5703125" style="706" customWidth="1"/>
    <col min="2" max="2" width="5.28515625" style="706" customWidth="1"/>
    <col min="3" max="3" width="46.5703125" style="706" customWidth="1"/>
    <col min="4" max="7" width="7.42578125" style="706" customWidth="1"/>
    <col min="8" max="8" width="13.42578125" style="706" customWidth="1"/>
    <col min="9" max="9" width="9.140625" style="706"/>
    <col min="10" max="10" width="21.7109375" style="706" customWidth="1"/>
    <col min="11" max="11" width="15.85546875" style="706" customWidth="1"/>
    <col min="12" max="12" width="20.85546875" style="706" customWidth="1"/>
    <col min="13" max="16384" width="9.140625" style="706"/>
  </cols>
  <sheetData>
    <row r="1" spans="2:11" ht="43.15" customHeight="1">
      <c r="J1" s="1633" t="s">
        <v>270</v>
      </c>
      <c r="K1" s="1634"/>
    </row>
    <row r="2" spans="2:11" ht="25.5">
      <c r="B2" s="710"/>
      <c r="C2" s="711" t="s">
        <v>194</v>
      </c>
      <c r="D2" s="711"/>
      <c r="E2" s="711"/>
      <c r="F2" s="711"/>
      <c r="G2" s="711"/>
      <c r="H2" s="711"/>
      <c r="I2" s="711" t="s">
        <v>195</v>
      </c>
      <c r="J2" s="718" t="s">
        <v>3466</v>
      </c>
      <c r="K2" s="712"/>
    </row>
    <row r="3" spans="2:11" ht="15">
      <c r="B3" s="932"/>
      <c r="C3" s="933"/>
      <c r="D3" s="941" t="s">
        <v>302</v>
      </c>
      <c r="E3" s="941" t="s">
        <v>303</v>
      </c>
      <c r="F3" s="941" t="s">
        <v>304</v>
      </c>
      <c r="G3" s="941" t="s">
        <v>305</v>
      </c>
      <c r="H3" s="952" t="s">
        <v>306</v>
      </c>
      <c r="I3" s="933"/>
      <c r="J3" s="934"/>
      <c r="K3" s="935"/>
    </row>
    <row r="4" spans="2:11" ht="14.25">
      <c r="B4" s="1584" t="s">
        <v>1187</v>
      </c>
      <c r="C4" s="1585"/>
      <c r="D4" s="719"/>
      <c r="E4" s="719"/>
      <c r="F4" s="719"/>
      <c r="G4" s="719"/>
      <c r="H4" s="719"/>
      <c r="I4" s="938"/>
      <c r="J4" s="976">
        <f>SUM(J5:J15)</f>
        <v>6576.62</v>
      </c>
      <c r="K4" s="790" t="s">
        <v>1180</v>
      </c>
    </row>
    <row r="5" spans="2:11" ht="15">
      <c r="B5" s="942"/>
      <c r="C5" s="963" t="s">
        <v>318</v>
      </c>
      <c r="D5" s="944">
        <v>1</v>
      </c>
      <c r="E5" s="945">
        <v>1</v>
      </c>
      <c r="F5" s="945">
        <v>1</v>
      </c>
      <c r="G5" s="954">
        <v>1</v>
      </c>
      <c r="H5" s="960">
        <v>32</v>
      </c>
      <c r="I5" s="768" t="s">
        <v>1096</v>
      </c>
      <c r="J5" s="620">
        <f>H5*G5*F5*E5*D5</f>
        <v>32</v>
      </c>
      <c r="K5" s="940"/>
    </row>
    <row r="6" spans="2:11" ht="17.25">
      <c r="B6" s="736"/>
      <c r="C6" s="963" t="s">
        <v>320</v>
      </c>
      <c r="D6" s="946">
        <v>1</v>
      </c>
      <c r="E6" s="947">
        <v>1</v>
      </c>
      <c r="F6" s="947">
        <v>1</v>
      </c>
      <c r="G6" s="956">
        <v>8.5000000000000006E-2</v>
      </c>
      <c r="H6" s="961">
        <v>265</v>
      </c>
      <c r="I6" s="959" t="s">
        <v>1178</v>
      </c>
      <c r="J6" s="626">
        <f>H6*G6*F6*E6*D6</f>
        <v>22.525000000000002</v>
      </c>
      <c r="K6" s="940"/>
    </row>
    <row r="7" spans="2:11" ht="15">
      <c r="B7" s="736"/>
      <c r="C7" s="963" t="s">
        <v>321</v>
      </c>
      <c r="D7" s="946">
        <v>1</v>
      </c>
      <c r="E7" s="947">
        <v>1</v>
      </c>
      <c r="F7" s="947">
        <v>1</v>
      </c>
      <c r="G7" s="955">
        <v>1</v>
      </c>
      <c r="H7" s="961">
        <v>15</v>
      </c>
      <c r="I7" s="738" t="s">
        <v>1096</v>
      </c>
      <c r="J7" s="626">
        <f t="shared" ref="J7:J13" si="0">H7*G7*F7*E7*D7</f>
        <v>15</v>
      </c>
      <c r="K7" s="940"/>
    </row>
    <row r="8" spans="2:11" ht="17.25">
      <c r="B8" s="736"/>
      <c r="C8" s="963" t="s">
        <v>323</v>
      </c>
      <c r="D8" s="946">
        <v>1</v>
      </c>
      <c r="E8" s="947">
        <v>1</v>
      </c>
      <c r="F8" s="947">
        <v>1</v>
      </c>
      <c r="G8" s="956">
        <v>8.5000000000000006E-2</v>
      </c>
      <c r="H8" s="961">
        <v>1763</v>
      </c>
      <c r="I8" s="959" t="s">
        <v>1178</v>
      </c>
      <c r="J8" s="626">
        <f t="shared" si="0"/>
        <v>149.85500000000002</v>
      </c>
      <c r="K8" s="940"/>
    </row>
    <row r="9" spans="2:11" ht="15">
      <c r="B9" s="736"/>
      <c r="C9" s="963" t="s">
        <v>324</v>
      </c>
      <c r="D9" s="946">
        <v>1</v>
      </c>
      <c r="E9" s="947">
        <v>1</v>
      </c>
      <c r="F9" s="947">
        <v>1</v>
      </c>
      <c r="G9" s="955">
        <v>1</v>
      </c>
      <c r="H9" s="961">
        <v>35</v>
      </c>
      <c r="I9" s="738" t="s">
        <v>1096</v>
      </c>
      <c r="J9" s="626">
        <f t="shared" si="0"/>
        <v>35</v>
      </c>
      <c r="K9" s="940"/>
    </row>
    <row r="10" spans="2:11" ht="15">
      <c r="B10" s="736"/>
      <c r="C10" s="963" t="s">
        <v>325</v>
      </c>
      <c r="D10" s="946">
        <v>1</v>
      </c>
      <c r="E10" s="947">
        <v>1</v>
      </c>
      <c r="F10" s="947">
        <v>1</v>
      </c>
      <c r="G10" s="955">
        <v>1</v>
      </c>
      <c r="H10" s="961">
        <v>60</v>
      </c>
      <c r="I10" s="738" t="s">
        <v>1096</v>
      </c>
      <c r="J10" s="626">
        <f t="shared" si="0"/>
        <v>60</v>
      </c>
      <c r="K10" s="940"/>
    </row>
    <row r="11" spans="2:11" ht="15">
      <c r="B11" s="736"/>
      <c r="C11" s="963" t="s">
        <v>326</v>
      </c>
      <c r="D11" s="946">
        <v>1</v>
      </c>
      <c r="E11" s="947">
        <v>1</v>
      </c>
      <c r="F11" s="947">
        <v>1</v>
      </c>
      <c r="G11" s="955">
        <v>1</v>
      </c>
      <c r="H11" s="961">
        <v>64</v>
      </c>
      <c r="I11" s="738" t="s">
        <v>215</v>
      </c>
      <c r="J11" s="626">
        <f t="shared" si="0"/>
        <v>64</v>
      </c>
      <c r="K11" s="940"/>
    </row>
    <row r="12" spans="2:11" ht="15">
      <c r="B12" s="736"/>
      <c r="C12" s="963" t="s">
        <v>328</v>
      </c>
      <c r="D12" s="946">
        <v>1</v>
      </c>
      <c r="E12" s="947">
        <v>1</v>
      </c>
      <c r="F12" s="947">
        <v>1</v>
      </c>
      <c r="G12" s="955">
        <v>1</v>
      </c>
      <c r="H12" s="961">
        <v>25</v>
      </c>
      <c r="I12" s="738" t="s">
        <v>215</v>
      </c>
      <c r="J12" s="626">
        <f t="shared" si="0"/>
        <v>25</v>
      </c>
      <c r="K12" s="940"/>
    </row>
    <row r="13" spans="2:11" ht="15">
      <c r="B13" s="736"/>
      <c r="C13" s="963" t="s">
        <v>329</v>
      </c>
      <c r="D13" s="946">
        <v>1</v>
      </c>
      <c r="E13" s="947">
        <v>1</v>
      </c>
      <c r="F13" s="947">
        <v>1</v>
      </c>
      <c r="G13" s="955">
        <v>1</v>
      </c>
      <c r="H13" s="961">
        <v>25</v>
      </c>
      <c r="I13" s="738" t="s">
        <v>215</v>
      </c>
      <c r="J13" s="626">
        <f t="shared" si="0"/>
        <v>25</v>
      </c>
      <c r="K13" s="940"/>
    </row>
    <row r="14" spans="2:11" ht="15">
      <c r="B14" s="736"/>
      <c r="C14" s="963" t="s">
        <v>330</v>
      </c>
      <c r="D14" s="946">
        <v>2</v>
      </c>
      <c r="E14" s="947">
        <v>1</v>
      </c>
      <c r="F14" s="947">
        <v>1</v>
      </c>
      <c r="G14" s="955">
        <v>0.85</v>
      </c>
      <c r="H14" s="961">
        <v>3548</v>
      </c>
      <c r="I14" s="738" t="s">
        <v>1096</v>
      </c>
      <c r="J14" s="626">
        <f t="shared" ref="J14" si="1">H14*G14*F14*E14*D14</f>
        <v>6031.5999999999995</v>
      </c>
      <c r="K14" s="940"/>
    </row>
    <row r="15" spans="2:11" ht="15">
      <c r="B15" s="743"/>
      <c r="C15" s="995" t="s">
        <v>312</v>
      </c>
      <c r="D15" s="949"/>
      <c r="E15" s="950"/>
      <c r="F15" s="950"/>
      <c r="G15" s="957"/>
      <c r="H15" s="996">
        <v>0.02</v>
      </c>
      <c r="I15" s="745" t="s">
        <v>1096</v>
      </c>
      <c r="J15" s="977" cm="1">
        <f t="array" ref="J15">SUM(H5:H14*H15)</f>
        <v>116.64000000000001</v>
      </c>
      <c r="K15" s="951"/>
    </row>
    <row r="16" spans="2:11" ht="10.15" customHeight="1">
      <c r="B16" s="948"/>
      <c r="C16" s="979"/>
      <c r="D16" s="979"/>
      <c r="E16" s="979"/>
      <c r="F16" s="979"/>
      <c r="G16" s="979"/>
      <c r="H16" s="979"/>
      <c r="I16" s="980"/>
      <c r="J16" s="981"/>
      <c r="K16" s="951"/>
    </row>
    <row r="17" spans="2:11" s="787" customFormat="1" ht="14.25">
      <c r="B17" s="987" t="s">
        <v>1184</v>
      </c>
      <c r="C17" s="986"/>
      <c r="D17" s="987"/>
      <c r="E17" s="988"/>
      <c r="F17" s="988"/>
      <c r="G17" s="988"/>
      <c r="H17" s="988"/>
      <c r="I17" s="936"/>
      <c r="J17" s="992">
        <f>SUM(J18:J24)</f>
        <v>865.1</v>
      </c>
      <c r="K17" s="790" t="s">
        <v>1180</v>
      </c>
    </row>
    <row r="18" spans="2:11" ht="15">
      <c r="B18" s="724"/>
      <c r="C18" s="963" t="s">
        <v>1097</v>
      </c>
      <c r="D18" s="982">
        <v>1</v>
      </c>
      <c r="E18" s="953">
        <v>1</v>
      </c>
      <c r="F18" s="953">
        <v>1</v>
      </c>
      <c r="G18" s="983">
        <v>1</v>
      </c>
      <c r="H18" s="984">
        <v>116</v>
      </c>
      <c r="I18" s="726"/>
      <c r="J18" s="969">
        <f t="shared" ref="J18:J23" si="2">H18*G18*F18*E18*D18</f>
        <v>116</v>
      </c>
      <c r="K18" s="974"/>
    </row>
    <row r="19" spans="2:11" ht="15">
      <c r="B19" s="736"/>
      <c r="C19" s="966" t="s">
        <v>308</v>
      </c>
      <c r="D19" s="946">
        <v>1</v>
      </c>
      <c r="E19" s="947">
        <v>1</v>
      </c>
      <c r="F19" s="947">
        <v>1</v>
      </c>
      <c r="G19" s="955">
        <v>1</v>
      </c>
      <c r="H19" s="961">
        <v>40</v>
      </c>
      <c r="I19" s="738"/>
      <c r="J19" s="964">
        <f t="shared" si="2"/>
        <v>40</v>
      </c>
      <c r="K19" s="975"/>
    </row>
    <row r="20" spans="2:11" ht="15">
      <c r="B20" s="736"/>
      <c r="C20" s="966" t="s">
        <v>1185</v>
      </c>
      <c r="D20" s="946">
        <v>1</v>
      </c>
      <c r="E20" s="947">
        <v>1</v>
      </c>
      <c r="F20" s="947">
        <v>1</v>
      </c>
      <c r="G20" s="955">
        <v>0.15</v>
      </c>
      <c r="H20" s="961">
        <v>380</v>
      </c>
      <c r="I20" s="738"/>
      <c r="J20" s="964">
        <f t="shared" si="2"/>
        <v>57</v>
      </c>
      <c r="K20" s="975"/>
    </row>
    <row r="21" spans="2:11" ht="15">
      <c r="B21" s="736"/>
      <c r="C21" s="966" t="s">
        <v>1186</v>
      </c>
      <c r="D21" s="946">
        <v>1</v>
      </c>
      <c r="E21" s="947">
        <v>1</v>
      </c>
      <c r="F21" s="947">
        <v>1</v>
      </c>
      <c r="G21" s="955">
        <v>0.3</v>
      </c>
      <c r="H21" s="961">
        <v>410</v>
      </c>
      <c r="I21" s="738"/>
      <c r="J21" s="964">
        <f t="shared" ref="J21" si="3">H21*G21*F21*E21*D21</f>
        <v>123</v>
      </c>
      <c r="K21" s="975"/>
    </row>
    <row r="22" spans="2:11" ht="15">
      <c r="B22" s="736"/>
      <c r="C22" s="966" t="s">
        <v>309</v>
      </c>
      <c r="D22" s="946">
        <v>130</v>
      </c>
      <c r="E22" s="947">
        <v>1</v>
      </c>
      <c r="F22" s="947">
        <v>1</v>
      </c>
      <c r="G22" s="955">
        <v>0.3</v>
      </c>
      <c r="H22" s="961">
        <v>4</v>
      </c>
      <c r="I22" s="738"/>
      <c r="J22" s="964">
        <f t="shared" si="2"/>
        <v>156</v>
      </c>
      <c r="K22" s="975"/>
    </row>
    <row r="23" spans="2:11" ht="15">
      <c r="B23" s="736"/>
      <c r="C23" s="966" t="s">
        <v>310</v>
      </c>
      <c r="D23" s="946">
        <v>1</v>
      </c>
      <c r="E23" s="947">
        <v>1</v>
      </c>
      <c r="F23" s="947">
        <v>1</v>
      </c>
      <c r="G23" s="955">
        <v>1</v>
      </c>
      <c r="H23" s="961">
        <v>360</v>
      </c>
      <c r="I23" s="738"/>
      <c r="J23" s="964">
        <f t="shared" si="2"/>
        <v>360</v>
      </c>
      <c r="K23" s="975"/>
    </row>
    <row r="24" spans="2:11" ht="15">
      <c r="B24" s="784"/>
      <c r="C24" s="999" t="s">
        <v>312</v>
      </c>
      <c r="D24" s="989"/>
      <c r="E24" s="990"/>
      <c r="F24" s="990"/>
      <c r="G24" s="991"/>
      <c r="H24" s="1000">
        <v>0.01</v>
      </c>
      <c r="I24" s="806"/>
      <c r="J24" s="972" cm="1">
        <f t="array" ref="J24">SUM(H18:H23*H24)</f>
        <v>13.1</v>
      </c>
      <c r="K24" s="973"/>
    </row>
    <row r="25" spans="2:11" ht="15">
      <c r="B25" s="1007"/>
      <c r="C25" s="1001"/>
      <c r="D25" s="1002"/>
      <c r="E25" s="1002"/>
      <c r="F25" s="1002"/>
      <c r="G25" s="1002"/>
      <c r="H25" s="1003"/>
      <c r="I25" s="1004"/>
      <c r="J25" s="1005"/>
      <c r="K25" s="1008"/>
    </row>
    <row r="26" spans="2:11" s="787" customFormat="1" ht="15">
      <c r="B26" s="997" t="s">
        <v>1188</v>
      </c>
      <c r="C26" s="986"/>
      <c r="D26" s="987"/>
      <c r="E26" s="988"/>
      <c r="F26" s="988"/>
      <c r="G26" s="988"/>
      <c r="H26" s="988"/>
      <c r="I26" s="936"/>
      <c r="J26" s="994">
        <f>SUM(J27:J33)</f>
        <v>767.8</v>
      </c>
      <c r="K26" s="790" t="s">
        <v>1180</v>
      </c>
    </row>
    <row r="27" spans="2:11" s="787" customFormat="1" ht="15">
      <c r="B27" s="968"/>
      <c r="C27" s="963" t="s">
        <v>1097</v>
      </c>
      <c r="D27" s="982">
        <v>1</v>
      </c>
      <c r="E27" s="953">
        <v>1</v>
      </c>
      <c r="F27" s="953">
        <v>1</v>
      </c>
      <c r="G27" s="983">
        <v>0.4</v>
      </c>
      <c r="H27" s="984">
        <v>116</v>
      </c>
      <c r="I27" s="726"/>
      <c r="J27" s="969">
        <f t="shared" ref="J27:J32" si="4">H27*G27*F27*E27*D27</f>
        <v>46.400000000000006</v>
      </c>
      <c r="K27" s="993"/>
    </row>
    <row r="28" spans="2:11" s="787" customFormat="1" ht="15">
      <c r="B28" s="971"/>
      <c r="C28" s="966" t="s">
        <v>308</v>
      </c>
      <c r="D28" s="946">
        <v>1</v>
      </c>
      <c r="E28" s="947">
        <v>1</v>
      </c>
      <c r="F28" s="947">
        <v>1</v>
      </c>
      <c r="G28" s="955">
        <v>1</v>
      </c>
      <c r="H28" s="961">
        <v>40</v>
      </c>
      <c r="I28" s="738"/>
      <c r="J28" s="964">
        <f t="shared" si="4"/>
        <v>40</v>
      </c>
      <c r="K28" s="978"/>
    </row>
    <row r="29" spans="2:11" s="787" customFormat="1" ht="15">
      <c r="B29" s="971"/>
      <c r="C29" s="966" t="s">
        <v>1185</v>
      </c>
      <c r="D29" s="946">
        <v>1</v>
      </c>
      <c r="E29" s="947">
        <v>1</v>
      </c>
      <c r="F29" s="947">
        <v>1</v>
      </c>
      <c r="G29" s="955">
        <v>0.15</v>
      </c>
      <c r="H29" s="961">
        <v>380</v>
      </c>
      <c r="I29" s="738"/>
      <c r="J29" s="964">
        <f t="shared" si="4"/>
        <v>57</v>
      </c>
      <c r="K29" s="978"/>
    </row>
    <row r="30" spans="2:11" s="787" customFormat="1" ht="15">
      <c r="B30" s="971"/>
      <c r="C30" s="966" t="s">
        <v>1186</v>
      </c>
      <c r="D30" s="946">
        <v>1</v>
      </c>
      <c r="E30" s="947">
        <v>1</v>
      </c>
      <c r="F30" s="947">
        <v>1</v>
      </c>
      <c r="G30" s="955">
        <v>0.3</v>
      </c>
      <c r="H30" s="961">
        <v>410</v>
      </c>
      <c r="I30" s="738"/>
      <c r="J30" s="964">
        <f t="shared" si="4"/>
        <v>123</v>
      </c>
      <c r="K30" s="978"/>
    </row>
    <row r="31" spans="2:11" s="787" customFormat="1" ht="15">
      <c r="B31" s="971"/>
      <c r="C31" s="966" t="s">
        <v>309</v>
      </c>
      <c r="D31" s="946">
        <v>130</v>
      </c>
      <c r="E31" s="947">
        <v>1</v>
      </c>
      <c r="F31" s="947">
        <v>1</v>
      </c>
      <c r="G31" s="955">
        <v>0.3</v>
      </c>
      <c r="H31" s="961">
        <v>4</v>
      </c>
      <c r="I31" s="738"/>
      <c r="J31" s="964">
        <f t="shared" si="4"/>
        <v>156</v>
      </c>
      <c r="K31" s="978"/>
    </row>
    <row r="32" spans="2:11" s="787" customFormat="1" ht="15">
      <c r="B32" s="971"/>
      <c r="C32" s="966" t="s">
        <v>311</v>
      </c>
      <c r="D32" s="946">
        <v>1</v>
      </c>
      <c r="E32" s="947">
        <v>1</v>
      </c>
      <c r="F32" s="947">
        <v>1</v>
      </c>
      <c r="G32" s="955">
        <v>1</v>
      </c>
      <c r="H32" s="961">
        <v>320</v>
      </c>
      <c r="I32" s="738"/>
      <c r="J32" s="964">
        <f t="shared" si="4"/>
        <v>320</v>
      </c>
      <c r="K32" s="978"/>
    </row>
    <row r="33" spans="2:12" s="787" customFormat="1" ht="15">
      <c r="B33" s="1010"/>
      <c r="C33" s="1011" t="s">
        <v>312</v>
      </c>
      <c r="D33" s="949"/>
      <c r="E33" s="950"/>
      <c r="F33" s="950"/>
      <c r="G33" s="957"/>
      <c r="H33" s="996">
        <v>0.02</v>
      </c>
      <c r="I33" s="745"/>
      <c r="J33" s="965" cm="1">
        <f t="array" ref="J33">SUM(H27:H32*H33)</f>
        <v>25.4</v>
      </c>
      <c r="K33" s="1012"/>
    </row>
    <row r="34" spans="2:12" s="787" customFormat="1" ht="15">
      <c r="B34" s="1013"/>
      <c r="C34" s="1001"/>
      <c r="D34" s="1002"/>
      <c r="E34" s="1002"/>
      <c r="F34" s="1002"/>
      <c r="G34" s="1002"/>
      <c r="H34" s="1003"/>
      <c r="I34" s="1004"/>
      <c r="J34" s="1005"/>
      <c r="K34" s="1014"/>
    </row>
    <row r="35" spans="2:12" s="787" customFormat="1" ht="15">
      <c r="B35" s="997" t="s">
        <v>1223</v>
      </c>
      <c r="C35" s="1015"/>
      <c r="D35" s="1016"/>
      <c r="E35" s="1017"/>
      <c r="F35" s="1017"/>
      <c r="G35" s="1018"/>
      <c r="H35" s="1019"/>
      <c r="I35" s="1020"/>
      <c r="J35" s="994"/>
      <c r="K35" s="790"/>
    </row>
    <row r="36" spans="2:12" s="787" customFormat="1" ht="15">
      <c r="B36" s="968"/>
      <c r="C36" s="963" t="s">
        <v>1189</v>
      </c>
      <c r="D36" s="982">
        <v>1</v>
      </c>
      <c r="E36" s="953">
        <v>1</v>
      </c>
      <c r="F36" s="953">
        <v>1</v>
      </c>
      <c r="G36" s="983">
        <v>1</v>
      </c>
      <c r="H36" s="984">
        <v>116</v>
      </c>
      <c r="I36" s="1021" t="s">
        <v>327</v>
      </c>
      <c r="J36" s="969">
        <f t="shared" ref="J36" si="5">H36*G36*F36*E36*D36</f>
        <v>116</v>
      </c>
      <c r="K36" s="974"/>
    </row>
    <row r="37" spans="2:12" s="787" customFormat="1" ht="15">
      <c r="B37" s="971"/>
      <c r="C37" s="966"/>
      <c r="D37" s="946"/>
      <c r="E37" s="947"/>
      <c r="F37" s="947"/>
      <c r="G37" s="955"/>
      <c r="H37" s="967"/>
      <c r="I37" s="928"/>
      <c r="J37" s="964"/>
      <c r="K37" s="978"/>
    </row>
    <row r="38" spans="2:12" s="787" customFormat="1" ht="15">
      <c r="B38" s="971"/>
      <c r="C38" s="966" t="s">
        <v>1190</v>
      </c>
      <c r="D38" s="946">
        <v>1</v>
      </c>
      <c r="E38" s="947">
        <v>1</v>
      </c>
      <c r="F38" s="947">
        <v>1</v>
      </c>
      <c r="G38" s="955">
        <v>1</v>
      </c>
      <c r="H38" s="961">
        <v>26</v>
      </c>
      <c r="I38" s="928" t="s">
        <v>327</v>
      </c>
      <c r="J38" s="964">
        <f t="shared" ref="J38:J52" si="6">H38*G38*F38*E38*D38</f>
        <v>26</v>
      </c>
      <c r="K38" s="975"/>
      <c r="L38" s="1156"/>
    </row>
    <row r="39" spans="2:12" s="787" customFormat="1" ht="15">
      <c r="B39" s="971"/>
      <c r="C39" s="966" t="s">
        <v>1193</v>
      </c>
      <c r="D39" s="946">
        <v>1</v>
      </c>
      <c r="E39" s="947">
        <v>1</v>
      </c>
      <c r="F39" s="947">
        <v>1</v>
      </c>
      <c r="G39" s="955">
        <v>1</v>
      </c>
      <c r="H39" s="961">
        <v>12</v>
      </c>
      <c r="I39" s="928" t="s">
        <v>327</v>
      </c>
      <c r="J39" s="964">
        <f t="shared" si="6"/>
        <v>12</v>
      </c>
      <c r="K39" s="975"/>
    </row>
    <row r="40" spans="2:12" s="787" customFormat="1" ht="15">
      <c r="B40" s="971"/>
      <c r="C40" s="966" t="s">
        <v>1216</v>
      </c>
      <c r="D40" s="946">
        <v>1</v>
      </c>
      <c r="E40" s="947">
        <v>1</v>
      </c>
      <c r="F40" s="947">
        <v>1</v>
      </c>
      <c r="G40" s="955">
        <v>1</v>
      </c>
      <c r="H40" s="961">
        <v>21</v>
      </c>
      <c r="I40" s="928" t="s">
        <v>327</v>
      </c>
      <c r="J40" s="964">
        <f t="shared" si="6"/>
        <v>21</v>
      </c>
      <c r="K40" s="975"/>
    </row>
    <row r="41" spans="2:12" s="787" customFormat="1" ht="15">
      <c r="B41" s="971"/>
      <c r="C41" s="966" t="s">
        <v>1192</v>
      </c>
      <c r="D41" s="946">
        <v>1</v>
      </c>
      <c r="E41" s="947">
        <v>1</v>
      </c>
      <c r="F41" s="947">
        <v>1</v>
      </c>
      <c r="G41" s="955">
        <v>1</v>
      </c>
      <c r="H41" s="961">
        <v>37</v>
      </c>
      <c r="I41" s="928" t="s">
        <v>327</v>
      </c>
      <c r="J41" s="964">
        <f t="shared" si="6"/>
        <v>37</v>
      </c>
      <c r="K41" s="975"/>
    </row>
    <row r="42" spans="2:12" s="787" customFormat="1" ht="15">
      <c r="B42" s="971"/>
      <c r="C42" s="966" t="s">
        <v>1191</v>
      </c>
      <c r="D42" s="946">
        <v>1</v>
      </c>
      <c r="E42" s="947">
        <v>1</v>
      </c>
      <c r="F42" s="947">
        <v>1</v>
      </c>
      <c r="G42" s="955">
        <v>1</v>
      </c>
      <c r="H42" s="961">
        <v>80</v>
      </c>
      <c r="I42" s="928" t="s">
        <v>327</v>
      </c>
      <c r="J42" s="964">
        <f t="shared" si="6"/>
        <v>80</v>
      </c>
      <c r="K42" s="975"/>
    </row>
    <row r="43" spans="2:12" s="787" customFormat="1" ht="15">
      <c r="B43" s="971"/>
      <c r="C43" s="966" t="s">
        <v>1194</v>
      </c>
      <c r="D43" s="946">
        <v>1</v>
      </c>
      <c r="E43" s="947">
        <v>1</v>
      </c>
      <c r="F43" s="947">
        <v>1</v>
      </c>
      <c r="G43" s="955">
        <v>1</v>
      </c>
      <c r="H43" s="961">
        <v>250</v>
      </c>
      <c r="I43" s="928" t="s">
        <v>327</v>
      </c>
      <c r="J43" s="964">
        <f t="shared" si="6"/>
        <v>250</v>
      </c>
      <c r="K43" s="975"/>
    </row>
    <row r="44" spans="2:12" s="787" customFormat="1" ht="15">
      <c r="B44" s="971"/>
      <c r="C44" s="966"/>
      <c r="D44" s="946"/>
      <c r="E44" s="947"/>
      <c r="F44" s="947"/>
      <c r="G44" s="955"/>
      <c r="H44" s="967"/>
      <c r="I44" s="928"/>
      <c r="J44" s="964"/>
      <c r="K44" s="978"/>
    </row>
    <row r="45" spans="2:12" s="787" customFormat="1" ht="15">
      <c r="B45" s="971"/>
      <c r="C45" s="966" t="s">
        <v>1190</v>
      </c>
      <c r="D45" s="946">
        <v>1</v>
      </c>
      <c r="E45" s="947">
        <v>1</v>
      </c>
      <c r="F45" s="947">
        <v>1</v>
      </c>
      <c r="G45" s="955">
        <v>1</v>
      </c>
      <c r="H45" s="961">
        <v>3600</v>
      </c>
      <c r="I45" s="928" t="s">
        <v>1198</v>
      </c>
      <c r="J45" s="964">
        <f t="shared" ref="J45:J50" si="7">H45*G45*F45*E45*D45</f>
        <v>3600</v>
      </c>
      <c r="K45" s="975"/>
    </row>
    <row r="46" spans="2:12" s="787" customFormat="1" ht="15">
      <c r="B46" s="971"/>
      <c r="C46" s="966" t="s">
        <v>1193</v>
      </c>
      <c r="D46" s="946">
        <v>1</v>
      </c>
      <c r="E46" s="947">
        <v>1</v>
      </c>
      <c r="F46" s="947">
        <v>1</v>
      </c>
      <c r="G46" s="955">
        <v>1</v>
      </c>
      <c r="H46" s="961">
        <v>8000</v>
      </c>
      <c r="I46" s="928" t="s">
        <v>1198</v>
      </c>
      <c r="J46" s="964">
        <f t="shared" si="7"/>
        <v>8000</v>
      </c>
      <c r="K46" s="975"/>
      <c r="L46" s="1156"/>
    </row>
    <row r="47" spans="2:12" s="787" customFormat="1" ht="15">
      <c r="B47" s="971"/>
      <c r="C47" s="966" t="s">
        <v>1216</v>
      </c>
      <c r="D47" s="946">
        <v>1</v>
      </c>
      <c r="E47" s="947">
        <v>1</v>
      </c>
      <c r="F47" s="947">
        <v>1</v>
      </c>
      <c r="G47" s="955">
        <v>1</v>
      </c>
      <c r="H47" s="961">
        <v>18000</v>
      </c>
      <c r="I47" s="928" t="s">
        <v>1198</v>
      </c>
      <c r="J47" s="964">
        <f t="shared" ref="J47" si="8">H47*G47*F47*E47*D47</f>
        <v>18000</v>
      </c>
      <c r="K47" s="975"/>
      <c r="L47" s="1156"/>
    </row>
    <row r="48" spans="2:12" s="787" customFormat="1" ht="15">
      <c r="B48" s="971"/>
      <c r="C48" s="966" t="s">
        <v>1192</v>
      </c>
      <c r="D48" s="946">
        <v>1</v>
      </c>
      <c r="E48" s="947">
        <v>1</v>
      </c>
      <c r="F48" s="947">
        <v>1</v>
      </c>
      <c r="G48" s="955">
        <v>1</v>
      </c>
      <c r="H48" s="961">
        <v>36000</v>
      </c>
      <c r="I48" s="928" t="s">
        <v>1198</v>
      </c>
      <c r="J48" s="964">
        <f t="shared" si="7"/>
        <v>36000</v>
      </c>
      <c r="K48" s="975"/>
      <c r="L48" s="1156"/>
    </row>
    <row r="49" spans="2:12" s="787" customFormat="1" ht="15">
      <c r="B49" s="971"/>
      <c r="C49" s="966" t="s">
        <v>1191</v>
      </c>
      <c r="D49" s="946">
        <v>1</v>
      </c>
      <c r="E49" s="947">
        <v>1</v>
      </c>
      <c r="F49" s="947">
        <v>1</v>
      </c>
      <c r="G49" s="955">
        <v>1</v>
      </c>
      <c r="H49" s="961">
        <v>72000</v>
      </c>
      <c r="I49" s="928" t="s">
        <v>1198</v>
      </c>
      <c r="J49" s="964">
        <f t="shared" si="7"/>
        <v>72000</v>
      </c>
      <c r="K49" s="975"/>
      <c r="L49" s="1156"/>
    </row>
    <row r="50" spans="2:12" s="787" customFormat="1" ht="15">
      <c r="B50" s="971"/>
      <c r="C50" s="966" t="s">
        <v>1194</v>
      </c>
      <c r="D50" s="946">
        <v>1</v>
      </c>
      <c r="E50" s="947">
        <v>1</v>
      </c>
      <c r="F50" s="947">
        <v>1</v>
      </c>
      <c r="G50" s="955">
        <v>1</v>
      </c>
      <c r="H50" s="961">
        <v>240000</v>
      </c>
      <c r="I50" s="928" t="s">
        <v>1198</v>
      </c>
      <c r="J50" s="964">
        <f t="shared" si="7"/>
        <v>240000</v>
      </c>
      <c r="K50" s="975"/>
      <c r="L50" s="1156"/>
    </row>
    <row r="51" spans="2:12" s="787" customFormat="1" ht="15">
      <c r="B51" s="971"/>
      <c r="C51" s="966"/>
      <c r="D51" s="946"/>
      <c r="E51" s="947"/>
      <c r="F51" s="947"/>
      <c r="G51" s="955"/>
      <c r="H51" s="967"/>
      <c r="I51" s="928"/>
      <c r="J51" s="964"/>
      <c r="K51" s="978"/>
    </row>
    <row r="52" spans="2:12" s="787" customFormat="1" ht="15">
      <c r="B52" s="971"/>
      <c r="C52" s="966" t="s">
        <v>1195</v>
      </c>
      <c r="D52" s="946">
        <v>1</v>
      </c>
      <c r="E52" s="947">
        <v>1</v>
      </c>
      <c r="F52" s="947">
        <v>1</v>
      </c>
      <c r="G52" s="955">
        <v>1</v>
      </c>
      <c r="H52" s="961">
        <v>85</v>
      </c>
      <c r="I52" s="928" t="s">
        <v>322</v>
      </c>
      <c r="J52" s="964">
        <f t="shared" si="6"/>
        <v>85</v>
      </c>
      <c r="K52" s="975"/>
    </row>
    <row r="53" spans="2:12" s="787" customFormat="1" ht="15">
      <c r="B53" s="1010"/>
      <c r="C53" s="1011" t="s">
        <v>1196</v>
      </c>
      <c r="D53" s="949">
        <v>1</v>
      </c>
      <c r="E53" s="950">
        <v>1</v>
      </c>
      <c r="F53" s="950">
        <v>1</v>
      </c>
      <c r="G53" s="957">
        <v>1</v>
      </c>
      <c r="H53" s="962">
        <v>120</v>
      </c>
      <c r="I53" s="1022" t="s">
        <v>322</v>
      </c>
      <c r="J53" s="965">
        <f t="shared" ref="J53" si="9">H53*G53*F53*E53*D53</f>
        <v>120</v>
      </c>
      <c r="K53" s="937"/>
    </row>
    <row r="54" spans="2:12" s="787" customFormat="1" ht="15">
      <c r="B54" s="968"/>
      <c r="C54" s="963"/>
      <c r="D54" s="982"/>
      <c r="E54" s="953"/>
      <c r="F54" s="953"/>
      <c r="G54" s="983"/>
      <c r="H54" s="1009"/>
      <c r="I54" s="726"/>
      <c r="J54" s="969"/>
      <c r="K54" s="993"/>
    </row>
    <row r="55" spans="2:12" s="787" customFormat="1" ht="15">
      <c r="B55" s="971"/>
      <c r="C55" s="966"/>
      <c r="D55" s="946"/>
      <c r="E55" s="947"/>
      <c r="F55" s="947"/>
      <c r="G55" s="955"/>
      <c r="H55" s="967"/>
      <c r="I55" s="738"/>
      <c r="J55" s="964"/>
      <c r="K55" s="978"/>
    </row>
    <row r="56" spans="2:12" s="787" customFormat="1" ht="15">
      <c r="B56" s="971"/>
      <c r="C56" s="966"/>
      <c r="D56" s="946"/>
      <c r="E56" s="947"/>
      <c r="F56" s="947"/>
      <c r="G56" s="955"/>
      <c r="H56" s="967"/>
      <c r="I56" s="738"/>
      <c r="J56" s="964"/>
      <c r="K56" s="978"/>
    </row>
    <row r="57" spans="2:12" s="787" customFormat="1" ht="15">
      <c r="B57" s="971"/>
      <c r="C57" s="966"/>
      <c r="D57" s="946"/>
      <c r="E57" s="947"/>
      <c r="F57" s="947"/>
      <c r="G57" s="955"/>
      <c r="H57" s="967"/>
      <c r="I57" s="738"/>
      <c r="J57" s="964"/>
      <c r="K57" s="978"/>
    </row>
    <row r="58" spans="2:12" s="787" customFormat="1" ht="15">
      <c r="B58" s="971"/>
      <c r="C58" s="966"/>
      <c r="D58" s="946"/>
      <c r="E58" s="947"/>
      <c r="F58" s="947"/>
      <c r="G58" s="955"/>
      <c r="H58" s="967"/>
      <c r="I58" s="738"/>
      <c r="J58" s="964"/>
      <c r="K58" s="978"/>
    </row>
    <row r="59" spans="2:12">
      <c r="J59" s="931"/>
    </row>
    <row r="60" spans="2:12">
      <c r="J60" s="931"/>
    </row>
    <row r="61" spans="2:12">
      <c r="J61" s="931"/>
    </row>
    <row r="62" spans="2:12">
      <c r="J62" s="931"/>
    </row>
    <row r="63" spans="2:12">
      <c r="J63" s="931"/>
    </row>
    <row r="64" spans="2:12">
      <c r="J64" s="931"/>
    </row>
    <row r="65" spans="10:10">
      <c r="J65" s="931"/>
    </row>
    <row r="66" spans="10:10">
      <c r="J66" s="931"/>
    </row>
    <row r="67" spans="10:10">
      <c r="J67" s="931"/>
    </row>
    <row r="68" spans="10:10">
      <c r="J68" s="931"/>
    </row>
    <row r="69" spans="10:10">
      <c r="J69" s="931"/>
    </row>
    <row r="70" spans="10:10">
      <c r="J70" s="931"/>
    </row>
    <row r="71" spans="10:10">
      <c r="J71" s="931"/>
    </row>
    <row r="72" spans="10:10">
      <c r="J72" s="931"/>
    </row>
    <row r="73" spans="10:10">
      <c r="J73" s="931"/>
    </row>
    <row r="74" spans="10:10">
      <c r="J74" s="931"/>
    </row>
    <row r="75" spans="10:10">
      <c r="J75" s="931"/>
    </row>
    <row r="76" spans="10:10">
      <c r="J76" s="931"/>
    </row>
    <row r="77" spans="10:10">
      <c r="J77" s="931"/>
    </row>
    <row r="78" spans="10:10">
      <c r="J78" s="931"/>
    </row>
    <row r="79" spans="10:10">
      <c r="J79" s="931"/>
    </row>
    <row r="80" spans="10:10">
      <c r="J80" s="931"/>
    </row>
    <row r="81" spans="10:10">
      <c r="J81" s="931"/>
    </row>
    <row r="82" spans="10:10">
      <c r="J82" s="931"/>
    </row>
    <row r="83" spans="10:10">
      <c r="J83" s="931"/>
    </row>
    <row r="84" spans="10:10">
      <c r="J84" s="931"/>
    </row>
    <row r="85" spans="10:10">
      <c r="J85" s="931"/>
    </row>
    <row r="86" spans="10:10">
      <c r="J86" s="931"/>
    </row>
    <row r="87" spans="10:10">
      <c r="J87" s="931"/>
    </row>
    <row r="88" spans="10:10">
      <c r="J88" s="931"/>
    </row>
    <row r="89" spans="10:10">
      <c r="J89" s="931"/>
    </row>
    <row r="90" spans="10:10">
      <c r="J90" s="931"/>
    </row>
    <row r="91" spans="10:10">
      <c r="J91" s="931"/>
    </row>
    <row r="92" spans="10:10">
      <c r="J92" s="931"/>
    </row>
    <row r="93" spans="10:10">
      <c r="J93" s="931"/>
    </row>
    <row r="94" spans="10:10">
      <c r="J94" s="931"/>
    </row>
    <row r="95" spans="10:10">
      <c r="J95" s="931"/>
    </row>
    <row r="96" spans="10:10">
      <c r="J96" s="931"/>
    </row>
    <row r="97" spans="10:10">
      <c r="J97" s="931"/>
    </row>
    <row r="98" spans="10:10">
      <c r="J98" s="931"/>
    </row>
    <row r="99" spans="10:10">
      <c r="J99" s="931"/>
    </row>
    <row r="100" spans="10:10">
      <c r="J100" s="931"/>
    </row>
    <row r="101" spans="10:10">
      <c r="J101" s="931"/>
    </row>
    <row r="102" spans="10:10">
      <c r="J102" s="931"/>
    </row>
    <row r="103" spans="10:10">
      <c r="J103" s="931"/>
    </row>
    <row r="104" spans="10:10">
      <c r="J104" s="931"/>
    </row>
    <row r="105" spans="10:10">
      <c r="J105" s="931"/>
    </row>
    <row r="106" spans="10:10">
      <c r="J106" s="931"/>
    </row>
    <row r="107" spans="10:10">
      <c r="J107" s="931"/>
    </row>
    <row r="108" spans="10:10">
      <c r="J108" s="931"/>
    </row>
    <row r="109" spans="10:10">
      <c r="J109" s="931"/>
    </row>
    <row r="110" spans="10:10">
      <c r="J110" s="931"/>
    </row>
    <row r="111" spans="10:10">
      <c r="J111" s="931"/>
    </row>
    <row r="112" spans="10:10">
      <c r="J112" s="931"/>
    </row>
    <row r="113" spans="10:10">
      <c r="J113" s="931"/>
    </row>
    <row r="114" spans="10:10">
      <c r="J114" s="931"/>
    </row>
    <row r="115" spans="10:10">
      <c r="J115" s="931"/>
    </row>
    <row r="116" spans="10:10">
      <c r="J116" s="931"/>
    </row>
    <row r="117" spans="10:10">
      <c r="J117" s="931"/>
    </row>
    <row r="118" spans="10:10">
      <c r="J118" s="931"/>
    </row>
    <row r="119" spans="10:10">
      <c r="J119" s="931"/>
    </row>
    <row r="120" spans="10:10">
      <c r="J120" s="931"/>
    </row>
    <row r="121" spans="10:10">
      <c r="J121" s="931"/>
    </row>
    <row r="122" spans="10:10">
      <c r="J122" s="931"/>
    </row>
    <row r="123" spans="10:10">
      <c r="J123" s="931"/>
    </row>
    <row r="124" spans="10:10">
      <c r="J124" s="931"/>
    </row>
    <row r="125" spans="10:10">
      <c r="J125" s="931"/>
    </row>
    <row r="126" spans="10:10">
      <c r="J126" s="931"/>
    </row>
    <row r="127" spans="10:10">
      <c r="J127" s="931"/>
    </row>
    <row r="128" spans="10:10">
      <c r="J128" s="931"/>
    </row>
    <row r="129" spans="10:10">
      <c r="J129" s="931"/>
    </row>
    <row r="130" spans="10:10">
      <c r="J130" s="931"/>
    </row>
    <row r="131" spans="10:10">
      <c r="J131" s="931"/>
    </row>
    <row r="132" spans="10:10">
      <c r="J132" s="931"/>
    </row>
    <row r="133" spans="10:10">
      <c r="J133" s="931"/>
    </row>
    <row r="134" spans="10:10">
      <c r="J134" s="931"/>
    </row>
    <row r="135" spans="10:10">
      <c r="J135" s="931"/>
    </row>
    <row r="136" spans="10:10">
      <c r="J136" s="931"/>
    </row>
    <row r="137" spans="10:10">
      <c r="J137" s="931"/>
    </row>
    <row r="138" spans="10:10">
      <c r="J138" s="931"/>
    </row>
    <row r="139" spans="10:10">
      <c r="J139" s="931"/>
    </row>
    <row r="140" spans="10:10">
      <c r="J140" s="931"/>
    </row>
    <row r="141" spans="10:10">
      <c r="J141" s="931"/>
    </row>
  </sheetData>
  <sheetProtection algorithmName="SHA-512" hashValue="m6ACWXKxOoh3WyfSFOBc8OACCRkbU/hHl/46GW5sHC1MrIxGzBoSD8/7hIvEGYkx4SGfdEBphSGBC/irO0ca7Q==" saltValue="1VsKUSEH6cF4I0cbPch5OA==" spinCount="100000" sheet="1" objects="1" scenarios="1"/>
  <mergeCells count="2">
    <mergeCell ref="B4:C4"/>
    <mergeCell ref="J1:K1"/>
  </mergeCells>
  <phoneticPr fontId="115" type="noConversion"/>
  <pageMargins left="0.51181102362204722" right="0.70866141732283472" top="0.74803149606299213" bottom="0.74803149606299213" header="0.31496062992125984" footer="0.31496062992125984"/>
  <pageSetup paperSize="8" scale="65" orientation="landscape" verticalDpi="300" r:id="rId1"/>
  <headerFooter>
    <oddHeader>&amp;C&amp;"Calibri"&amp;10&amp;K000000Confidential&amp;1#</oddHeader>
    <oddFooter>&amp;R&amp;1#&amp;"Calibri"&amp;10&amp;K000000Confidential</oddFooter>
  </headerFooter>
  <rowBreaks count="1" manualBreakCount="1">
    <brk id="34" max="10"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3A5A1-E12C-4DFE-96FE-57A00EBF33C2}">
  <sheetPr codeName="Sheet13">
    <tabColor theme="5" tint="0.39997558519241921"/>
  </sheetPr>
  <dimension ref="B1:K133"/>
  <sheetViews>
    <sheetView zoomScale="80" zoomScaleNormal="80" workbookViewId="0">
      <selection activeCell="K70" sqref="K70"/>
    </sheetView>
  </sheetViews>
  <sheetFormatPr defaultColWidth="9.140625" defaultRowHeight="12.75"/>
  <cols>
    <col min="1" max="1" width="10.5703125" style="706" customWidth="1"/>
    <col min="2" max="2" width="5.28515625" style="706" customWidth="1"/>
    <col min="3" max="3" width="88.140625" style="706" bestFit="1" customWidth="1"/>
    <col min="4" max="7" width="7.42578125" style="706" customWidth="1"/>
    <col min="8" max="8" width="8.85546875" style="706" customWidth="1"/>
    <col min="9" max="9" width="9.140625" style="706"/>
    <col min="10" max="10" width="21.7109375" style="706" customWidth="1"/>
    <col min="11" max="11" width="15.85546875" style="706" customWidth="1"/>
    <col min="12" max="16384" width="9.140625" style="706"/>
  </cols>
  <sheetData>
    <row r="1" spans="2:11">
      <c r="C1" s="922"/>
      <c r="D1" s="922"/>
      <c r="E1" s="922"/>
      <c r="F1" s="922"/>
      <c r="G1" s="922"/>
      <c r="H1" s="922"/>
    </row>
    <row r="2" spans="2:11" ht="43.15" customHeight="1">
      <c r="J2" s="1633" t="s">
        <v>270</v>
      </c>
      <c r="K2" s="1634"/>
    </row>
    <row r="3" spans="2:11" ht="51" customHeight="1">
      <c r="B3" s="710"/>
      <c r="C3" s="711" t="s">
        <v>194</v>
      </c>
      <c r="D3" s="711"/>
      <c r="E3" s="711"/>
      <c r="F3" s="711"/>
      <c r="G3" s="711"/>
      <c r="H3" s="711"/>
      <c r="I3" s="711" t="s">
        <v>195</v>
      </c>
      <c r="J3" s="718" t="s">
        <v>3466</v>
      </c>
      <c r="K3" s="712"/>
    </row>
    <row r="4" spans="2:11" ht="15">
      <c r="B4" s="932"/>
      <c r="C4" s="933"/>
      <c r="D4" s="941" t="s">
        <v>302</v>
      </c>
      <c r="E4" s="941" t="s">
        <v>303</v>
      </c>
      <c r="F4" s="941" t="s">
        <v>304</v>
      </c>
      <c r="G4" s="941" t="s">
        <v>305</v>
      </c>
      <c r="H4" s="952" t="s">
        <v>306</v>
      </c>
      <c r="I4" s="933"/>
      <c r="J4" s="934"/>
      <c r="K4" s="935"/>
    </row>
    <row r="5" spans="2:11" s="787" customFormat="1">
      <c r="B5" s="1006" t="s">
        <v>299</v>
      </c>
      <c r="C5" s="986"/>
      <c r="D5" s="987"/>
      <c r="E5" s="988"/>
      <c r="F5" s="988"/>
      <c r="G5" s="988"/>
      <c r="H5" s="988"/>
      <c r="I5" s="936"/>
      <c r="J5" s="930"/>
      <c r="K5" s="885"/>
    </row>
    <row r="6" spans="2:11" ht="15">
      <c r="B6" s="724"/>
      <c r="C6" s="963" t="s">
        <v>300</v>
      </c>
      <c r="D6" s="982">
        <v>1</v>
      </c>
      <c r="E6" s="953">
        <v>1</v>
      </c>
      <c r="F6" s="953">
        <v>1</v>
      </c>
      <c r="G6" s="983">
        <v>1</v>
      </c>
      <c r="H6" s="984">
        <v>55</v>
      </c>
      <c r="I6" s="726" t="s">
        <v>1096</v>
      </c>
      <c r="J6" s="969">
        <f>H6*G6*F6*E6*D6</f>
        <v>55</v>
      </c>
      <c r="K6" s="985" t="s">
        <v>1181</v>
      </c>
    </row>
    <row r="7" spans="2:11" ht="15">
      <c r="B7" s="724"/>
      <c r="C7" s="963" t="s">
        <v>1182</v>
      </c>
      <c r="D7" s="946">
        <v>1</v>
      </c>
      <c r="E7" s="947">
        <v>1</v>
      </c>
      <c r="F7" s="947">
        <v>1</v>
      </c>
      <c r="G7" s="955">
        <v>1</v>
      </c>
      <c r="H7" s="961">
        <v>270</v>
      </c>
      <c r="I7" s="738" t="s">
        <v>1096</v>
      </c>
      <c r="J7" s="964">
        <f t="shared" ref="J7:J8" si="0">H7*G7*F7*E7*D7</f>
        <v>270</v>
      </c>
      <c r="K7" s="970" t="s">
        <v>1181</v>
      </c>
    </row>
    <row r="8" spans="2:11" ht="15">
      <c r="B8" s="724"/>
      <c r="C8" s="963" t="s">
        <v>1197</v>
      </c>
      <c r="D8" s="946">
        <v>1</v>
      </c>
      <c r="E8" s="947">
        <v>1</v>
      </c>
      <c r="F8" s="947">
        <v>1</v>
      </c>
      <c r="G8" s="955">
        <v>1</v>
      </c>
      <c r="H8" s="961">
        <v>270</v>
      </c>
      <c r="I8" s="738" t="s">
        <v>1165</v>
      </c>
      <c r="J8" s="964">
        <f t="shared" si="0"/>
        <v>270</v>
      </c>
      <c r="K8" s="970" t="s">
        <v>1183</v>
      </c>
    </row>
    <row r="9" spans="2:11" ht="15">
      <c r="B9" s="932"/>
      <c r="C9" s="933"/>
      <c r="D9" s="998"/>
      <c r="E9" s="998"/>
      <c r="F9" s="998"/>
      <c r="G9" s="998"/>
      <c r="H9" s="952"/>
      <c r="I9" s="933"/>
      <c r="J9" s="934"/>
      <c r="K9" s="935"/>
    </row>
    <row r="10" spans="2:11" ht="14.25">
      <c r="B10" s="1584" t="s">
        <v>1224</v>
      </c>
      <c r="C10" s="1585"/>
      <c r="D10" s="719"/>
      <c r="E10" s="719"/>
      <c r="F10" s="719"/>
      <c r="G10" s="719"/>
      <c r="H10" s="719"/>
      <c r="I10" s="938"/>
      <c r="J10" s="976">
        <v>699</v>
      </c>
      <c r="K10" s="790" t="s">
        <v>1180</v>
      </c>
    </row>
    <row r="11" spans="2:11" ht="15" hidden="1">
      <c r="B11" s="942"/>
      <c r="C11" s="963" t="s">
        <v>318</v>
      </c>
      <c r="D11" s="944">
        <v>1</v>
      </c>
      <c r="E11" s="945">
        <v>1</v>
      </c>
      <c r="F11" s="945">
        <v>1</v>
      </c>
      <c r="G11" s="954">
        <v>1</v>
      </c>
      <c r="H11" s="960">
        <v>32</v>
      </c>
      <c r="I11" s="768" t="s">
        <v>1096</v>
      </c>
      <c r="J11" s="620">
        <f>H11*G11*F11*E11*D11</f>
        <v>32</v>
      </c>
      <c r="K11" s="940"/>
    </row>
    <row r="12" spans="2:11" ht="17.25" hidden="1">
      <c r="B12" s="736"/>
      <c r="C12" s="963" t="s">
        <v>320</v>
      </c>
      <c r="D12" s="946">
        <v>1</v>
      </c>
      <c r="E12" s="947">
        <v>1</v>
      </c>
      <c r="F12" s="947">
        <v>1</v>
      </c>
      <c r="G12" s="956">
        <v>8.5000000000000006E-2</v>
      </c>
      <c r="H12" s="961">
        <v>265</v>
      </c>
      <c r="I12" s="959" t="s">
        <v>1178</v>
      </c>
      <c r="J12" s="626">
        <f>H12*G12*F12*E12*D12</f>
        <v>22.525000000000002</v>
      </c>
      <c r="K12" s="940"/>
    </row>
    <row r="13" spans="2:11" ht="15" hidden="1">
      <c r="B13" s="736"/>
      <c r="C13" s="963" t="s">
        <v>321</v>
      </c>
      <c r="D13" s="946">
        <v>1</v>
      </c>
      <c r="E13" s="947">
        <v>1</v>
      </c>
      <c r="F13" s="947">
        <v>1</v>
      </c>
      <c r="G13" s="955">
        <v>1</v>
      </c>
      <c r="H13" s="961">
        <v>15</v>
      </c>
      <c r="I13" s="738" t="s">
        <v>1096</v>
      </c>
      <c r="J13" s="626">
        <f t="shared" ref="J13:J20" si="1">H13*G13*F13*E13*D13</f>
        <v>15</v>
      </c>
      <c r="K13" s="940"/>
    </row>
    <row r="14" spans="2:11" ht="17.25" hidden="1">
      <c r="B14" s="736"/>
      <c r="C14" s="963" t="s">
        <v>323</v>
      </c>
      <c r="D14" s="946">
        <v>1</v>
      </c>
      <c r="E14" s="947">
        <v>1</v>
      </c>
      <c r="F14" s="947">
        <v>1</v>
      </c>
      <c r="G14" s="956">
        <v>8.5000000000000006E-2</v>
      </c>
      <c r="H14" s="961">
        <v>1698</v>
      </c>
      <c r="I14" s="959" t="s">
        <v>1178</v>
      </c>
      <c r="J14" s="626">
        <f t="shared" si="1"/>
        <v>144.33000000000001</v>
      </c>
      <c r="K14" s="940"/>
    </row>
    <row r="15" spans="2:11" ht="15" hidden="1">
      <c r="B15" s="736"/>
      <c r="C15" s="963" t="s">
        <v>324</v>
      </c>
      <c r="D15" s="946">
        <v>1</v>
      </c>
      <c r="E15" s="947">
        <v>1</v>
      </c>
      <c r="F15" s="947">
        <v>1</v>
      </c>
      <c r="G15" s="955">
        <v>1</v>
      </c>
      <c r="H15" s="961">
        <v>35</v>
      </c>
      <c r="I15" s="738" t="s">
        <v>1096</v>
      </c>
      <c r="J15" s="626">
        <f t="shared" si="1"/>
        <v>35</v>
      </c>
      <c r="K15" s="940"/>
    </row>
    <row r="16" spans="2:11" ht="15" hidden="1">
      <c r="B16" s="736"/>
      <c r="C16" s="963" t="s">
        <v>325</v>
      </c>
      <c r="D16" s="946">
        <v>1</v>
      </c>
      <c r="E16" s="947">
        <v>1</v>
      </c>
      <c r="F16" s="947">
        <v>1</v>
      </c>
      <c r="G16" s="955">
        <v>1</v>
      </c>
      <c r="H16" s="961">
        <v>60</v>
      </c>
      <c r="I16" s="738" t="s">
        <v>1096</v>
      </c>
      <c r="J16" s="626">
        <f t="shared" si="1"/>
        <v>60</v>
      </c>
      <c r="K16" s="940"/>
    </row>
    <row r="17" spans="2:11" ht="15" hidden="1">
      <c r="B17" s="736"/>
      <c r="C17" s="963" t="s">
        <v>326</v>
      </c>
      <c r="D17" s="946">
        <v>1</v>
      </c>
      <c r="E17" s="947">
        <v>1</v>
      </c>
      <c r="F17" s="947">
        <v>1</v>
      </c>
      <c r="G17" s="955">
        <v>1</v>
      </c>
      <c r="H17" s="961">
        <v>120</v>
      </c>
      <c r="I17" s="738" t="s">
        <v>215</v>
      </c>
      <c r="J17" s="626">
        <f t="shared" si="1"/>
        <v>120</v>
      </c>
      <c r="K17" s="940"/>
    </row>
    <row r="18" spans="2:11" ht="15" hidden="1">
      <c r="B18" s="736"/>
      <c r="C18" s="963" t="s">
        <v>328</v>
      </c>
      <c r="D18" s="946">
        <v>1</v>
      </c>
      <c r="E18" s="947">
        <v>1</v>
      </c>
      <c r="F18" s="947">
        <v>1</v>
      </c>
      <c r="G18" s="955">
        <v>1</v>
      </c>
      <c r="H18" s="961">
        <v>25</v>
      </c>
      <c r="I18" s="738" t="s">
        <v>215</v>
      </c>
      <c r="J18" s="626">
        <f t="shared" si="1"/>
        <v>25</v>
      </c>
      <c r="K18" s="940"/>
    </row>
    <row r="19" spans="2:11" ht="15" hidden="1">
      <c r="B19" s="736"/>
      <c r="C19" s="963" t="s">
        <v>329</v>
      </c>
      <c r="D19" s="946">
        <v>1</v>
      </c>
      <c r="E19" s="947">
        <v>1</v>
      </c>
      <c r="F19" s="947">
        <v>1</v>
      </c>
      <c r="G19" s="955">
        <v>1</v>
      </c>
      <c r="H19" s="961">
        <v>25</v>
      </c>
      <c r="I19" s="738" t="s">
        <v>215</v>
      </c>
      <c r="J19" s="626">
        <f t="shared" si="1"/>
        <v>25</v>
      </c>
      <c r="K19" s="940"/>
    </row>
    <row r="20" spans="2:11" ht="15" hidden="1">
      <c r="B20" s="736"/>
      <c r="C20" s="963" t="s">
        <v>330</v>
      </c>
      <c r="D20" s="946">
        <v>1</v>
      </c>
      <c r="E20" s="947">
        <v>1</v>
      </c>
      <c r="F20" s="947">
        <v>1</v>
      </c>
      <c r="G20" s="955">
        <v>1</v>
      </c>
      <c r="H20" s="961">
        <v>0.85</v>
      </c>
      <c r="I20" s="738" t="s">
        <v>1096</v>
      </c>
      <c r="J20" s="626">
        <f t="shared" si="1"/>
        <v>0.85</v>
      </c>
      <c r="K20" s="940"/>
    </row>
    <row r="21" spans="2:11" ht="15" hidden="1">
      <c r="B21" s="743"/>
      <c r="C21" s="995" t="s">
        <v>312</v>
      </c>
      <c r="D21" s="949"/>
      <c r="E21" s="950"/>
      <c r="F21" s="950"/>
      <c r="G21" s="957"/>
      <c r="H21" s="996">
        <v>0.1</v>
      </c>
      <c r="I21" s="745" t="s">
        <v>1096</v>
      </c>
      <c r="J21" s="977" cm="1">
        <f t="array" ref="J21">SUM(H11:H20*H21)</f>
        <v>227.58500000000001</v>
      </c>
      <c r="K21" s="951"/>
    </row>
    <row r="22" spans="2:11" ht="10.15" customHeight="1">
      <c r="B22" s="948"/>
      <c r="C22" s="979"/>
      <c r="D22" s="979"/>
      <c r="E22" s="979"/>
      <c r="F22" s="979"/>
      <c r="G22" s="979"/>
      <c r="H22" s="979"/>
      <c r="I22" s="980"/>
      <c r="J22" s="981"/>
      <c r="K22" s="951"/>
    </row>
    <row r="23" spans="2:11" s="787" customFormat="1" ht="14.25">
      <c r="B23" s="987" t="s">
        <v>1227</v>
      </c>
      <c r="C23" s="986"/>
      <c r="D23" s="987"/>
      <c r="E23" s="988"/>
      <c r="F23" s="988"/>
      <c r="G23" s="988"/>
      <c r="H23" s="988"/>
      <c r="I23" s="936"/>
      <c r="J23" s="992">
        <v>584</v>
      </c>
      <c r="K23" s="790" t="s">
        <v>1180</v>
      </c>
    </row>
    <row r="24" spans="2:11" ht="15" hidden="1">
      <c r="B24" s="724"/>
      <c r="C24" s="963" t="s">
        <v>307</v>
      </c>
      <c r="D24" s="982">
        <v>1</v>
      </c>
      <c r="E24" s="953">
        <v>1</v>
      </c>
      <c r="F24" s="953">
        <v>1</v>
      </c>
      <c r="G24" s="983">
        <v>1</v>
      </c>
      <c r="H24" s="984">
        <v>116</v>
      </c>
      <c r="I24" s="726"/>
      <c r="J24" s="969">
        <f t="shared" ref="J24:J28" si="2">H24*G24*F24*E24*D24</f>
        <v>116</v>
      </c>
      <c r="K24" s="974"/>
    </row>
    <row r="25" spans="2:11" ht="15" hidden="1">
      <c r="B25" s="736"/>
      <c r="C25" s="966" t="s">
        <v>308</v>
      </c>
      <c r="D25" s="946">
        <v>1</v>
      </c>
      <c r="E25" s="947">
        <v>1</v>
      </c>
      <c r="F25" s="947">
        <v>1</v>
      </c>
      <c r="G25" s="955">
        <v>1</v>
      </c>
      <c r="H25" s="961">
        <v>40</v>
      </c>
      <c r="I25" s="738"/>
      <c r="J25" s="964">
        <f t="shared" si="2"/>
        <v>40</v>
      </c>
      <c r="K25" s="975"/>
    </row>
    <row r="26" spans="2:11" ht="15" hidden="1">
      <c r="B26" s="736"/>
      <c r="C26" s="966" t="s">
        <v>1185</v>
      </c>
      <c r="D26" s="946">
        <v>1</v>
      </c>
      <c r="E26" s="947">
        <v>1</v>
      </c>
      <c r="F26" s="947">
        <v>1</v>
      </c>
      <c r="G26" s="955">
        <v>0.15</v>
      </c>
      <c r="H26" s="961">
        <v>350</v>
      </c>
      <c r="I26" s="738"/>
      <c r="J26" s="964">
        <f t="shared" si="2"/>
        <v>52.5</v>
      </c>
      <c r="K26" s="975"/>
    </row>
    <row r="27" spans="2:11" ht="15" hidden="1">
      <c r="B27" s="736"/>
      <c r="C27" s="966" t="s">
        <v>309</v>
      </c>
      <c r="D27" s="946">
        <v>130</v>
      </c>
      <c r="E27" s="947">
        <v>1</v>
      </c>
      <c r="F27" s="947">
        <v>1</v>
      </c>
      <c r="G27" s="955">
        <v>0.3</v>
      </c>
      <c r="H27" s="961">
        <v>4</v>
      </c>
      <c r="I27" s="738"/>
      <c r="J27" s="964">
        <f t="shared" si="2"/>
        <v>156</v>
      </c>
      <c r="K27" s="975"/>
    </row>
    <row r="28" spans="2:11" ht="15" hidden="1">
      <c r="B28" s="736"/>
      <c r="C28" s="966" t="s">
        <v>310</v>
      </c>
      <c r="D28" s="946">
        <v>1</v>
      </c>
      <c r="E28" s="947">
        <v>1</v>
      </c>
      <c r="F28" s="947">
        <v>1</v>
      </c>
      <c r="G28" s="955">
        <v>1</v>
      </c>
      <c r="H28" s="961">
        <v>360</v>
      </c>
      <c r="I28" s="738"/>
      <c r="J28" s="964">
        <f t="shared" si="2"/>
        <v>360</v>
      </c>
      <c r="K28" s="975"/>
    </row>
    <row r="29" spans="2:11" ht="15" hidden="1">
      <c r="B29" s="784"/>
      <c r="C29" s="999" t="s">
        <v>312</v>
      </c>
      <c r="D29" s="989"/>
      <c r="E29" s="990"/>
      <c r="F29" s="990"/>
      <c r="G29" s="991"/>
      <c r="H29" s="1000">
        <v>0.1</v>
      </c>
      <c r="I29" s="806"/>
      <c r="J29" s="972" cm="1">
        <f t="array" ref="J29">SUM(H24:H28*H29)</f>
        <v>87</v>
      </c>
      <c r="K29" s="973"/>
    </row>
    <row r="30" spans="2:11" ht="15">
      <c r="B30" s="1007"/>
      <c r="C30" s="1001"/>
      <c r="D30" s="1002"/>
      <c r="E30" s="1002"/>
      <c r="F30" s="1002"/>
      <c r="G30" s="1002"/>
      <c r="H30" s="1003"/>
      <c r="I30" s="1004"/>
      <c r="J30" s="1005"/>
      <c r="K30" s="1008"/>
    </row>
    <row r="31" spans="2:11" ht="15">
      <c r="B31" s="1006" t="s">
        <v>1225</v>
      </c>
      <c r="C31" s="1001"/>
      <c r="D31" s="1002"/>
      <c r="E31" s="1002"/>
      <c r="F31" s="1002"/>
      <c r="G31" s="1002"/>
      <c r="H31" s="1003"/>
      <c r="I31" s="1004"/>
      <c r="J31" s="992">
        <v>16500</v>
      </c>
      <c r="K31" s="790" t="s">
        <v>1180</v>
      </c>
    </row>
    <row r="32" spans="2:11" ht="15">
      <c r="B32" s="1007"/>
      <c r="C32" s="1001"/>
      <c r="D32" s="1002"/>
      <c r="E32" s="1002"/>
      <c r="F32" s="1002"/>
      <c r="G32" s="1002"/>
      <c r="H32" s="1003"/>
      <c r="I32" s="1004"/>
      <c r="J32" s="1005"/>
      <c r="K32" s="1008"/>
    </row>
    <row r="33" spans="2:11" s="787" customFormat="1" ht="14.25">
      <c r="B33" s="997" t="s">
        <v>1226</v>
      </c>
      <c r="C33" s="986"/>
      <c r="D33" s="987"/>
      <c r="E33" s="988"/>
      <c r="F33" s="988"/>
      <c r="G33" s="988"/>
      <c r="H33" s="988"/>
      <c r="I33" s="936"/>
      <c r="J33" s="976">
        <v>518</v>
      </c>
      <c r="K33" s="790" t="s">
        <v>1180</v>
      </c>
    </row>
    <row r="34" spans="2:11" s="787" customFormat="1" ht="15" hidden="1">
      <c r="B34" s="968"/>
      <c r="C34" s="963" t="s">
        <v>307</v>
      </c>
      <c r="D34" s="982">
        <v>1</v>
      </c>
      <c r="E34" s="953">
        <v>1</v>
      </c>
      <c r="F34" s="953">
        <v>1</v>
      </c>
      <c r="G34" s="983">
        <v>0.4</v>
      </c>
      <c r="H34" s="984">
        <v>116</v>
      </c>
      <c r="I34" s="726"/>
      <c r="J34" s="969">
        <f t="shared" ref="J34:J38" si="3">H34*G34*F34*E34*D34</f>
        <v>46.400000000000006</v>
      </c>
      <c r="K34" s="993"/>
    </row>
    <row r="35" spans="2:11" s="787" customFormat="1" ht="15" hidden="1">
      <c r="B35" s="971"/>
      <c r="C35" s="966" t="s">
        <v>308</v>
      </c>
      <c r="D35" s="946">
        <v>1</v>
      </c>
      <c r="E35" s="947">
        <v>1</v>
      </c>
      <c r="F35" s="947">
        <v>1</v>
      </c>
      <c r="G35" s="955">
        <v>1</v>
      </c>
      <c r="H35" s="961">
        <v>40</v>
      </c>
      <c r="I35" s="738"/>
      <c r="J35" s="964">
        <f t="shared" si="3"/>
        <v>40</v>
      </c>
      <c r="K35" s="978"/>
    </row>
    <row r="36" spans="2:11" s="787" customFormat="1" ht="15" hidden="1">
      <c r="B36" s="971"/>
      <c r="C36" s="966" t="s">
        <v>1185</v>
      </c>
      <c r="D36" s="946">
        <v>1</v>
      </c>
      <c r="E36" s="947">
        <v>1</v>
      </c>
      <c r="F36" s="947">
        <v>1</v>
      </c>
      <c r="G36" s="955">
        <v>0.15</v>
      </c>
      <c r="H36" s="961">
        <v>350</v>
      </c>
      <c r="I36" s="738"/>
      <c r="J36" s="964">
        <f t="shared" si="3"/>
        <v>52.5</v>
      </c>
      <c r="K36" s="978"/>
    </row>
    <row r="37" spans="2:11" s="787" customFormat="1" ht="15" hidden="1">
      <c r="B37" s="971"/>
      <c r="C37" s="966" t="s">
        <v>309</v>
      </c>
      <c r="D37" s="946">
        <v>130</v>
      </c>
      <c r="E37" s="947">
        <v>1</v>
      </c>
      <c r="F37" s="947">
        <v>1</v>
      </c>
      <c r="G37" s="955">
        <v>0.3</v>
      </c>
      <c r="H37" s="961">
        <v>4</v>
      </c>
      <c r="I37" s="738"/>
      <c r="J37" s="964">
        <f t="shared" si="3"/>
        <v>156</v>
      </c>
      <c r="K37" s="978"/>
    </row>
    <row r="38" spans="2:11" s="787" customFormat="1" ht="15" hidden="1">
      <c r="B38" s="971"/>
      <c r="C38" s="966" t="s">
        <v>311</v>
      </c>
      <c r="D38" s="946">
        <v>1</v>
      </c>
      <c r="E38" s="947">
        <v>1</v>
      </c>
      <c r="F38" s="947">
        <v>1</v>
      </c>
      <c r="G38" s="955">
        <v>1</v>
      </c>
      <c r="H38" s="961">
        <v>320</v>
      </c>
      <c r="I38" s="738"/>
      <c r="J38" s="964">
        <f t="shared" si="3"/>
        <v>320</v>
      </c>
      <c r="K38" s="978"/>
    </row>
    <row r="39" spans="2:11" s="787" customFormat="1" ht="15" hidden="1">
      <c r="B39" s="1010"/>
      <c r="C39" s="1011" t="s">
        <v>312</v>
      </c>
      <c r="D39" s="949"/>
      <c r="E39" s="950"/>
      <c r="F39" s="950"/>
      <c r="G39" s="957"/>
      <c r="H39" s="996">
        <v>0.1</v>
      </c>
      <c r="I39" s="745"/>
      <c r="J39" s="965" cm="1">
        <f t="array" ref="J39">SUM(H34:H38*H39)</f>
        <v>83</v>
      </c>
      <c r="K39" s="1012"/>
    </row>
    <row r="40" spans="2:11" s="787" customFormat="1" ht="15" hidden="1">
      <c r="B40" s="1013"/>
      <c r="C40" s="1001"/>
      <c r="D40" s="1002"/>
      <c r="E40" s="1002"/>
      <c r="F40" s="1002"/>
      <c r="G40" s="1002"/>
      <c r="H40" s="1003"/>
      <c r="I40" s="1004"/>
      <c r="J40" s="1005"/>
      <c r="K40" s="1014"/>
    </row>
    <row r="41" spans="2:11" s="787" customFormat="1" ht="15" hidden="1">
      <c r="B41" s="997" t="s">
        <v>1199</v>
      </c>
      <c r="C41" s="1015"/>
      <c r="D41" s="1016"/>
      <c r="E41" s="1017"/>
      <c r="F41" s="1017"/>
      <c r="G41" s="1018"/>
      <c r="H41" s="1019"/>
      <c r="I41" s="1020"/>
      <c r="J41" s="994"/>
      <c r="K41" s="790"/>
    </row>
    <row r="42" spans="2:11" s="787" customFormat="1" ht="15" hidden="1">
      <c r="B42" s="968"/>
      <c r="C42" s="963" t="s">
        <v>1189</v>
      </c>
      <c r="D42" s="982">
        <v>1</v>
      </c>
      <c r="E42" s="953">
        <v>1</v>
      </c>
      <c r="F42" s="953">
        <v>1</v>
      </c>
      <c r="G42" s="983">
        <v>1</v>
      </c>
      <c r="H42" s="984">
        <v>116</v>
      </c>
      <c r="I42" s="726"/>
      <c r="J42" s="969">
        <f t="shared" ref="J42" si="4">H42*G42*F42*E42*D42</f>
        <v>116</v>
      </c>
      <c r="K42" s="974" t="s">
        <v>327</v>
      </c>
    </row>
    <row r="43" spans="2:11" s="787" customFormat="1" ht="15" hidden="1">
      <c r="B43" s="971"/>
      <c r="C43" s="966"/>
      <c r="D43" s="946"/>
      <c r="E43" s="947"/>
      <c r="F43" s="947"/>
      <c r="G43" s="955"/>
      <c r="H43" s="967"/>
      <c r="I43" s="738"/>
      <c r="J43" s="964"/>
      <c r="K43" s="978"/>
    </row>
    <row r="44" spans="2:11" s="787" customFormat="1" ht="15" hidden="1">
      <c r="B44" s="971"/>
      <c r="C44" s="966" t="s">
        <v>1190</v>
      </c>
      <c r="D44" s="946">
        <v>1</v>
      </c>
      <c r="E44" s="947">
        <v>1</v>
      </c>
      <c r="F44" s="947">
        <v>1</v>
      </c>
      <c r="G44" s="955">
        <v>1</v>
      </c>
      <c r="H44" s="961">
        <v>40</v>
      </c>
      <c r="I44" s="738"/>
      <c r="J44" s="964">
        <f t="shared" ref="J44:J51" si="5">H44*G44*F44*E44*D44</f>
        <v>40</v>
      </c>
      <c r="K44" s="975" t="s">
        <v>327</v>
      </c>
    </row>
    <row r="45" spans="2:11" s="787" customFormat="1" ht="15" hidden="1">
      <c r="B45" s="971"/>
      <c r="C45" s="966" t="s">
        <v>1193</v>
      </c>
      <c r="D45" s="946">
        <v>1</v>
      </c>
      <c r="E45" s="947">
        <v>1</v>
      </c>
      <c r="F45" s="947">
        <v>1</v>
      </c>
      <c r="G45" s="955">
        <v>0.15</v>
      </c>
      <c r="H45" s="961">
        <v>350</v>
      </c>
      <c r="I45" s="738"/>
      <c r="J45" s="964">
        <f t="shared" si="5"/>
        <v>52.5</v>
      </c>
      <c r="K45" s="975" t="s">
        <v>327</v>
      </c>
    </row>
    <row r="46" spans="2:11" s="787" customFormat="1" ht="15" hidden="1">
      <c r="B46" s="971"/>
      <c r="C46" s="966" t="s">
        <v>1192</v>
      </c>
      <c r="D46" s="946">
        <v>1</v>
      </c>
      <c r="E46" s="947">
        <v>1</v>
      </c>
      <c r="F46" s="947">
        <v>1</v>
      </c>
      <c r="G46" s="955">
        <v>0.15</v>
      </c>
      <c r="H46" s="961">
        <v>350</v>
      </c>
      <c r="I46" s="738"/>
      <c r="J46" s="964">
        <f t="shared" si="5"/>
        <v>52.5</v>
      </c>
      <c r="K46" s="975" t="s">
        <v>327</v>
      </c>
    </row>
    <row r="47" spans="2:11" s="787" customFormat="1" ht="15" hidden="1">
      <c r="B47" s="971"/>
      <c r="C47" s="966" t="s">
        <v>1191</v>
      </c>
      <c r="D47" s="946">
        <v>1</v>
      </c>
      <c r="E47" s="947">
        <v>1</v>
      </c>
      <c r="F47" s="947">
        <v>1</v>
      </c>
      <c r="G47" s="955">
        <v>0.15</v>
      </c>
      <c r="H47" s="961">
        <v>350</v>
      </c>
      <c r="I47" s="738"/>
      <c r="J47" s="964">
        <f t="shared" si="5"/>
        <v>52.5</v>
      </c>
      <c r="K47" s="975" t="s">
        <v>327</v>
      </c>
    </row>
    <row r="48" spans="2:11" s="787" customFormat="1" ht="15" hidden="1">
      <c r="B48" s="971"/>
      <c r="C48" s="966" t="s">
        <v>1194</v>
      </c>
      <c r="D48" s="946">
        <v>1</v>
      </c>
      <c r="E48" s="947">
        <v>1</v>
      </c>
      <c r="F48" s="947">
        <v>1</v>
      </c>
      <c r="G48" s="955">
        <v>0.15</v>
      </c>
      <c r="H48" s="961">
        <v>350</v>
      </c>
      <c r="I48" s="738"/>
      <c r="J48" s="964">
        <f t="shared" si="5"/>
        <v>52.5</v>
      </c>
      <c r="K48" s="975" t="s">
        <v>327</v>
      </c>
    </row>
    <row r="49" spans="2:11" s="787" customFormat="1" ht="15" hidden="1">
      <c r="B49" s="971"/>
      <c r="C49" s="966"/>
      <c r="D49" s="946"/>
      <c r="E49" s="947"/>
      <c r="F49" s="947"/>
      <c r="G49" s="955"/>
      <c r="H49" s="967"/>
      <c r="I49" s="738"/>
      <c r="J49" s="964"/>
      <c r="K49" s="978"/>
    </row>
    <row r="50" spans="2:11" s="787" customFormat="1" ht="15" hidden="1">
      <c r="B50" s="971"/>
      <c r="C50" s="966" t="s">
        <v>1195</v>
      </c>
      <c r="D50" s="946">
        <v>1</v>
      </c>
      <c r="E50" s="947">
        <v>1</v>
      </c>
      <c r="F50" s="947">
        <v>1</v>
      </c>
      <c r="G50" s="955">
        <v>0.15</v>
      </c>
      <c r="H50" s="961">
        <v>350</v>
      </c>
      <c r="I50" s="738"/>
      <c r="J50" s="964">
        <f t="shared" si="5"/>
        <v>52.5</v>
      </c>
      <c r="K50" s="975" t="s">
        <v>322</v>
      </c>
    </row>
    <row r="51" spans="2:11" s="787" customFormat="1" ht="15" hidden="1">
      <c r="B51" s="1010"/>
      <c r="C51" s="1011" t="s">
        <v>1196</v>
      </c>
      <c r="D51" s="949">
        <v>1</v>
      </c>
      <c r="E51" s="950">
        <v>1</v>
      </c>
      <c r="F51" s="950">
        <v>1</v>
      </c>
      <c r="G51" s="957">
        <v>0.15</v>
      </c>
      <c r="H51" s="962">
        <v>350</v>
      </c>
      <c r="I51" s="745"/>
      <c r="J51" s="965">
        <f t="shared" si="5"/>
        <v>52.5</v>
      </c>
      <c r="K51" s="937" t="s">
        <v>322</v>
      </c>
    </row>
    <row r="52" spans="2:11" s="787" customFormat="1" ht="15">
      <c r="B52" s="1157"/>
      <c r="C52" s="1158"/>
      <c r="D52" s="1159"/>
      <c r="E52" s="1159"/>
      <c r="F52" s="1159"/>
      <c r="G52" s="1159"/>
      <c r="H52" s="1160"/>
      <c r="I52" s="1161"/>
      <c r="J52" s="1162"/>
      <c r="K52" s="878"/>
    </row>
    <row r="53" spans="2:11">
      <c r="C53" s="787" t="s">
        <v>313</v>
      </c>
      <c r="J53" s="931"/>
    </row>
    <row r="54" spans="2:11">
      <c r="C54" s="706" t="s">
        <v>314</v>
      </c>
      <c r="J54" s="931"/>
    </row>
    <row r="55" spans="2:11">
      <c r="C55" s="706" t="s">
        <v>315</v>
      </c>
      <c r="J55" s="931"/>
    </row>
    <row r="56" spans="2:11">
      <c r="C56" s="706" t="s">
        <v>316</v>
      </c>
      <c r="J56" s="931"/>
    </row>
    <row r="57" spans="2:11">
      <c r="J57" s="931"/>
    </row>
    <row r="58" spans="2:11">
      <c r="B58" s="787"/>
      <c r="J58" s="931"/>
    </row>
    <row r="59" spans="2:11">
      <c r="J59" s="931"/>
    </row>
    <row r="60" spans="2:11">
      <c r="J60" s="931"/>
    </row>
    <row r="61" spans="2:11">
      <c r="J61" s="931"/>
    </row>
    <row r="62" spans="2:11">
      <c r="J62" s="931"/>
    </row>
    <row r="63" spans="2:11">
      <c r="J63" s="931"/>
    </row>
    <row r="64" spans="2:11">
      <c r="J64" s="931"/>
    </row>
    <row r="65" spans="10:10">
      <c r="J65" s="931"/>
    </row>
    <row r="66" spans="10:10">
      <c r="J66" s="931"/>
    </row>
    <row r="67" spans="10:10">
      <c r="J67" s="931"/>
    </row>
    <row r="68" spans="10:10">
      <c r="J68" s="931"/>
    </row>
    <row r="69" spans="10:10">
      <c r="J69" s="931"/>
    </row>
    <row r="70" spans="10:10">
      <c r="J70" s="931"/>
    </row>
    <row r="71" spans="10:10">
      <c r="J71" s="931"/>
    </row>
    <row r="72" spans="10:10">
      <c r="J72" s="931"/>
    </row>
    <row r="73" spans="10:10">
      <c r="J73" s="931"/>
    </row>
    <row r="74" spans="10:10">
      <c r="J74" s="931"/>
    </row>
    <row r="75" spans="10:10">
      <c r="J75" s="931"/>
    </row>
    <row r="76" spans="10:10">
      <c r="J76" s="931"/>
    </row>
    <row r="77" spans="10:10">
      <c r="J77" s="931"/>
    </row>
    <row r="78" spans="10:10">
      <c r="J78" s="931"/>
    </row>
    <row r="79" spans="10:10">
      <c r="J79" s="931"/>
    </row>
    <row r="80" spans="10:10">
      <c r="J80" s="931"/>
    </row>
    <row r="81" spans="10:10">
      <c r="J81" s="931"/>
    </row>
    <row r="82" spans="10:10">
      <c r="J82" s="931"/>
    </row>
    <row r="83" spans="10:10">
      <c r="J83" s="931"/>
    </row>
    <row r="84" spans="10:10">
      <c r="J84" s="931"/>
    </row>
    <row r="85" spans="10:10">
      <c r="J85" s="931"/>
    </row>
    <row r="86" spans="10:10">
      <c r="J86" s="931"/>
    </row>
    <row r="87" spans="10:10">
      <c r="J87" s="931"/>
    </row>
    <row r="88" spans="10:10">
      <c r="J88" s="931"/>
    </row>
    <row r="89" spans="10:10">
      <c r="J89" s="931"/>
    </row>
    <row r="90" spans="10:10">
      <c r="J90" s="931"/>
    </row>
    <row r="91" spans="10:10">
      <c r="J91" s="931"/>
    </row>
    <row r="92" spans="10:10">
      <c r="J92" s="931"/>
    </row>
    <row r="93" spans="10:10">
      <c r="J93" s="931"/>
    </row>
    <row r="94" spans="10:10">
      <c r="J94" s="931"/>
    </row>
    <row r="95" spans="10:10">
      <c r="J95" s="931"/>
    </row>
    <row r="96" spans="10:10">
      <c r="J96" s="931"/>
    </row>
    <row r="97" spans="10:10">
      <c r="J97" s="931"/>
    </row>
    <row r="98" spans="10:10">
      <c r="J98" s="931"/>
    </row>
    <row r="99" spans="10:10">
      <c r="J99" s="931"/>
    </row>
    <row r="100" spans="10:10">
      <c r="J100" s="931"/>
    </row>
    <row r="101" spans="10:10">
      <c r="J101" s="931"/>
    </row>
    <row r="102" spans="10:10">
      <c r="J102" s="931"/>
    </row>
    <row r="103" spans="10:10">
      <c r="J103" s="931"/>
    </row>
    <row r="104" spans="10:10">
      <c r="J104" s="931"/>
    </row>
    <row r="105" spans="10:10">
      <c r="J105" s="931"/>
    </row>
    <row r="106" spans="10:10">
      <c r="J106" s="931"/>
    </row>
    <row r="107" spans="10:10">
      <c r="J107" s="931"/>
    </row>
    <row r="108" spans="10:10">
      <c r="J108" s="931"/>
    </row>
    <row r="109" spans="10:10">
      <c r="J109" s="931"/>
    </row>
    <row r="110" spans="10:10">
      <c r="J110" s="931"/>
    </row>
    <row r="111" spans="10:10">
      <c r="J111" s="931"/>
    </row>
    <row r="112" spans="10:10">
      <c r="J112" s="931"/>
    </row>
    <row r="113" spans="10:10">
      <c r="J113" s="931"/>
    </row>
    <row r="114" spans="10:10">
      <c r="J114" s="931"/>
    </row>
    <row r="115" spans="10:10">
      <c r="J115" s="931"/>
    </row>
    <row r="116" spans="10:10">
      <c r="J116" s="931"/>
    </row>
    <row r="117" spans="10:10">
      <c r="J117" s="931"/>
    </row>
    <row r="118" spans="10:10">
      <c r="J118" s="931"/>
    </row>
    <row r="119" spans="10:10">
      <c r="J119" s="931"/>
    </row>
    <row r="120" spans="10:10">
      <c r="J120" s="931"/>
    </row>
    <row r="121" spans="10:10">
      <c r="J121" s="931"/>
    </row>
    <row r="122" spans="10:10">
      <c r="J122" s="931"/>
    </row>
    <row r="123" spans="10:10">
      <c r="J123" s="931"/>
    </row>
    <row r="124" spans="10:10">
      <c r="J124" s="931"/>
    </row>
    <row r="125" spans="10:10">
      <c r="J125" s="931"/>
    </row>
    <row r="126" spans="10:10">
      <c r="J126" s="931"/>
    </row>
    <row r="127" spans="10:10">
      <c r="J127" s="931"/>
    </row>
    <row r="128" spans="10:10">
      <c r="J128" s="931"/>
    </row>
    <row r="129" spans="10:10">
      <c r="J129" s="931"/>
    </row>
    <row r="130" spans="10:10">
      <c r="J130" s="931"/>
    </row>
    <row r="131" spans="10:10">
      <c r="J131" s="931"/>
    </row>
    <row r="132" spans="10:10">
      <c r="J132" s="931"/>
    </row>
    <row r="133" spans="10:10">
      <c r="J133" s="931"/>
    </row>
  </sheetData>
  <sheetProtection algorithmName="SHA-512" hashValue="SFa4TrsTfV8ZbdAd0A7bZCydO2o/wIUA7Nqq6QMh8JxqVaz48XOhzx/RpwyMKaR02Yb0oDIk+trR6kknXVRf/w==" saltValue="ZkF58z6MIXMgoo0SjinRaw==" spinCount="100000" sheet="1" objects="1" scenarios="1"/>
  <mergeCells count="2">
    <mergeCell ref="J2:K2"/>
    <mergeCell ref="B10:C10"/>
  </mergeCells>
  <pageMargins left="0.7" right="0.7" top="0.75" bottom="0.75" header="0.3" footer="0.3"/>
  <pageSetup paperSize="8" orientation="landscape" r:id="rId1"/>
  <headerFooter>
    <oddHeader>&amp;C&amp;"Calibri"&amp;10&amp;K000000Confidential&amp;1#</oddHeader>
    <oddFooter>&amp;R&amp;1#&amp;"Calibri"&amp;10&amp;K000000Confidential</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260B6-8861-42CA-A935-42E2D22AEF1F}">
  <sheetPr codeName="Sheet14">
    <tabColor rgb="FF00B0F0"/>
  </sheetPr>
  <dimension ref="B7:O116"/>
  <sheetViews>
    <sheetView view="pageBreakPreview" zoomScale="80" zoomScaleNormal="80" zoomScaleSheetLayoutView="80" workbookViewId="0">
      <selection activeCell="N35" sqref="N35"/>
    </sheetView>
  </sheetViews>
  <sheetFormatPr defaultColWidth="9.140625" defaultRowHeight="12.75"/>
  <cols>
    <col min="1" max="1" width="10.5703125" style="706" customWidth="1"/>
    <col min="2" max="2" width="5.28515625" style="706" customWidth="1"/>
    <col min="3" max="3" width="44.28515625" style="706" bestFit="1" customWidth="1"/>
    <col min="4" max="7" width="7.42578125" style="706" customWidth="1"/>
    <col min="8" max="8" width="13.7109375" style="706" bestFit="1" customWidth="1"/>
    <col min="9" max="9" width="9.140625" style="706"/>
    <col min="10" max="11" width="16" style="706" hidden="1" customWidth="1"/>
    <col min="12" max="12" width="16" style="706" customWidth="1"/>
    <col min="13" max="13" width="15.85546875" style="706" customWidth="1"/>
    <col min="14" max="14" width="42.85546875" style="706" bestFit="1" customWidth="1"/>
    <col min="15" max="15" width="11.42578125" style="706" bestFit="1" customWidth="1"/>
    <col min="16" max="16384" width="9.140625" style="706"/>
  </cols>
  <sheetData>
    <row r="7" spans="2:15" hidden="1"/>
    <row r="8" spans="2:15" ht="13.15" hidden="1" customHeight="1">
      <c r="K8" s="706">
        <v>1.01</v>
      </c>
      <c r="L8" s="706">
        <v>1.0629999999999999</v>
      </c>
      <c r="O8" s="923"/>
    </row>
    <row r="9" spans="2:15" ht="13.15" customHeight="1">
      <c r="O9" s="923"/>
    </row>
    <row r="10" spans="2:15" ht="40.15" customHeight="1">
      <c r="B10" s="710"/>
      <c r="C10" s="711" t="s">
        <v>194</v>
      </c>
      <c r="D10" s="711"/>
      <c r="E10" s="711"/>
      <c r="F10" s="711"/>
      <c r="G10" s="711"/>
      <c r="H10" s="711"/>
      <c r="I10" s="711" t="s">
        <v>195</v>
      </c>
      <c r="J10" s="718" t="s">
        <v>1679</v>
      </c>
      <c r="K10" s="718" t="s">
        <v>1680</v>
      </c>
      <c r="L10" s="718" t="s">
        <v>3455</v>
      </c>
      <c r="M10" s="712"/>
    </row>
    <row r="11" spans="2:15" ht="15">
      <c r="B11" s="932"/>
      <c r="C11" s="933"/>
      <c r="D11" s="941" t="s">
        <v>302</v>
      </c>
      <c r="E11" s="941" t="s">
        <v>303</v>
      </c>
      <c r="F11" s="941" t="s">
        <v>304</v>
      </c>
      <c r="G11" s="941" t="s">
        <v>305</v>
      </c>
      <c r="H11" s="952" t="s">
        <v>306</v>
      </c>
      <c r="I11" s="933"/>
      <c r="J11" s="934"/>
      <c r="K11" s="1240"/>
      <c r="L11" s="1365"/>
      <c r="M11" s="935"/>
    </row>
    <row r="12" spans="2:15">
      <c r="B12" s="1584" t="s">
        <v>1203</v>
      </c>
      <c r="C12" s="1585"/>
      <c r="D12" s="719"/>
      <c r="E12" s="719"/>
      <c r="F12" s="719"/>
      <c r="G12" s="719"/>
      <c r="H12" s="719"/>
      <c r="I12" s="938"/>
      <c r="J12" s="930">
        <f>SUM(J13:J14)</f>
        <v>12600000</v>
      </c>
      <c r="K12" s="1241">
        <f>SUM(K13:K14)</f>
        <v>12726000</v>
      </c>
      <c r="L12" s="1241">
        <f>SUM(L13:L14)</f>
        <v>13527738</v>
      </c>
      <c r="M12" s="790" t="s">
        <v>1205</v>
      </c>
    </row>
    <row r="13" spans="2:15" ht="15">
      <c r="B13" s="766"/>
      <c r="C13" s="1138" t="s">
        <v>1201</v>
      </c>
      <c r="D13" s="944">
        <v>1</v>
      </c>
      <c r="E13" s="945">
        <v>1</v>
      </c>
      <c r="F13" s="945">
        <v>1</v>
      </c>
      <c r="G13" s="954">
        <v>1</v>
      </c>
      <c r="H13" s="1137">
        <v>12000000</v>
      </c>
      <c r="I13" s="768" t="s">
        <v>1204</v>
      </c>
      <c r="J13" s="1235">
        <f>H13*G13*F13*E13*D13</f>
        <v>12000000</v>
      </c>
      <c r="K13" s="1242">
        <f>J13*$K$8</f>
        <v>12120000</v>
      </c>
      <c r="L13" s="1242">
        <f>K13*$L$8</f>
        <v>12883560</v>
      </c>
      <c r="M13" s="940"/>
    </row>
    <row r="14" spans="2:15" ht="15">
      <c r="B14" s="743"/>
      <c r="C14" s="1141" t="s">
        <v>312</v>
      </c>
      <c r="D14" s="949">
        <v>0.05</v>
      </c>
      <c r="E14" s="950">
        <v>1</v>
      </c>
      <c r="F14" s="950">
        <v>1</v>
      </c>
      <c r="G14" s="957">
        <v>1</v>
      </c>
      <c r="H14" s="1148">
        <v>12000000</v>
      </c>
      <c r="I14" s="798" t="s">
        <v>608</v>
      </c>
      <c r="J14" s="1236">
        <f>H14*G14*F14*E14*D14</f>
        <v>600000</v>
      </c>
      <c r="K14" s="1242">
        <f>J14*$K$8</f>
        <v>606000</v>
      </c>
      <c r="L14" s="1242">
        <f>K14*$L$8</f>
        <v>644178</v>
      </c>
      <c r="M14" s="951"/>
    </row>
    <row r="15" spans="2:15" ht="15">
      <c r="B15" s="1007"/>
      <c r="C15" s="1142"/>
      <c r="D15" s="1002"/>
      <c r="E15" s="1002"/>
      <c r="F15" s="1002"/>
      <c r="G15" s="1002"/>
      <c r="H15" s="1143"/>
      <c r="I15" s="1004"/>
      <c r="J15" s="1005"/>
      <c r="K15" s="1243"/>
      <c r="L15" s="1005"/>
      <c r="M15" s="1008"/>
    </row>
    <row r="16" spans="2:15">
      <c r="B16" s="1584" t="s">
        <v>1206</v>
      </c>
      <c r="C16" s="1585"/>
      <c r="D16" s="719"/>
      <c r="E16" s="719"/>
      <c r="F16" s="719"/>
      <c r="G16" s="719"/>
      <c r="H16" s="719"/>
      <c r="I16" s="938"/>
      <c r="J16" s="930">
        <f>SUM(J17:J18)</f>
        <v>6300000</v>
      </c>
      <c r="K16" s="1241">
        <f>SUM(K17:K18)</f>
        <v>6363000</v>
      </c>
      <c r="L16" s="1241">
        <f>SUM(L17:L18)</f>
        <v>6763869</v>
      </c>
      <c r="M16" s="790" t="s">
        <v>1205</v>
      </c>
    </row>
    <row r="17" spans="2:15" ht="15">
      <c r="B17" s="766"/>
      <c r="C17" s="1140" t="s">
        <v>1202</v>
      </c>
      <c r="D17" s="946">
        <v>1</v>
      </c>
      <c r="E17" s="947">
        <v>1</v>
      </c>
      <c r="F17" s="947">
        <v>1</v>
      </c>
      <c r="G17" s="955">
        <v>1</v>
      </c>
      <c r="H17" s="1149">
        <v>6000000</v>
      </c>
      <c r="I17" s="959" t="s">
        <v>1179</v>
      </c>
      <c r="J17" s="1237">
        <f>H17*G17*F17*E17*D17</f>
        <v>6000000</v>
      </c>
      <c r="K17" s="1242">
        <f>J17*$K$8</f>
        <v>6060000</v>
      </c>
      <c r="L17" s="1242">
        <f>K17*$L$8</f>
        <v>6441780</v>
      </c>
      <c r="M17" s="940"/>
      <c r="O17" s="1139"/>
    </row>
    <row r="18" spans="2:15" ht="15">
      <c r="B18" s="743"/>
      <c r="C18" s="1141" t="s">
        <v>312</v>
      </c>
      <c r="D18" s="949">
        <v>0.05</v>
      </c>
      <c r="E18" s="950">
        <v>1</v>
      </c>
      <c r="F18" s="950">
        <v>1</v>
      </c>
      <c r="G18" s="957">
        <v>1</v>
      </c>
      <c r="H18" s="1148">
        <v>6000000</v>
      </c>
      <c r="I18" s="798" t="s">
        <v>608</v>
      </c>
      <c r="J18" s="1236">
        <f>H18*G18*F18*E18*D18</f>
        <v>300000</v>
      </c>
      <c r="K18" s="1242">
        <f>J18*$K$8</f>
        <v>303000</v>
      </c>
      <c r="L18" s="1242">
        <f>K18*$L$8</f>
        <v>322089</v>
      </c>
      <c r="M18" s="951"/>
    </row>
    <row r="19" spans="2:15" ht="15">
      <c r="B19" s="1007"/>
      <c r="C19" s="1142"/>
      <c r="D19" s="1002"/>
      <c r="E19" s="1002"/>
      <c r="F19" s="1002"/>
      <c r="G19" s="1002"/>
      <c r="H19" s="1144"/>
      <c r="I19" s="1145"/>
      <c r="J19" s="1005"/>
      <c r="K19" s="1243"/>
      <c r="L19" s="1005"/>
      <c r="M19" s="1008"/>
    </row>
    <row r="20" spans="2:15">
      <c r="B20" s="1584" t="s">
        <v>1207</v>
      </c>
      <c r="C20" s="1585"/>
      <c r="D20" s="719"/>
      <c r="E20" s="719"/>
      <c r="F20" s="719"/>
      <c r="G20" s="719"/>
      <c r="H20" s="719"/>
      <c r="I20" s="938"/>
      <c r="J20" s="930">
        <f>SUM(J21:J22)</f>
        <v>7875</v>
      </c>
      <c r="K20" s="1241">
        <f>SUM(K21:K22)</f>
        <v>7953.75</v>
      </c>
      <c r="L20" s="1241">
        <f>SUM(L21:L22)</f>
        <v>8454.8362500000003</v>
      </c>
      <c r="M20" s="790" t="s">
        <v>1205</v>
      </c>
    </row>
    <row r="21" spans="2:15" ht="15">
      <c r="B21" s="736"/>
      <c r="C21" s="1140" t="s">
        <v>1208</v>
      </c>
      <c r="D21" s="946">
        <v>1</v>
      </c>
      <c r="E21" s="947">
        <v>1</v>
      </c>
      <c r="F21" s="947">
        <v>1</v>
      </c>
      <c r="G21" s="955">
        <v>1</v>
      </c>
      <c r="H21" s="1149">
        <v>7500</v>
      </c>
      <c r="I21" s="959" t="s">
        <v>1179</v>
      </c>
      <c r="J21" s="1237">
        <f>H21*G21*F21*E21*D21</f>
        <v>7500</v>
      </c>
      <c r="K21" s="1242">
        <f>J21*$K$8</f>
        <v>7575</v>
      </c>
      <c r="L21" s="1242">
        <f>K21*$L$8</f>
        <v>8052.2249999999995</v>
      </c>
      <c r="M21" s="940"/>
    </row>
    <row r="22" spans="2:15" ht="15">
      <c r="B22" s="743"/>
      <c r="C22" s="1141" t="s">
        <v>312</v>
      </c>
      <c r="D22" s="949">
        <v>0.05</v>
      </c>
      <c r="E22" s="950">
        <v>1</v>
      </c>
      <c r="F22" s="950">
        <v>1</v>
      </c>
      <c r="G22" s="957">
        <v>1</v>
      </c>
      <c r="H22" s="1148">
        <v>7500</v>
      </c>
      <c r="I22" s="798" t="s">
        <v>608</v>
      </c>
      <c r="J22" s="1236">
        <f>H22*G22*F22*E22*D22</f>
        <v>375</v>
      </c>
      <c r="K22" s="1245">
        <f>J22*$K$8</f>
        <v>378.75</v>
      </c>
      <c r="L22" s="1245">
        <f>K22*$L$8</f>
        <v>402.61124999999998</v>
      </c>
      <c r="M22" s="951"/>
    </row>
    <row r="23" spans="2:15" ht="15">
      <c r="B23" s="724"/>
      <c r="C23" s="943"/>
      <c r="D23" s="946"/>
      <c r="E23" s="947"/>
      <c r="F23" s="947"/>
      <c r="G23" s="955"/>
      <c r="H23" s="958"/>
      <c r="I23" s="959"/>
      <c r="J23" s="1238"/>
      <c r="K23" s="1244"/>
      <c r="L23" s="1162"/>
      <c r="M23" s="940"/>
    </row>
    <row r="24" spans="2:15">
      <c r="B24" s="1584" t="s">
        <v>1222</v>
      </c>
      <c r="C24" s="1585"/>
      <c r="D24" s="719"/>
      <c r="E24" s="719"/>
      <c r="F24" s="719"/>
      <c r="G24" s="719"/>
      <c r="H24" s="719"/>
      <c r="I24" s="938"/>
      <c r="J24" s="930">
        <f>SUM(J25:J26)</f>
        <v>3300000</v>
      </c>
      <c r="K24" s="1241">
        <f>SUM(K25:K26)</f>
        <v>3333000</v>
      </c>
      <c r="L24" s="1241">
        <f>SUM(L25:L26)</f>
        <v>3542979</v>
      </c>
      <c r="M24" s="790" t="s">
        <v>1205</v>
      </c>
    </row>
    <row r="25" spans="2:15" ht="15">
      <c r="B25" s="736"/>
      <c r="C25" s="1140" t="s">
        <v>1220</v>
      </c>
      <c r="D25" s="946">
        <v>1</v>
      </c>
      <c r="E25" s="947">
        <v>1</v>
      </c>
      <c r="F25" s="947">
        <v>1</v>
      </c>
      <c r="G25" s="955">
        <v>1</v>
      </c>
      <c r="H25" s="1149">
        <v>2400000</v>
      </c>
      <c r="I25" s="959" t="s">
        <v>1179</v>
      </c>
      <c r="J25" s="1237">
        <f>H25*G25*F25*E25*D25</f>
        <v>2400000</v>
      </c>
      <c r="K25" s="1242">
        <f>J25*$K$8</f>
        <v>2424000</v>
      </c>
      <c r="L25" s="1242">
        <f>K25*$L$8</f>
        <v>2576712</v>
      </c>
      <c r="M25" s="940"/>
      <c r="N25" s="706" t="s">
        <v>3467</v>
      </c>
    </row>
    <row r="26" spans="2:15" ht="15">
      <c r="B26" s="743"/>
      <c r="C26" s="1141" t="s">
        <v>1221</v>
      </c>
      <c r="D26" s="949">
        <v>1</v>
      </c>
      <c r="E26" s="950">
        <v>1</v>
      </c>
      <c r="F26" s="950">
        <v>1</v>
      </c>
      <c r="G26" s="957">
        <v>1</v>
      </c>
      <c r="H26" s="1148">
        <v>900000</v>
      </c>
      <c r="I26" s="798" t="s">
        <v>608</v>
      </c>
      <c r="J26" s="1236">
        <f>H26*G26*F26*E26*D26</f>
        <v>900000</v>
      </c>
      <c r="K26" s="1245">
        <f>J26*$K$8</f>
        <v>909000</v>
      </c>
      <c r="L26" s="1245">
        <f>K26*$L$8</f>
        <v>966267</v>
      </c>
      <c r="M26" s="951"/>
    </row>
    <row r="27" spans="2:15" ht="15">
      <c r="B27" s="784"/>
      <c r="C27" s="1146"/>
      <c r="D27" s="989"/>
      <c r="E27" s="990"/>
      <c r="F27" s="990"/>
      <c r="G27" s="991"/>
      <c r="H27" s="1147"/>
      <c r="I27" s="895"/>
      <c r="J27" s="1239"/>
      <c r="K27" s="1244"/>
      <c r="L27" s="1162"/>
      <c r="M27" s="940"/>
    </row>
    <row r="28" spans="2:15" ht="15">
      <c r="B28" s="939"/>
      <c r="C28" s="1146"/>
      <c r="D28" s="989"/>
      <c r="E28" s="990"/>
      <c r="F28" s="990"/>
      <c r="G28" s="991"/>
      <c r="H28" s="1147"/>
      <c r="I28" s="895"/>
      <c r="J28" s="1239"/>
      <c r="K28" s="1244"/>
      <c r="L28" s="1162"/>
      <c r="M28" s="940"/>
    </row>
    <row r="29" spans="2:15" ht="15">
      <c r="B29" s="1152" t="s">
        <v>1211</v>
      </c>
      <c r="C29" s="1150"/>
      <c r="D29" s="1016"/>
      <c r="E29" s="1017"/>
      <c r="F29" s="1017"/>
      <c r="G29" s="1018"/>
      <c r="H29" s="1151"/>
      <c r="I29" s="1020"/>
      <c r="J29" s="930">
        <f>SUM(J30:J31)</f>
        <v>1680000</v>
      </c>
      <c r="K29" s="1241">
        <f>SUM(K30:K31)</f>
        <v>1696800</v>
      </c>
      <c r="L29" s="1241">
        <f>SUM(L30:L31)</f>
        <v>1803698.4</v>
      </c>
      <c r="M29" s="790" t="s">
        <v>1205</v>
      </c>
    </row>
    <row r="30" spans="2:15" ht="15">
      <c r="B30" s="939"/>
      <c r="C30" s="1146" t="s">
        <v>1212</v>
      </c>
      <c r="D30" s="946">
        <v>1</v>
      </c>
      <c r="E30" s="947">
        <v>1</v>
      </c>
      <c r="F30" s="947">
        <v>1</v>
      </c>
      <c r="G30" s="955">
        <v>1</v>
      </c>
      <c r="H30" s="1149">
        <v>1600000</v>
      </c>
      <c r="I30" s="959" t="s">
        <v>1179</v>
      </c>
      <c r="J30" s="1237">
        <f>H30*G30*F30*E30*D30</f>
        <v>1600000</v>
      </c>
      <c r="K30" s="1242">
        <f>J30*$K$8</f>
        <v>1616000</v>
      </c>
      <c r="L30" s="1242">
        <f>K30*$L$8</f>
        <v>1717808</v>
      </c>
      <c r="M30" s="940"/>
    </row>
    <row r="31" spans="2:15" ht="15">
      <c r="B31" s="743"/>
      <c r="C31" s="1153"/>
      <c r="D31" s="949">
        <v>0.05</v>
      </c>
      <c r="E31" s="950">
        <v>1</v>
      </c>
      <c r="F31" s="950">
        <v>1</v>
      </c>
      <c r="G31" s="957">
        <v>1</v>
      </c>
      <c r="H31" s="1148">
        <v>1600000</v>
      </c>
      <c r="I31" s="798" t="s">
        <v>608</v>
      </c>
      <c r="J31" s="1236">
        <f>H31*G31*F31*E31*D31</f>
        <v>80000</v>
      </c>
      <c r="K31" s="1245">
        <f>J31*$K$8</f>
        <v>80800</v>
      </c>
      <c r="L31" s="1245">
        <f>K31*$L$8</f>
        <v>85890.4</v>
      </c>
      <c r="M31" s="951"/>
    </row>
    <row r="32" spans="2:15" ht="15">
      <c r="B32" s="893"/>
      <c r="C32" s="1232"/>
      <c r="D32" s="1159"/>
      <c r="E32" s="1159"/>
      <c r="F32" s="1159"/>
      <c r="G32" s="1159"/>
      <c r="H32" s="1233"/>
      <c r="I32" s="1161"/>
      <c r="J32" s="1234"/>
      <c r="K32" s="1242"/>
      <c r="L32" s="1234"/>
      <c r="M32" s="878"/>
    </row>
    <row r="33" spans="2:13" ht="15">
      <c r="B33" s="1152" t="s">
        <v>1677</v>
      </c>
      <c r="C33" s="1150"/>
      <c r="D33" s="1016"/>
      <c r="E33" s="1017"/>
      <c r="F33" s="1017"/>
      <c r="G33" s="1018"/>
      <c r="H33" s="1151"/>
      <c r="I33" s="1020"/>
      <c r="J33" s="930">
        <f>SUM(J34:J35)</f>
        <v>378000</v>
      </c>
      <c r="K33" s="1241">
        <f>SUM(K34:K35)</f>
        <v>381780</v>
      </c>
      <c r="L33" s="1241">
        <f>SUM(L34:L35)</f>
        <v>405832.14</v>
      </c>
      <c r="M33" s="790" t="s">
        <v>1205</v>
      </c>
    </row>
    <row r="34" spans="2:13" ht="15">
      <c r="B34" s="939"/>
      <c r="C34" s="1146" t="s">
        <v>1678</v>
      </c>
      <c r="D34" s="946">
        <v>1</v>
      </c>
      <c r="E34" s="947">
        <v>1</v>
      </c>
      <c r="F34" s="947">
        <v>1</v>
      </c>
      <c r="G34" s="955">
        <v>1</v>
      </c>
      <c r="H34" s="1149">
        <v>360000</v>
      </c>
      <c r="I34" s="959" t="s">
        <v>1179</v>
      </c>
      <c r="J34" s="1237">
        <f>H34*G34*F34*E34*D34</f>
        <v>360000</v>
      </c>
      <c r="K34" s="1242">
        <f>J34*$K$8</f>
        <v>363600</v>
      </c>
      <c r="L34" s="1366">
        <f>K34*$L$8</f>
        <v>386506.8</v>
      </c>
      <c r="M34" s="940"/>
    </row>
    <row r="35" spans="2:13" ht="15">
      <c r="B35" s="743"/>
      <c r="C35" s="1141" t="s">
        <v>312</v>
      </c>
      <c r="D35" s="949">
        <v>0.05</v>
      </c>
      <c r="E35" s="950">
        <v>1</v>
      </c>
      <c r="F35" s="950">
        <v>1</v>
      </c>
      <c r="G35" s="957">
        <v>1</v>
      </c>
      <c r="H35" s="1148">
        <v>360000</v>
      </c>
      <c r="I35" s="798" t="s">
        <v>608</v>
      </c>
      <c r="J35" s="1236">
        <f>H35*G35*F35*E35*D35</f>
        <v>18000</v>
      </c>
      <c r="K35" s="1245">
        <f>J35*$K$8</f>
        <v>18180</v>
      </c>
      <c r="L35" s="1245">
        <f>K35*$L$8</f>
        <v>19325.34</v>
      </c>
      <c r="M35" s="951"/>
    </row>
    <row r="36" spans="2:13" ht="15">
      <c r="B36" s="893"/>
      <c r="C36" s="1232"/>
      <c r="D36" s="1159"/>
      <c r="E36" s="1159"/>
      <c r="F36" s="1159"/>
      <c r="G36" s="1159"/>
      <c r="H36" s="1233"/>
      <c r="I36" s="1161"/>
      <c r="J36" s="1234"/>
      <c r="K36" s="1234"/>
      <c r="L36" s="1234"/>
      <c r="M36" s="878"/>
    </row>
    <row r="37" spans="2:13" ht="10.15" customHeight="1">
      <c r="B37" s="750"/>
      <c r="I37" s="751"/>
      <c r="J37" s="929"/>
      <c r="K37" s="929"/>
      <c r="L37" s="929"/>
      <c r="M37" s="752"/>
    </row>
    <row r="38" spans="2:13">
      <c r="J38" s="931"/>
      <c r="K38" s="931"/>
      <c r="L38" s="931"/>
    </row>
    <row r="39" spans="2:13">
      <c r="J39" s="931"/>
      <c r="K39" s="931"/>
      <c r="L39" s="931"/>
    </row>
    <row r="40" spans="2:13">
      <c r="J40" s="931"/>
      <c r="K40" s="931"/>
      <c r="L40" s="931"/>
    </row>
    <row r="41" spans="2:13">
      <c r="J41" s="931"/>
      <c r="K41" s="931"/>
      <c r="L41" s="931"/>
    </row>
    <row r="42" spans="2:13">
      <c r="J42" s="931"/>
      <c r="K42" s="931"/>
      <c r="L42" s="931"/>
    </row>
    <row r="43" spans="2:13">
      <c r="J43" s="931"/>
      <c r="K43" s="931"/>
      <c r="L43" s="931"/>
    </row>
    <row r="44" spans="2:13">
      <c r="J44" s="931"/>
      <c r="K44" s="931"/>
      <c r="L44" s="931"/>
    </row>
    <row r="45" spans="2:13">
      <c r="J45" s="931"/>
      <c r="K45" s="931"/>
      <c r="L45" s="931"/>
    </row>
    <row r="46" spans="2:13">
      <c r="J46" s="931"/>
      <c r="K46" s="931"/>
      <c r="L46" s="931"/>
    </row>
    <row r="47" spans="2:13">
      <c r="J47" s="931"/>
      <c r="K47" s="931"/>
      <c r="L47" s="931"/>
    </row>
    <row r="48" spans="2:13">
      <c r="J48" s="931"/>
      <c r="K48" s="931"/>
      <c r="L48" s="931"/>
    </row>
    <row r="49" spans="10:12">
      <c r="J49" s="931"/>
      <c r="K49" s="931"/>
      <c r="L49" s="931"/>
    </row>
    <row r="50" spans="10:12">
      <c r="J50" s="931"/>
      <c r="K50" s="931"/>
      <c r="L50" s="931"/>
    </row>
    <row r="51" spans="10:12">
      <c r="J51" s="931"/>
      <c r="K51" s="931"/>
      <c r="L51" s="931"/>
    </row>
    <row r="52" spans="10:12">
      <c r="J52" s="931"/>
      <c r="K52" s="931"/>
      <c r="L52" s="931"/>
    </row>
    <row r="53" spans="10:12">
      <c r="J53" s="931"/>
      <c r="K53" s="931"/>
      <c r="L53" s="931"/>
    </row>
    <row r="54" spans="10:12">
      <c r="J54" s="931"/>
      <c r="K54" s="931"/>
      <c r="L54" s="931"/>
    </row>
    <row r="55" spans="10:12">
      <c r="J55" s="931"/>
      <c r="K55" s="931"/>
      <c r="L55" s="931"/>
    </row>
    <row r="56" spans="10:12">
      <c r="J56" s="931"/>
      <c r="K56" s="931"/>
      <c r="L56" s="931"/>
    </row>
    <row r="57" spans="10:12">
      <c r="J57" s="931"/>
      <c r="K57" s="931"/>
      <c r="L57" s="931"/>
    </row>
    <row r="58" spans="10:12">
      <c r="J58" s="931"/>
      <c r="K58" s="931"/>
      <c r="L58" s="931"/>
    </row>
    <row r="59" spans="10:12">
      <c r="J59" s="931"/>
      <c r="K59" s="931"/>
      <c r="L59" s="931"/>
    </row>
    <row r="60" spans="10:12">
      <c r="J60" s="931"/>
      <c r="K60" s="931"/>
      <c r="L60" s="931"/>
    </row>
    <row r="61" spans="10:12">
      <c r="J61" s="931"/>
      <c r="K61" s="931"/>
      <c r="L61" s="931"/>
    </row>
    <row r="62" spans="10:12">
      <c r="J62" s="931"/>
      <c r="K62" s="931"/>
      <c r="L62" s="931"/>
    </row>
    <row r="63" spans="10:12">
      <c r="J63" s="931"/>
      <c r="K63" s="931"/>
      <c r="L63" s="931"/>
    </row>
    <row r="64" spans="10:12">
      <c r="J64" s="931"/>
      <c r="K64" s="931"/>
      <c r="L64" s="931"/>
    </row>
    <row r="65" spans="10:12">
      <c r="J65" s="931"/>
      <c r="K65" s="931"/>
      <c r="L65" s="931"/>
    </row>
    <row r="66" spans="10:12">
      <c r="J66" s="931"/>
      <c r="K66" s="931"/>
      <c r="L66" s="931"/>
    </row>
    <row r="67" spans="10:12">
      <c r="J67" s="931"/>
      <c r="K67" s="931"/>
      <c r="L67" s="931"/>
    </row>
    <row r="68" spans="10:12">
      <c r="J68" s="931"/>
      <c r="K68" s="931"/>
      <c r="L68" s="931"/>
    </row>
    <row r="69" spans="10:12">
      <c r="J69" s="931"/>
      <c r="K69" s="931"/>
      <c r="L69" s="931"/>
    </row>
    <row r="70" spans="10:12">
      <c r="J70" s="931"/>
      <c r="K70" s="931"/>
      <c r="L70" s="931"/>
    </row>
    <row r="71" spans="10:12">
      <c r="J71" s="931"/>
      <c r="K71" s="931"/>
      <c r="L71" s="931"/>
    </row>
    <row r="72" spans="10:12">
      <c r="J72" s="931"/>
      <c r="K72" s="931"/>
      <c r="L72" s="931"/>
    </row>
    <row r="73" spans="10:12">
      <c r="J73" s="931"/>
      <c r="K73" s="931"/>
      <c r="L73" s="931"/>
    </row>
    <row r="74" spans="10:12">
      <c r="J74" s="931"/>
      <c r="K74" s="931"/>
      <c r="L74" s="931"/>
    </row>
    <row r="75" spans="10:12">
      <c r="J75" s="931"/>
      <c r="K75" s="931"/>
      <c r="L75" s="931"/>
    </row>
    <row r="76" spans="10:12">
      <c r="J76" s="931"/>
      <c r="K76" s="931"/>
      <c r="L76" s="931"/>
    </row>
    <row r="77" spans="10:12">
      <c r="J77" s="931"/>
      <c r="K77" s="931"/>
      <c r="L77" s="931"/>
    </row>
    <row r="78" spans="10:12">
      <c r="J78" s="931"/>
      <c r="K78" s="931"/>
      <c r="L78" s="931"/>
    </row>
    <row r="79" spans="10:12">
      <c r="J79" s="931"/>
      <c r="K79" s="931"/>
      <c r="L79" s="931"/>
    </row>
    <row r="80" spans="10:12">
      <c r="J80" s="931"/>
      <c r="K80" s="931"/>
      <c r="L80" s="931"/>
    </row>
    <row r="81" spans="10:12">
      <c r="J81" s="931"/>
      <c r="K81" s="931"/>
      <c r="L81" s="931"/>
    </row>
    <row r="82" spans="10:12">
      <c r="J82" s="931"/>
      <c r="K82" s="931"/>
      <c r="L82" s="931"/>
    </row>
    <row r="83" spans="10:12">
      <c r="J83" s="931"/>
      <c r="K83" s="931"/>
      <c r="L83" s="931"/>
    </row>
    <row r="84" spans="10:12">
      <c r="J84" s="931"/>
      <c r="K84" s="931"/>
      <c r="L84" s="931"/>
    </row>
    <row r="85" spans="10:12">
      <c r="J85" s="931"/>
      <c r="K85" s="931"/>
      <c r="L85" s="931"/>
    </row>
    <row r="86" spans="10:12">
      <c r="J86" s="931"/>
      <c r="K86" s="931"/>
      <c r="L86" s="931"/>
    </row>
    <row r="87" spans="10:12">
      <c r="J87" s="931"/>
      <c r="K87" s="931"/>
      <c r="L87" s="931"/>
    </row>
    <row r="88" spans="10:12">
      <c r="J88" s="931"/>
      <c r="K88" s="931"/>
      <c r="L88" s="931"/>
    </row>
    <row r="89" spans="10:12">
      <c r="J89" s="931"/>
      <c r="K89" s="931"/>
      <c r="L89" s="931"/>
    </row>
    <row r="90" spans="10:12">
      <c r="J90" s="931"/>
      <c r="K90" s="931"/>
      <c r="L90" s="931"/>
    </row>
    <row r="91" spans="10:12">
      <c r="J91" s="931"/>
      <c r="K91" s="931"/>
      <c r="L91" s="931"/>
    </row>
    <row r="92" spans="10:12">
      <c r="J92" s="931"/>
      <c r="K92" s="931"/>
      <c r="L92" s="931"/>
    </row>
    <row r="93" spans="10:12">
      <c r="J93" s="931"/>
      <c r="K93" s="931"/>
      <c r="L93" s="931"/>
    </row>
    <row r="94" spans="10:12">
      <c r="J94" s="931"/>
      <c r="K94" s="931"/>
      <c r="L94" s="931"/>
    </row>
    <row r="95" spans="10:12">
      <c r="J95" s="931"/>
      <c r="K95" s="931"/>
      <c r="L95" s="931"/>
    </row>
    <row r="96" spans="10:12">
      <c r="J96" s="931"/>
      <c r="K96" s="931"/>
      <c r="L96" s="931"/>
    </row>
    <row r="97" spans="10:12">
      <c r="J97" s="931"/>
      <c r="K97" s="931"/>
      <c r="L97" s="931"/>
    </row>
    <row r="98" spans="10:12">
      <c r="J98" s="931"/>
      <c r="K98" s="931"/>
      <c r="L98" s="931"/>
    </row>
    <row r="99" spans="10:12">
      <c r="J99" s="931"/>
      <c r="K99" s="931"/>
      <c r="L99" s="931"/>
    </row>
    <row r="100" spans="10:12">
      <c r="J100" s="931"/>
      <c r="K100" s="931"/>
      <c r="L100" s="931"/>
    </row>
    <row r="101" spans="10:12">
      <c r="J101" s="931"/>
      <c r="K101" s="931"/>
      <c r="L101" s="931"/>
    </row>
    <row r="102" spans="10:12">
      <c r="J102" s="931"/>
      <c r="K102" s="931"/>
      <c r="L102" s="931"/>
    </row>
    <row r="103" spans="10:12">
      <c r="J103" s="931"/>
      <c r="K103" s="931"/>
      <c r="L103" s="931"/>
    </row>
    <row r="104" spans="10:12">
      <c r="J104" s="931"/>
      <c r="K104" s="931"/>
      <c r="L104" s="931"/>
    </row>
    <row r="105" spans="10:12">
      <c r="J105" s="931"/>
      <c r="K105" s="931"/>
      <c r="L105" s="931"/>
    </row>
    <row r="106" spans="10:12">
      <c r="J106" s="931"/>
      <c r="K106" s="931"/>
      <c r="L106" s="931"/>
    </row>
    <row r="107" spans="10:12">
      <c r="J107" s="931"/>
      <c r="K107" s="931"/>
      <c r="L107" s="931"/>
    </row>
    <row r="108" spans="10:12">
      <c r="J108" s="931"/>
      <c r="K108" s="931"/>
      <c r="L108" s="931"/>
    </row>
    <row r="109" spans="10:12">
      <c r="J109" s="931"/>
      <c r="K109" s="931"/>
      <c r="L109" s="931"/>
    </row>
    <row r="110" spans="10:12">
      <c r="J110" s="931"/>
      <c r="K110" s="931"/>
      <c r="L110" s="931"/>
    </row>
    <row r="111" spans="10:12">
      <c r="J111" s="931"/>
      <c r="K111" s="931"/>
      <c r="L111" s="931"/>
    </row>
    <row r="112" spans="10:12">
      <c r="J112" s="931"/>
      <c r="K112" s="931"/>
      <c r="L112" s="931"/>
    </row>
    <row r="113" spans="10:12">
      <c r="J113" s="931"/>
      <c r="K113" s="931"/>
      <c r="L113" s="931"/>
    </row>
    <row r="114" spans="10:12">
      <c r="J114" s="931"/>
      <c r="K114" s="931"/>
      <c r="L114" s="931"/>
    </row>
    <row r="115" spans="10:12">
      <c r="J115" s="931"/>
      <c r="K115" s="931"/>
      <c r="L115" s="931"/>
    </row>
    <row r="116" spans="10:12">
      <c r="J116" s="931"/>
      <c r="K116" s="931"/>
      <c r="L116" s="931"/>
    </row>
  </sheetData>
  <sheetProtection algorithmName="SHA-512" hashValue="8qU46PY1oyUX6LY4179UVlMKnFE5WGdCyLYcz2ec+CGYQrCp9WhwE9RYMs1rb78ck1tYV0sI0rNB8BN7ILCH3w==" saltValue="JSdem2ImuGgFyFa6QQlZwA==" spinCount="100000" sheet="1" objects="1" scenarios="1"/>
  <mergeCells count="4">
    <mergeCell ref="B12:C12"/>
    <mergeCell ref="B16:C16"/>
    <mergeCell ref="B20:C20"/>
    <mergeCell ref="B24:C24"/>
  </mergeCells>
  <pageMargins left="0.7" right="0.7" top="0.75" bottom="0.75" header="0.3" footer="0.3"/>
  <pageSetup paperSize="8" scale="86" orientation="landscape" verticalDpi="300" r:id="rId1"/>
  <headerFooter>
    <oddHeader>&amp;C&amp;"Calibri"&amp;10&amp;K000000Confidential&amp;1#</oddHeader>
    <oddFooter>&amp;R&amp;1#&amp;"Calibri"&amp;10&amp;K000000Confidential</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dimension ref="A1:J39"/>
  <sheetViews>
    <sheetView zoomScale="90" zoomScaleNormal="90" workbookViewId="0">
      <selection activeCell="H25" sqref="H25"/>
    </sheetView>
  </sheetViews>
  <sheetFormatPr defaultColWidth="9.140625" defaultRowHeight="15"/>
  <cols>
    <col min="1" max="1" width="39.5703125" style="608" bestFit="1" customWidth="1"/>
    <col min="2" max="8" width="9.140625" style="608"/>
    <col min="9" max="10" width="12.42578125" style="608" bestFit="1" customWidth="1"/>
    <col min="11" max="11" width="9.140625" style="608" customWidth="1"/>
    <col min="12" max="18" width="9.140625" style="608"/>
    <col min="19" max="19" width="9.140625" style="608" customWidth="1"/>
    <col min="20" max="16384" width="9.140625" style="608"/>
  </cols>
  <sheetData>
    <row r="1" spans="1:10" ht="15.75" thickBot="1">
      <c r="A1" s="1635" t="s">
        <v>331</v>
      </c>
      <c r="B1" s="1636"/>
      <c r="C1" s="1636"/>
      <c r="D1" s="1636"/>
      <c r="E1" s="1636"/>
      <c r="F1" s="1636"/>
      <c r="G1" s="1636"/>
      <c r="H1" s="1636"/>
      <c r="I1" s="1637"/>
      <c r="J1" s="1368">
        <v>1.0629999999999999</v>
      </c>
    </row>
    <row r="2" spans="1:10" ht="15.75" thickBot="1">
      <c r="A2" s="695" t="s">
        <v>332</v>
      </c>
      <c r="B2" s="666" t="s">
        <v>302</v>
      </c>
      <c r="C2" s="666" t="s">
        <v>303</v>
      </c>
      <c r="D2" s="666" t="s">
        <v>304</v>
      </c>
      <c r="E2" s="666" t="s">
        <v>305</v>
      </c>
      <c r="F2" s="658" t="s">
        <v>306</v>
      </c>
      <c r="G2" s="659" t="s">
        <v>333</v>
      </c>
      <c r="H2" s="659" t="s">
        <v>317</v>
      </c>
      <c r="I2" s="660" t="s">
        <v>334</v>
      </c>
    </row>
    <row r="3" spans="1:10" ht="15.75" thickBot="1">
      <c r="A3" s="609"/>
      <c r="B3" s="610"/>
      <c r="C3" s="611">
        <v>1</v>
      </c>
      <c r="D3" s="611">
        <v>1</v>
      </c>
      <c r="E3" s="612">
        <v>8.5000000000000006E-2</v>
      </c>
      <c r="F3" s="613"/>
      <c r="G3" s="614"/>
      <c r="H3" s="614"/>
      <c r="I3" s="615"/>
    </row>
    <row r="4" spans="1:10" ht="18" thickBot="1">
      <c r="A4" s="654" t="s">
        <v>335</v>
      </c>
      <c r="B4" s="655"/>
      <c r="C4" s="655"/>
      <c r="D4" s="655"/>
      <c r="E4" s="655"/>
      <c r="F4" s="656"/>
      <c r="G4" s="655"/>
      <c r="H4" s="655" t="s">
        <v>336</v>
      </c>
      <c r="I4" s="657">
        <f>SUM(G5:G13)</f>
        <v>518.35680224999999</v>
      </c>
    </row>
    <row r="5" spans="1:10">
      <c r="A5" s="616" t="s">
        <v>1173</v>
      </c>
      <c r="B5" s="617">
        <v>1</v>
      </c>
      <c r="C5" s="618">
        <v>1</v>
      </c>
      <c r="D5" s="618">
        <v>1</v>
      </c>
      <c r="E5" s="618">
        <v>1</v>
      </c>
      <c r="F5" s="619">
        <v>32</v>
      </c>
      <c r="G5" s="1264">
        <f>(F5*E5*D5*C5*B5)*$J$1</f>
        <v>34.015999999999998</v>
      </c>
      <c r="H5" s="620"/>
      <c r="I5" s="621"/>
    </row>
    <row r="6" spans="1:10">
      <c r="A6" s="622" t="s">
        <v>337</v>
      </c>
      <c r="B6" s="623">
        <v>1</v>
      </c>
      <c r="C6" s="624">
        <v>1</v>
      </c>
      <c r="D6" s="624">
        <v>1</v>
      </c>
      <c r="E6" s="624">
        <v>0.09</v>
      </c>
      <c r="F6" s="625">
        <v>265</v>
      </c>
      <c r="G6" s="1265">
        <f t="shared" ref="G6:G12" si="0">(F6*E6*D6*C6*B6)*$J$1</f>
        <v>25.352549999999997</v>
      </c>
      <c r="H6" s="626"/>
      <c r="I6" s="627"/>
    </row>
    <row r="7" spans="1:10">
      <c r="A7" s="622" t="s">
        <v>338</v>
      </c>
      <c r="B7" s="623">
        <v>1</v>
      </c>
      <c r="C7" s="624">
        <v>1</v>
      </c>
      <c r="D7" s="624">
        <v>1</v>
      </c>
      <c r="E7" s="624">
        <v>1</v>
      </c>
      <c r="F7" s="625">
        <v>15</v>
      </c>
      <c r="G7" s="1265">
        <f t="shared" si="0"/>
        <v>15.944999999999999</v>
      </c>
      <c r="H7" s="626"/>
      <c r="I7" s="621"/>
    </row>
    <row r="8" spans="1:10">
      <c r="A8" s="622" t="s">
        <v>321</v>
      </c>
      <c r="B8" s="623">
        <v>1</v>
      </c>
      <c r="C8" s="624">
        <v>1</v>
      </c>
      <c r="D8" s="624">
        <v>1</v>
      </c>
      <c r="E8" s="628">
        <v>1</v>
      </c>
      <c r="F8" s="625">
        <v>15</v>
      </c>
      <c r="G8" s="1265">
        <f t="shared" si="0"/>
        <v>15.944999999999999</v>
      </c>
      <c r="H8" s="626"/>
      <c r="I8" s="627"/>
    </row>
    <row r="9" spans="1:10">
      <c r="A9" s="622" t="s">
        <v>323</v>
      </c>
      <c r="B9" s="623">
        <v>1</v>
      </c>
      <c r="C9" s="624">
        <v>1</v>
      </c>
      <c r="D9" s="624">
        <v>1</v>
      </c>
      <c r="E9" s="624">
        <v>8.5000000000000006E-2</v>
      </c>
      <c r="F9" s="625">
        <v>1689</v>
      </c>
      <c r="G9" s="1265">
        <f t="shared" si="0"/>
        <v>152.60959499999998</v>
      </c>
      <c r="H9" s="629"/>
      <c r="I9" s="621"/>
    </row>
    <row r="10" spans="1:10">
      <c r="A10" s="622" t="s">
        <v>339</v>
      </c>
      <c r="B10" s="623">
        <v>1</v>
      </c>
      <c r="C10" s="624">
        <v>1</v>
      </c>
      <c r="D10" s="624">
        <v>1</v>
      </c>
      <c r="E10" s="624">
        <v>1</v>
      </c>
      <c r="F10" s="625">
        <v>40</v>
      </c>
      <c r="G10" s="1265">
        <f t="shared" si="0"/>
        <v>42.519999999999996</v>
      </c>
      <c r="H10" s="629"/>
      <c r="I10" s="621"/>
    </row>
    <row r="11" spans="1:10">
      <c r="A11" s="622" t="s">
        <v>340</v>
      </c>
      <c r="B11" s="623">
        <v>1</v>
      </c>
      <c r="C11" s="624">
        <v>1</v>
      </c>
      <c r="D11" s="624">
        <v>1</v>
      </c>
      <c r="E11" s="624">
        <v>1</v>
      </c>
      <c r="F11" s="625">
        <v>120</v>
      </c>
      <c r="G11" s="1265">
        <f t="shared" si="0"/>
        <v>127.55999999999999</v>
      </c>
      <c r="H11" s="626"/>
      <c r="I11" s="621"/>
    </row>
    <row r="12" spans="1:10">
      <c r="A12" s="630" t="s">
        <v>1174</v>
      </c>
      <c r="B12" s="623">
        <v>0.5</v>
      </c>
      <c r="C12" s="624">
        <v>1</v>
      </c>
      <c r="D12" s="624">
        <v>1</v>
      </c>
      <c r="E12" s="624">
        <v>1</v>
      </c>
      <c r="F12" s="625">
        <v>150</v>
      </c>
      <c r="G12" s="1265">
        <f t="shared" si="0"/>
        <v>79.724999999999994</v>
      </c>
      <c r="H12" s="633"/>
      <c r="I12" s="621"/>
    </row>
    <row r="13" spans="1:10">
      <c r="A13" s="630" t="s">
        <v>341</v>
      </c>
      <c r="B13" s="623">
        <v>1</v>
      </c>
      <c r="C13" s="624">
        <v>1</v>
      </c>
      <c r="D13" s="624">
        <v>1</v>
      </c>
      <c r="E13" s="631">
        <v>1</v>
      </c>
      <c r="F13" s="632">
        <v>0.05</v>
      </c>
      <c r="G13" s="626">
        <f>SUM(G5:G12)*0.05</f>
        <v>24.68365725</v>
      </c>
      <c r="H13" s="633"/>
      <c r="I13" s="621"/>
    </row>
    <row r="14" spans="1:10">
      <c r="A14" s="630"/>
      <c r="B14" s="623"/>
      <c r="C14" s="624"/>
      <c r="D14" s="624"/>
      <c r="E14" s="631"/>
      <c r="F14" s="625"/>
      <c r="G14" s="626"/>
      <c r="H14" s="626"/>
      <c r="I14" s="621"/>
    </row>
    <row r="15" spans="1:10">
      <c r="A15" s="634"/>
      <c r="B15" s="635"/>
      <c r="C15" s="636"/>
      <c r="D15" s="636"/>
      <c r="E15" s="636"/>
      <c r="F15" s="637"/>
      <c r="G15" s="638"/>
      <c r="H15" s="638"/>
      <c r="I15" s="639"/>
    </row>
    <row r="16" spans="1:10" ht="15.75" thickBot="1">
      <c r="A16" s="640"/>
      <c r="B16" s="641"/>
      <c r="C16" s="641"/>
      <c r="D16" s="641"/>
      <c r="E16" s="641"/>
      <c r="F16" s="642"/>
      <c r="G16" s="643"/>
      <c r="H16" s="643"/>
      <c r="I16" s="607"/>
    </row>
    <row r="17" spans="1:9" ht="15.75" thickBot="1">
      <c r="A17" s="609"/>
      <c r="B17" s="610"/>
      <c r="C17" s="611">
        <v>1</v>
      </c>
      <c r="D17" s="611">
        <v>1</v>
      </c>
      <c r="E17" s="612">
        <v>0.125</v>
      </c>
      <c r="F17" s="613"/>
      <c r="G17" s="614"/>
      <c r="H17" s="614"/>
      <c r="I17" s="615"/>
    </row>
    <row r="18" spans="1:9" ht="18" thickBot="1">
      <c r="A18" s="654" t="s">
        <v>342</v>
      </c>
      <c r="B18" s="655"/>
      <c r="C18" s="655"/>
      <c r="D18" s="655"/>
      <c r="E18" s="655"/>
      <c r="F18" s="656"/>
      <c r="G18" s="655"/>
      <c r="H18" s="655" t="s">
        <v>336</v>
      </c>
      <c r="I18" s="657">
        <f>SUM(G19:G27)</f>
        <v>685.76787499999989</v>
      </c>
    </row>
    <row r="19" spans="1:9">
      <c r="A19" s="616" t="s">
        <v>1173</v>
      </c>
      <c r="B19" s="617">
        <v>1</v>
      </c>
      <c r="C19" s="618">
        <v>1</v>
      </c>
      <c r="D19" s="618">
        <v>1</v>
      </c>
      <c r="E19" s="618">
        <v>1</v>
      </c>
      <c r="F19" s="619">
        <v>32</v>
      </c>
      <c r="G19" s="1265">
        <f t="shared" ref="G19:G25" si="1">(F19*E19*D19*C19*B19)*$J$1</f>
        <v>34.015999999999998</v>
      </c>
      <c r="H19" s="620"/>
      <c r="I19" s="621"/>
    </row>
    <row r="20" spans="1:9">
      <c r="A20" s="622" t="s">
        <v>337</v>
      </c>
      <c r="B20" s="623">
        <v>1</v>
      </c>
      <c r="C20" s="624">
        <v>1</v>
      </c>
      <c r="D20" s="624">
        <v>1</v>
      </c>
      <c r="E20" s="624">
        <v>0.8</v>
      </c>
      <c r="F20" s="625">
        <v>265</v>
      </c>
      <c r="G20" s="1265">
        <f t="shared" si="1"/>
        <v>225.35599999999999</v>
      </c>
      <c r="H20" s="626"/>
      <c r="I20" s="627"/>
    </row>
    <row r="21" spans="1:9" ht="13.5" customHeight="1">
      <c r="A21" s="622" t="s">
        <v>338</v>
      </c>
      <c r="B21" s="623">
        <v>1</v>
      </c>
      <c r="C21" s="624">
        <v>1</v>
      </c>
      <c r="D21" s="624">
        <v>1</v>
      </c>
      <c r="E21" s="624">
        <v>1</v>
      </c>
      <c r="F21" s="625">
        <v>15</v>
      </c>
      <c r="G21" s="1265">
        <f t="shared" si="1"/>
        <v>15.944999999999999</v>
      </c>
      <c r="H21" s="626"/>
      <c r="I21" s="621"/>
    </row>
    <row r="22" spans="1:9" ht="13.5" customHeight="1">
      <c r="A22" s="622" t="s">
        <v>321</v>
      </c>
      <c r="B22" s="623">
        <v>1</v>
      </c>
      <c r="C22" s="624">
        <v>1</v>
      </c>
      <c r="D22" s="624">
        <v>1</v>
      </c>
      <c r="E22" s="624">
        <v>1</v>
      </c>
      <c r="F22" s="625">
        <v>15</v>
      </c>
      <c r="G22" s="1265">
        <f t="shared" si="1"/>
        <v>15.944999999999999</v>
      </c>
      <c r="H22" s="626"/>
      <c r="I22" s="627"/>
    </row>
    <row r="23" spans="1:9" ht="13.5" customHeight="1">
      <c r="A23" s="622" t="s">
        <v>323</v>
      </c>
      <c r="B23" s="623">
        <v>1</v>
      </c>
      <c r="C23" s="624">
        <v>1</v>
      </c>
      <c r="D23" s="624">
        <v>1</v>
      </c>
      <c r="E23" s="628">
        <v>0.125</v>
      </c>
      <c r="F23" s="625">
        <v>1689</v>
      </c>
      <c r="G23" s="1265">
        <f t="shared" si="1"/>
        <v>224.42587499999999</v>
      </c>
      <c r="H23" s="629"/>
      <c r="I23" s="621"/>
    </row>
    <row r="24" spans="1:9" ht="13.5" customHeight="1">
      <c r="A24" s="622" t="s">
        <v>339</v>
      </c>
      <c r="B24" s="623">
        <v>1</v>
      </c>
      <c r="C24" s="624">
        <v>1</v>
      </c>
      <c r="D24" s="624">
        <v>1</v>
      </c>
      <c r="E24" s="624">
        <v>1</v>
      </c>
      <c r="F24" s="625">
        <v>40</v>
      </c>
      <c r="G24" s="1265">
        <f t="shared" si="1"/>
        <v>42.519999999999996</v>
      </c>
      <c r="H24" s="629"/>
      <c r="I24" s="621"/>
    </row>
    <row r="25" spans="1:9">
      <c r="A25" s="622" t="s">
        <v>340</v>
      </c>
      <c r="B25" s="623">
        <v>1</v>
      </c>
      <c r="C25" s="624">
        <v>1</v>
      </c>
      <c r="D25" s="624">
        <v>1</v>
      </c>
      <c r="E25" s="624">
        <v>1</v>
      </c>
      <c r="F25" s="625">
        <v>120</v>
      </c>
      <c r="G25" s="1265">
        <f t="shared" si="1"/>
        <v>127.55999999999999</v>
      </c>
      <c r="H25" s="626"/>
      <c r="I25" s="621"/>
    </row>
    <row r="26" spans="1:9">
      <c r="A26" s="630"/>
      <c r="B26" s="623"/>
      <c r="C26" s="624"/>
      <c r="D26" s="624"/>
      <c r="E26" s="631"/>
      <c r="F26" s="625"/>
      <c r="G26" s="626"/>
      <c r="H26" s="633"/>
      <c r="I26" s="621"/>
    </row>
    <row r="27" spans="1:9" ht="15.75" thickBot="1">
      <c r="A27" s="634"/>
      <c r="B27" s="635"/>
      <c r="C27" s="636"/>
      <c r="D27" s="636"/>
      <c r="E27" s="636"/>
      <c r="F27" s="637"/>
      <c r="G27" s="638"/>
      <c r="H27" s="638"/>
      <c r="I27" s="639"/>
    </row>
    <row r="28" spans="1:9" ht="15.75" thickBot="1">
      <c r="A28" s="609"/>
      <c r="B28" s="610"/>
      <c r="C28" s="611">
        <v>1</v>
      </c>
      <c r="D28" s="611">
        <v>1</v>
      </c>
      <c r="E28" s="612">
        <v>0.125</v>
      </c>
      <c r="F28" s="613"/>
      <c r="G28" s="614"/>
      <c r="H28" s="614"/>
      <c r="I28" s="615"/>
    </row>
    <row r="29" spans="1:9" ht="18" thickBot="1">
      <c r="A29" s="654" t="s">
        <v>343</v>
      </c>
      <c r="B29" s="655"/>
      <c r="C29" s="655"/>
      <c r="D29" s="655"/>
      <c r="E29" s="655"/>
      <c r="F29" s="656"/>
      <c r="G29" s="655"/>
      <c r="H29" s="655" t="s">
        <v>336</v>
      </c>
      <c r="I29" s="657">
        <f>SUM(G30:G39)</f>
        <v>728.2878750000001</v>
      </c>
    </row>
    <row r="30" spans="1:9">
      <c r="A30" s="616" t="s">
        <v>1173</v>
      </c>
      <c r="B30" s="617">
        <v>1</v>
      </c>
      <c r="C30" s="618">
        <v>1</v>
      </c>
      <c r="D30" s="618">
        <v>1</v>
      </c>
      <c r="E30" s="618">
        <v>1</v>
      </c>
      <c r="F30" s="619">
        <v>32</v>
      </c>
      <c r="G30" s="1265">
        <f t="shared" ref="G30:G39" si="2">(F30*E30*D30*C30*B30)*$J$1</f>
        <v>34.015999999999998</v>
      </c>
      <c r="H30" s="620"/>
      <c r="I30" s="644"/>
    </row>
    <row r="31" spans="1:9">
      <c r="A31" s="622" t="s">
        <v>337</v>
      </c>
      <c r="B31" s="623">
        <v>1</v>
      </c>
      <c r="C31" s="624">
        <v>1</v>
      </c>
      <c r="D31" s="624">
        <v>1</v>
      </c>
      <c r="E31" s="624">
        <v>0.8</v>
      </c>
      <c r="F31" s="625">
        <v>280</v>
      </c>
      <c r="G31" s="1265">
        <f t="shared" si="2"/>
        <v>238.11199999999999</v>
      </c>
      <c r="H31" s="626"/>
      <c r="I31" s="627"/>
    </row>
    <row r="32" spans="1:9">
      <c r="A32" s="622" t="s">
        <v>321</v>
      </c>
      <c r="B32" s="623">
        <v>1</v>
      </c>
      <c r="C32" s="624">
        <v>1</v>
      </c>
      <c r="D32" s="624">
        <v>1</v>
      </c>
      <c r="E32" s="624">
        <v>1</v>
      </c>
      <c r="F32" s="625">
        <v>15</v>
      </c>
      <c r="G32" s="1265">
        <f t="shared" si="2"/>
        <v>15.944999999999999</v>
      </c>
      <c r="H32" s="626"/>
      <c r="I32" s="627"/>
    </row>
    <row r="33" spans="1:9">
      <c r="A33" s="622" t="s">
        <v>323</v>
      </c>
      <c r="B33" s="623">
        <v>1</v>
      </c>
      <c r="C33" s="624">
        <v>1</v>
      </c>
      <c r="D33" s="624">
        <v>1</v>
      </c>
      <c r="E33" s="628">
        <v>0.125</v>
      </c>
      <c r="F33" s="625">
        <v>1689</v>
      </c>
      <c r="G33" s="1265">
        <f t="shared" si="2"/>
        <v>224.42587499999999</v>
      </c>
      <c r="H33" s="629"/>
      <c r="I33" s="621"/>
    </row>
    <row r="34" spans="1:9">
      <c r="A34" s="622" t="s">
        <v>339</v>
      </c>
      <c r="B34" s="623">
        <v>1</v>
      </c>
      <c r="C34" s="624">
        <v>1</v>
      </c>
      <c r="D34" s="624">
        <v>1</v>
      </c>
      <c r="E34" s="624">
        <v>1</v>
      </c>
      <c r="F34" s="625">
        <v>35</v>
      </c>
      <c r="G34" s="1265">
        <f t="shared" si="2"/>
        <v>37.204999999999998</v>
      </c>
      <c r="H34" s="629"/>
      <c r="I34" s="621"/>
    </row>
    <row r="35" spans="1:9">
      <c r="A35" s="622" t="s">
        <v>340</v>
      </c>
      <c r="B35" s="623">
        <v>1</v>
      </c>
      <c r="C35" s="624">
        <v>1</v>
      </c>
      <c r="D35" s="624">
        <v>1</v>
      </c>
      <c r="E35" s="624">
        <v>1</v>
      </c>
      <c r="F35" s="625">
        <v>60</v>
      </c>
      <c r="G35" s="1265">
        <f t="shared" si="2"/>
        <v>63.779999999999994</v>
      </c>
      <c r="H35" s="626"/>
      <c r="I35" s="621"/>
    </row>
    <row r="36" spans="1:9">
      <c r="A36" s="630" t="s">
        <v>344</v>
      </c>
      <c r="B36" s="623">
        <v>0.6</v>
      </c>
      <c r="C36" s="624">
        <v>1</v>
      </c>
      <c r="D36" s="624">
        <v>1</v>
      </c>
      <c r="E36" s="631">
        <v>1</v>
      </c>
      <c r="F36" s="625">
        <v>30</v>
      </c>
      <c r="G36" s="1265">
        <f t="shared" si="2"/>
        <v>19.134</v>
      </c>
      <c r="H36" s="633"/>
      <c r="I36" s="627"/>
    </row>
    <row r="37" spans="1:9">
      <c r="A37" s="630" t="s">
        <v>345</v>
      </c>
      <c r="B37" s="623">
        <v>0.6</v>
      </c>
      <c r="C37" s="624">
        <v>1</v>
      </c>
      <c r="D37" s="624">
        <v>1</v>
      </c>
      <c r="E37" s="631">
        <v>1</v>
      </c>
      <c r="F37" s="625">
        <v>25</v>
      </c>
      <c r="G37" s="1265">
        <f t="shared" si="2"/>
        <v>15.944999999999999</v>
      </c>
      <c r="H37" s="626"/>
      <c r="I37" s="621"/>
    </row>
    <row r="38" spans="1:9">
      <c r="A38" s="630" t="s">
        <v>346</v>
      </c>
      <c r="B38" s="645">
        <v>0.6</v>
      </c>
      <c r="C38" s="624">
        <v>1</v>
      </c>
      <c r="D38" s="624">
        <v>1</v>
      </c>
      <c r="E38" s="631">
        <v>1</v>
      </c>
      <c r="F38" s="646">
        <v>25</v>
      </c>
      <c r="G38" s="1265">
        <f t="shared" si="2"/>
        <v>15.944999999999999</v>
      </c>
      <c r="H38" s="647"/>
      <c r="I38" s="639"/>
    </row>
    <row r="39" spans="1:9" ht="15.75" thickBot="1">
      <c r="A39" s="648" t="s">
        <v>330</v>
      </c>
      <c r="B39" s="649">
        <v>0.4</v>
      </c>
      <c r="C39" s="650">
        <v>1</v>
      </c>
      <c r="D39" s="650">
        <v>1</v>
      </c>
      <c r="E39" s="650">
        <v>1</v>
      </c>
      <c r="F39" s="651">
        <v>150</v>
      </c>
      <c r="G39" s="1367">
        <f t="shared" si="2"/>
        <v>63.779999999999994</v>
      </c>
      <c r="H39" s="652"/>
      <c r="I39" s="653"/>
    </row>
  </sheetData>
  <sheetProtection algorithmName="SHA-512" hashValue="SbnM0FS8v373c+JfVSlTgp17mm3ODEqReMd85vfNVj4JPKt/hyucl2jUpyNr1BPHYfcZiKBv8zi7YYPP4KnrxA==" saltValue="5a5067VFT/+YpHgkmT50Ng==" spinCount="100000" sheet="1" objects="1" scenarios="1"/>
  <mergeCells count="1">
    <mergeCell ref="A1:I1"/>
  </mergeCells>
  <pageMargins left="0.7" right="0.7" top="0.75" bottom="0.75" header="0.3" footer="0.3"/>
  <pageSetup paperSize="8" orientation="landscape" r:id="rId1"/>
  <headerFooter>
    <oddHeader>&amp;C&amp;"Calibri"&amp;10&amp;K000000Confidential&amp;1#</oddHeader>
    <oddFooter>&amp;R&amp;1#&amp;"Calibri"&amp;10&amp;K000000Confidential</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AFA32-1481-4731-B6B5-42F252C5A7E3}">
  <sheetPr>
    <tabColor rgb="FF7030A0"/>
  </sheetPr>
  <dimension ref="A1:Q57"/>
  <sheetViews>
    <sheetView zoomScale="80" zoomScaleNormal="80" workbookViewId="0">
      <selection activeCell="D22" sqref="D22"/>
    </sheetView>
  </sheetViews>
  <sheetFormatPr defaultRowHeight="15"/>
  <cols>
    <col min="1" max="1" width="26.5703125" customWidth="1"/>
    <col min="2" max="2" width="43.28515625" customWidth="1"/>
    <col min="3" max="4" width="23.42578125" customWidth="1"/>
    <col min="6" max="6" width="65.28515625" customWidth="1"/>
    <col min="7" max="7" width="24.7109375" customWidth="1"/>
    <col min="9" max="9" width="15.140625" customWidth="1"/>
    <col min="10" max="10" width="9.42578125" customWidth="1"/>
    <col min="13" max="14" width="10.7109375" bestFit="1" customWidth="1"/>
  </cols>
  <sheetData>
    <row r="1" spans="1:12" ht="15.75" thickBot="1">
      <c r="A1" s="706"/>
      <c r="B1" s="706"/>
      <c r="C1" s="706"/>
      <c r="D1" s="706"/>
      <c r="E1" s="706"/>
      <c r="F1" s="706"/>
      <c r="G1" s="706"/>
      <c r="H1" s="706"/>
      <c r="I1" s="706"/>
      <c r="J1" s="706"/>
      <c r="K1" s="1638">
        <v>1.0629999999999999</v>
      </c>
      <c r="L1" s="1639"/>
    </row>
    <row r="2" spans="1:12">
      <c r="A2" s="706"/>
      <c r="B2" s="1640" t="s">
        <v>1288</v>
      </c>
      <c r="C2" s="1641"/>
      <c r="D2" s="1641"/>
      <c r="E2" s="1641"/>
      <c r="F2" s="1642"/>
      <c r="G2" s="706"/>
      <c r="H2" s="706"/>
      <c r="I2" s="706"/>
      <c r="J2" s="706"/>
      <c r="K2" s="1176"/>
      <c r="L2" s="1176"/>
    </row>
    <row r="3" spans="1:12">
      <c r="B3" s="1643"/>
      <c r="C3" s="1644"/>
      <c r="D3" s="1644"/>
      <c r="E3" s="1644"/>
      <c r="F3" s="1645"/>
    </row>
    <row r="4" spans="1:12" ht="15.75" thickBot="1">
      <c r="B4" s="1646"/>
      <c r="C4" s="1647"/>
      <c r="D4" s="1647"/>
      <c r="E4" s="1647"/>
      <c r="F4" s="1648"/>
    </row>
    <row r="6" spans="1:12">
      <c r="A6" s="1196" t="s">
        <v>1241</v>
      </c>
      <c r="B6" s="1197"/>
      <c r="C6" s="1197"/>
      <c r="D6" s="1197"/>
      <c r="E6" s="1197"/>
      <c r="F6" s="1199"/>
    </row>
    <row r="7" spans="1:12" s="1177" customFormat="1">
      <c r="A7" s="203"/>
      <c r="B7" s="203"/>
      <c r="C7" s="203" t="s">
        <v>3468</v>
      </c>
      <c r="D7" s="203" t="s">
        <v>3469</v>
      </c>
      <c r="E7" s="203" t="s">
        <v>317</v>
      </c>
      <c r="F7" s="203" t="s">
        <v>1252</v>
      </c>
    </row>
    <row r="8" spans="1:12" s="1192" customFormat="1" ht="25.9" customHeight="1">
      <c r="A8" s="1210">
        <v>1</v>
      </c>
      <c r="B8" s="1211" t="s">
        <v>1242</v>
      </c>
      <c r="C8" s="1371">
        <v>825</v>
      </c>
      <c r="D8" s="1371">
        <f>C8*$K$1</f>
        <v>876.97499999999991</v>
      </c>
      <c r="E8" s="1193" t="s">
        <v>1243</v>
      </c>
      <c r="F8" s="1191" t="s">
        <v>1244</v>
      </c>
    </row>
    <row r="9" spans="1:12" s="1192" customFormat="1" ht="27" customHeight="1">
      <c r="A9" s="1209">
        <v>2</v>
      </c>
      <c r="B9" s="1189" t="s">
        <v>1245</v>
      </c>
      <c r="C9" s="1372">
        <v>850</v>
      </c>
      <c r="D9" s="1371">
        <f t="shared" ref="D9:D14" si="0">C9*$K$1</f>
        <v>903.55</v>
      </c>
      <c r="E9" s="1189" t="s">
        <v>1179</v>
      </c>
      <c r="F9" s="1195"/>
    </row>
    <row r="10" spans="1:12" s="1192" customFormat="1" ht="24" customHeight="1">
      <c r="A10" s="1209">
        <v>3</v>
      </c>
      <c r="B10" s="1189" t="s">
        <v>1246</v>
      </c>
      <c r="C10" s="1372">
        <v>550</v>
      </c>
      <c r="D10" s="1371">
        <f t="shared" si="0"/>
        <v>584.65</v>
      </c>
      <c r="E10" s="1189" t="s">
        <v>1179</v>
      </c>
      <c r="F10" s="1195"/>
    </row>
    <row r="11" spans="1:12" s="1192" customFormat="1" ht="27.6" customHeight="1">
      <c r="A11" s="1209">
        <v>4</v>
      </c>
      <c r="B11" s="1189" t="s">
        <v>1247</v>
      </c>
      <c r="C11" s="1372">
        <v>85</v>
      </c>
      <c r="D11" s="1371">
        <f t="shared" si="0"/>
        <v>90.35499999999999</v>
      </c>
      <c r="E11" s="1189" t="s">
        <v>1179</v>
      </c>
      <c r="F11" s="1195"/>
    </row>
    <row r="12" spans="1:12" s="1192" customFormat="1" ht="90">
      <c r="A12" s="1209">
        <v>5</v>
      </c>
      <c r="B12" s="1189" t="s">
        <v>1248</v>
      </c>
      <c r="C12" s="1372">
        <v>18000</v>
      </c>
      <c r="D12" s="1371">
        <f t="shared" si="0"/>
        <v>19134</v>
      </c>
      <c r="E12" s="1194" t="s">
        <v>1249</v>
      </c>
      <c r="F12" s="1195" t="s">
        <v>1255</v>
      </c>
    </row>
    <row r="13" spans="1:12" s="1192" customFormat="1" ht="45">
      <c r="A13" s="1209">
        <v>6</v>
      </c>
      <c r="B13" s="1189" t="s">
        <v>1250</v>
      </c>
      <c r="C13" s="1372">
        <v>46810</v>
      </c>
      <c r="D13" s="1371">
        <f t="shared" si="0"/>
        <v>49759.03</v>
      </c>
      <c r="E13" s="1189"/>
      <c r="F13" s="1191" t="s">
        <v>1254</v>
      </c>
    </row>
    <row r="14" spans="1:12" s="1192" customFormat="1" ht="45">
      <c r="A14" s="1209">
        <v>7</v>
      </c>
      <c r="B14" s="1189" t="s">
        <v>1251</v>
      </c>
      <c r="C14" s="1190">
        <v>0</v>
      </c>
      <c r="D14" s="1371">
        <f t="shared" si="0"/>
        <v>0</v>
      </c>
      <c r="E14" s="1193" t="s">
        <v>1243</v>
      </c>
      <c r="F14" s="1191" t="s">
        <v>1253</v>
      </c>
    </row>
    <row r="15" spans="1:12">
      <c r="A15" s="1181"/>
      <c r="B15" s="1181"/>
      <c r="C15" s="1182"/>
      <c r="D15" s="1182"/>
      <c r="E15" s="1181"/>
      <c r="F15" s="1188"/>
    </row>
    <row r="16" spans="1:12">
      <c r="C16" s="1178"/>
      <c r="D16" s="1178"/>
    </row>
    <row r="17" spans="1:11">
      <c r="A17" s="1196" t="s">
        <v>1256</v>
      </c>
      <c r="B17" s="1197"/>
      <c r="C17" s="1198"/>
      <c r="D17" s="1198"/>
      <c r="E17" s="1197"/>
      <c r="F17" s="1199"/>
    </row>
    <row r="18" spans="1:11">
      <c r="A18" s="203"/>
      <c r="B18" s="203"/>
      <c r="C18" s="203" t="s">
        <v>3468</v>
      </c>
      <c r="D18" s="203" t="s">
        <v>3469</v>
      </c>
      <c r="E18" s="203" t="s">
        <v>317</v>
      </c>
      <c r="F18" s="203" t="s">
        <v>1252</v>
      </c>
    </row>
    <row r="19" spans="1:11">
      <c r="A19" s="1207">
        <v>1</v>
      </c>
      <c r="B19" s="1183" t="s">
        <v>1242</v>
      </c>
      <c r="C19" s="1184">
        <v>125</v>
      </c>
      <c r="D19" s="1371">
        <f>C19*$K$1</f>
        <v>132.875</v>
      </c>
      <c r="E19" s="1185" t="s">
        <v>1243</v>
      </c>
      <c r="F19" s="1186" t="s">
        <v>1244</v>
      </c>
    </row>
    <row r="20" spans="1:11">
      <c r="A20" s="1208">
        <v>2</v>
      </c>
      <c r="B20" s="1179" t="s">
        <v>1245</v>
      </c>
      <c r="C20" s="1180">
        <v>850</v>
      </c>
      <c r="D20" s="1371">
        <f t="shared" ref="D20:D22" si="1">C20*$K$1</f>
        <v>903.55</v>
      </c>
      <c r="E20" s="1179" t="s">
        <v>1179</v>
      </c>
      <c r="F20" s="1187"/>
    </row>
    <row r="21" spans="1:11">
      <c r="A21" s="1208">
        <v>3</v>
      </c>
      <c r="B21" s="1179" t="s">
        <v>1257</v>
      </c>
      <c r="C21" s="1180">
        <v>87</v>
      </c>
      <c r="D21" s="1371">
        <f t="shared" si="1"/>
        <v>92.480999999999995</v>
      </c>
      <c r="E21" s="1179" t="s">
        <v>1179</v>
      </c>
      <c r="F21" s="1187"/>
    </row>
    <row r="22" spans="1:11" ht="45">
      <c r="A22" s="1208">
        <v>4</v>
      </c>
      <c r="B22" s="1189" t="s">
        <v>1251</v>
      </c>
      <c r="C22" s="1190">
        <v>0</v>
      </c>
      <c r="D22" s="1371">
        <f t="shared" si="1"/>
        <v>0</v>
      </c>
      <c r="E22" s="1193" t="s">
        <v>1243</v>
      </c>
      <c r="F22" s="1191" t="s">
        <v>1253</v>
      </c>
    </row>
    <row r="23" spans="1:11">
      <c r="A23" s="1181"/>
      <c r="B23" s="1181"/>
      <c r="C23" s="1182"/>
      <c r="D23" s="1182"/>
      <c r="E23" s="1181"/>
      <c r="F23" s="1188"/>
    </row>
    <row r="24" spans="1:11">
      <c r="C24" s="1178"/>
      <c r="D24" s="1178"/>
    </row>
    <row r="25" spans="1:11">
      <c r="A25" s="1204" t="s">
        <v>1258</v>
      </c>
      <c r="C25" s="1178"/>
      <c r="D25" s="1178"/>
    </row>
    <row r="26" spans="1:11" s="1192" customFormat="1" ht="30">
      <c r="A26" s="1204" t="s">
        <v>1265</v>
      </c>
      <c r="B26" s="1205" t="s">
        <v>1263</v>
      </c>
      <c r="C26" s="1206" t="s">
        <v>1264</v>
      </c>
      <c r="D26" s="1369"/>
    </row>
    <row r="27" spans="1:11">
      <c r="A27" s="1201" t="s">
        <v>1259</v>
      </c>
      <c r="B27" s="1202">
        <v>0.15</v>
      </c>
      <c r="C27" s="1202">
        <v>0.15</v>
      </c>
      <c r="D27" s="1370"/>
    </row>
    <row r="28" spans="1:11">
      <c r="A28" s="1201" t="s">
        <v>1260</v>
      </c>
      <c r="B28" s="1202">
        <v>0.15</v>
      </c>
      <c r="C28" s="1202">
        <v>0.15</v>
      </c>
      <c r="D28" s="1370"/>
    </row>
    <row r="29" spans="1:11">
      <c r="A29" s="1201" t="s">
        <v>1261</v>
      </c>
      <c r="B29" s="1202">
        <v>0.15</v>
      </c>
      <c r="C29" s="1202">
        <v>0.15</v>
      </c>
      <c r="D29" s="1370"/>
    </row>
    <row r="30" spans="1:11">
      <c r="A30" s="1203" t="s">
        <v>1262</v>
      </c>
      <c r="B30" s="1202">
        <v>0.15</v>
      </c>
      <c r="C30" s="1202">
        <v>0.15</v>
      </c>
      <c r="D30" s="1370"/>
    </row>
    <row r="31" spans="1:11">
      <c r="A31" s="1200"/>
    </row>
    <row r="32" spans="1:11" ht="15.75" thickBot="1">
      <c r="A32" s="1219"/>
      <c r="B32" s="1219"/>
      <c r="C32" s="1219"/>
      <c r="D32" s="1219"/>
      <c r="E32" s="1219"/>
      <c r="F32" s="1219"/>
      <c r="G32" s="1219"/>
      <c r="H32" s="1219"/>
      <c r="I32" s="1219"/>
      <c r="J32" s="1219"/>
      <c r="K32" s="1219"/>
    </row>
    <row r="33" spans="1:17">
      <c r="A33" s="1220"/>
      <c r="B33" s="1220"/>
      <c r="C33" s="1220"/>
      <c r="D33" s="1220"/>
      <c r="E33" s="1220"/>
      <c r="F33" s="1220"/>
      <c r="G33" s="1220"/>
      <c r="H33" s="1220"/>
      <c r="I33" s="1220"/>
      <c r="J33" s="1220"/>
      <c r="K33" s="1220"/>
    </row>
    <row r="34" spans="1:17" s="1177" customFormat="1">
      <c r="G34" s="1224" t="s">
        <v>1270</v>
      </c>
      <c r="H34" s="1225" t="s">
        <v>1271</v>
      </c>
      <c r="I34" s="1225" t="s">
        <v>1272</v>
      </c>
      <c r="J34" s="1225" t="s">
        <v>1273</v>
      </c>
      <c r="K34" s="1225" t="s">
        <v>1274</v>
      </c>
      <c r="L34" s="1226" t="s">
        <v>1275</v>
      </c>
    </row>
    <row r="35" spans="1:17">
      <c r="G35" s="1221" t="s">
        <v>1269</v>
      </c>
      <c r="H35" s="1227">
        <v>16830</v>
      </c>
      <c r="I35" s="1227">
        <v>16830</v>
      </c>
      <c r="J35" s="1227">
        <v>13260</v>
      </c>
      <c r="K35" s="1227">
        <v>5610</v>
      </c>
      <c r="L35" s="1228">
        <v>18360</v>
      </c>
      <c r="M35" s="1223"/>
      <c r="N35" s="1223"/>
      <c r="O35" s="1223"/>
      <c r="P35" s="1223"/>
      <c r="Q35" s="1223"/>
    </row>
    <row r="36" spans="1:17">
      <c r="G36" s="1221"/>
      <c r="H36" s="1227"/>
      <c r="I36" s="1227"/>
      <c r="J36" s="1227"/>
      <c r="K36" s="1227"/>
      <c r="L36" s="1229"/>
      <c r="M36" s="1223"/>
      <c r="N36" s="1223"/>
      <c r="O36" s="1223"/>
      <c r="P36" s="1223"/>
      <c r="Q36" s="1223"/>
    </row>
    <row r="37" spans="1:17">
      <c r="G37" s="1221" t="s">
        <v>1286</v>
      </c>
      <c r="H37" s="1227">
        <v>77028.36</v>
      </c>
      <c r="I37" s="1227">
        <v>77028.36</v>
      </c>
      <c r="J37" s="1227">
        <v>36648.6</v>
      </c>
      <c r="K37" s="1227">
        <v>58045.14</v>
      </c>
      <c r="L37" s="1228">
        <v>60373.8</v>
      </c>
      <c r="M37" s="1223"/>
      <c r="N37" s="1223"/>
      <c r="O37" s="1223"/>
      <c r="P37" s="1223"/>
      <c r="Q37" s="1223"/>
    </row>
    <row r="38" spans="1:17">
      <c r="G38" s="1221"/>
      <c r="H38" s="1227"/>
      <c r="I38" s="1227"/>
      <c r="J38" s="1227"/>
      <c r="K38" s="1227"/>
      <c r="L38" s="1229"/>
      <c r="M38" s="1223"/>
      <c r="N38" s="1223"/>
      <c r="O38" s="1223"/>
      <c r="P38" s="1223"/>
      <c r="Q38" s="1223"/>
    </row>
    <row r="39" spans="1:17">
      <c r="G39" s="1221" t="s">
        <v>1276</v>
      </c>
      <c r="H39" s="1227">
        <v>7134.9000000000005</v>
      </c>
      <c r="I39" s="1227">
        <v>7134.9000000000005</v>
      </c>
      <c r="J39" s="1227" t="s">
        <v>1287</v>
      </c>
      <c r="K39" s="1227">
        <v>7134.9000000000005</v>
      </c>
      <c r="L39" s="1228">
        <v>6028.2</v>
      </c>
      <c r="M39" s="1223"/>
      <c r="N39" s="1223"/>
      <c r="O39" s="1223"/>
      <c r="P39" s="1223"/>
      <c r="Q39" s="1223"/>
    </row>
    <row r="40" spans="1:17">
      <c r="G40" s="1221"/>
      <c r="H40" s="1227"/>
      <c r="I40" s="1227"/>
      <c r="J40" s="1227"/>
      <c r="K40" s="1227"/>
      <c r="L40" s="1229"/>
      <c r="M40" s="1223"/>
      <c r="N40" s="1223"/>
      <c r="O40" s="1223"/>
      <c r="P40" s="1223"/>
      <c r="Q40" s="1223"/>
    </row>
    <row r="41" spans="1:17">
      <c r="G41" s="1221" t="s">
        <v>1277</v>
      </c>
      <c r="H41" s="1227">
        <v>6232.2</v>
      </c>
      <c r="I41" s="1227">
        <v>6232.2</v>
      </c>
      <c r="J41" s="1227">
        <v>3264</v>
      </c>
      <c r="K41" s="1227">
        <v>4590</v>
      </c>
      <c r="L41" s="1228">
        <v>6028.2</v>
      </c>
      <c r="M41" s="1223"/>
      <c r="N41" s="1223"/>
      <c r="O41" s="1223"/>
      <c r="P41" s="1223"/>
      <c r="Q41" s="1223"/>
    </row>
    <row r="42" spans="1:17">
      <c r="G42" s="1221"/>
      <c r="H42" s="1227"/>
      <c r="I42" s="1227"/>
      <c r="J42" s="1227"/>
      <c r="K42" s="1227"/>
      <c r="L42" s="1229"/>
      <c r="M42" s="1223"/>
      <c r="N42" s="1223"/>
      <c r="O42" s="1223"/>
      <c r="P42" s="1223"/>
      <c r="Q42" s="1223"/>
    </row>
    <row r="43" spans="1:17">
      <c r="G43" s="1221" t="s">
        <v>1278</v>
      </c>
      <c r="H43" s="1227">
        <v>5742.6</v>
      </c>
      <c r="I43" s="1227">
        <v>5742.6</v>
      </c>
      <c r="J43" s="1227"/>
      <c r="K43" s="1227"/>
      <c r="L43" s="1229"/>
      <c r="M43" s="1223"/>
      <c r="N43" s="1223"/>
      <c r="O43" s="1223"/>
      <c r="P43" s="1223"/>
      <c r="Q43" s="1223"/>
    </row>
    <row r="44" spans="1:17">
      <c r="G44" s="1221"/>
      <c r="H44" s="1227"/>
      <c r="I44" s="1227"/>
      <c r="J44" s="1227"/>
      <c r="K44" s="1227"/>
      <c r="L44" s="1229"/>
      <c r="M44" s="1223"/>
      <c r="N44" s="1223"/>
      <c r="O44" s="1223"/>
      <c r="P44" s="1223"/>
      <c r="Q44" s="1223"/>
    </row>
    <row r="45" spans="1:17">
      <c r="G45" s="1221" t="s">
        <v>1279</v>
      </c>
      <c r="H45" s="1227">
        <v>5293.8</v>
      </c>
      <c r="I45" s="1227">
        <v>5803.8</v>
      </c>
      <c r="J45" s="1227"/>
      <c r="K45" s="1227"/>
      <c r="L45" s="1229"/>
      <c r="M45" s="1223"/>
      <c r="N45" s="1223"/>
      <c r="O45" s="1223"/>
      <c r="P45" s="1223"/>
      <c r="Q45" s="1223"/>
    </row>
    <row r="46" spans="1:17">
      <c r="G46" s="1221"/>
      <c r="H46" s="1227"/>
      <c r="I46" s="1227"/>
      <c r="J46" s="1227"/>
      <c r="K46" s="1227"/>
      <c r="L46" s="1229"/>
      <c r="M46" s="1223"/>
      <c r="N46" s="1223"/>
      <c r="O46" s="1223"/>
      <c r="P46" s="1223"/>
      <c r="Q46" s="1223"/>
    </row>
    <row r="47" spans="1:17">
      <c r="G47" s="1221" t="s">
        <v>1280</v>
      </c>
      <c r="H47" s="1227">
        <v>8670</v>
      </c>
      <c r="I47" s="1227">
        <v>8670</v>
      </c>
      <c r="J47" s="1227">
        <v>11229.18</v>
      </c>
      <c r="K47" s="1227">
        <v>8670</v>
      </c>
      <c r="L47" s="1228">
        <v>8670</v>
      </c>
      <c r="M47" s="1223"/>
      <c r="N47" s="1223"/>
      <c r="O47" s="1223"/>
      <c r="P47" s="1223"/>
      <c r="Q47" s="1223"/>
    </row>
    <row r="48" spans="1:17">
      <c r="G48" s="1221"/>
      <c r="H48" s="1227"/>
      <c r="I48" s="1227"/>
      <c r="J48" s="1227"/>
      <c r="K48" s="1227"/>
      <c r="L48" s="1229"/>
      <c r="M48" s="1223"/>
      <c r="N48" s="1223"/>
      <c r="O48" s="1223"/>
      <c r="P48" s="1223"/>
      <c r="Q48" s="1223"/>
    </row>
    <row r="49" spans="7:17">
      <c r="G49" s="1221" t="s">
        <v>1281</v>
      </c>
      <c r="H49" s="1227">
        <v>3570</v>
      </c>
      <c r="I49" s="1227">
        <v>3570</v>
      </c>
      <c r="J49" s="1227">
        <v>1524.9</v>
      </c>
      <c r="K49" s="1227">
        <v>3570</v>
      </c>
      <c r="L49" s="1228">
        <v>5100</v>
      </c>
      <c r="M49" s="1223"/>
      <c r="N49" s="1223"/>
      <c r="O49" s="1223"/>
      <c r="P49" s="1223"/>
      <c r="Q49" s="1223"/>
    </row>
    <row r="50" spans="7:17">
      <c r="G50" s="1221"/>
      <c r="H50" s="1227"/>
      <c r="I50" s="1227"/>
      <c r="J50" s="1227"/>
      <c r="K50" s="1227"/>
      <c r="L50" s="1229"/>
      <c r="M50" s="1223"/>
      <c r="N50" s="1223"/>
      <c r="O50" s="1223"/>
      <c r="P50" s="1223"/>
      <c r="Q50" s="1223"/>
    </row>
    <row r="51" spans="7:17">
      <c r="G51" s="1221" t="s">
        <v>1282</v>
      </c>
      <c r="H51" s="1227">
        <v>3570</v>
      </c>
      <c r="I51" s="1227">
        <v>5538.6</v>
      </c>
      <c r="J51" s="1227">
        <v>3570</v>
      </c>
      <c r="K51" s="1227"/>
      <c r="L51" s="1229"/>
      <c r="M51" s="1223"/>
      <c r="N51" s="1223"/>
      <c r="O51" s="1223"/>
      <c r="P51" s="1223"/>
      <c r="Q51" s="1223"/>
    </row>
    <row r="52" spans="7:17">
      <c r="G52" s="1221"/>
      <c r="H52" s="1227"/>
      <c r="I52" s="1227"/>
      <c r="J52" s="1227"/>
      <c r="K52" s="1227"/>
      <c r="L52" s="1229"/>
      <c r="M52" s="1223"/>
      <c r="N52" s="1223"/>
      <c r="O52" s="1223"/>
      <c r="P52" s="1223"/>
      <c r="Q52" s="1223"/>
    </row>
    <row r="53" spans="7:17">
      <c r="G53" s="1221" t="s">
        <v>1283</v>
      </c>
      <c r="H53" s="1227">
        <v>459</v>
      </c>
      <c r="I53" s="1227">
        <v>459</v>
      </c>
      <c r="J53" s="1227">
        <v>459</v>
      </c>
      <c r="K53" s="1227">
        <v>459</v>
      </c>
      <c r="L53" s="1228">
        <v>459</v>
      </c>
      <c r="M53" s="1223"/>
      <c r="N53" s="1223"/>
      <c r="O53" s="1223"/>
      <c r="P53" s="1223"/>
      <c r="Q53" s="1223"/>
    </row>
    <row r="54" spans="7:17">
      <c r="G54" s="1221"/>
      <c r="H54" s="1227"/>
      <c r="I54" s="1227"/>
      <c r="J54" s="1227"/>
      <c r="K54" s="1227"/>
      <c r="L54" s="1229"/>
      <c r="M54" s="1223"/>
      <c r="N54" s="1223"/>
      <c r="O54" s="1223"/>
      <c r="P54" s="1223"/>
      <c r="Q54" s="1223"/>
    </row>
    <row r="55" spans="7:17">
      <c r="G55" s="1221" t="s">
        <v>1284</v>
      </c>
      <c r="H55" s="1227">
        <v>3060</v>
      </c>
      <c r="I55" s="1227">
        <v>3060</v>
      </c>
      <c r="J55" s="1227">
        <v>4590</v>
      </c>
      <c r="K55" s="1227">
        <v>3570</v>
      </c>
      <c r="L55" s="1228">
        <v>4080</v>
      </c>
      <c r="M55" s="1223"/>
      <c r="N55" s="1223"/>
      <c r="O55" s="1223"/>
      <c r="P55" s="1223"/>
      <c r="Q55" s="1223"/>
    </row>
    <row r="56" spans="7:17">
      <c r="G56" s="1221"/>
      <c r="H56" s="1227"/>
      <c r="I56" s="1227"/>
      <c r="J56" s="1227"/>
      <c r="K56" s="1227"/>
      <c r="L56" s="1229"/>
      <c r="M56" s="1223"/>
      <c r="N56" s="1223"/>
      <c r="O56" s="1223"/>
      <c r="P56" s="1223"/>
      <c r="Q56" s="1223"/>
    </row>
    <row r="57" spans="7:17" ht="15.75" thickBot="1">
      <c r="G57" s="1222" t="s">
        <v>1285</v>
      </c>
      <c r="H57" s="1230">
        <v>4590</v>
      </c>
      <c r="I57" s="1230">
        <v>4590</v>
      </c>
      <c r="J57" s="1230">
        <v>4590</v>
      </c>
      <c r="K57" s="1230">
        <v>4590</v>
      </c>
      <c r="L57" s="1231">
        <v>4590</v>
      </c>
      <c r="M57" s="1223"/>
      <c r="N57" s="1223"/>
      <c r="O57" s="1223"/>
      <c r="P57" s="1223"/>
      <c r="Q57" s="1223"/>
    </row>
  </sheetData>
  <sheetProtection algorithmName="SHA-512" hashValue="l0O7Ec/1eja/DDE8/BZBYh8JjpfGh2tKFoivJFSuORGvDXrX8b4HjEkDtEQ3MrHTCnbGc1ZAmrUlX8/fIHLAMA==" saltValue="1mtZt+YZ/AUgeWsOcftHAA==" spinCount="100000" sheet="1" objects="1" scenarios="1"/>
  <mergeCells count="2">
    <mergeCell ref="K1:L1"/>
    <mergeCell ref="B2:F4"/>
  </mergeCells>
  <pageMargins left="0.7" right="0.7" top="0.75" bottom="0.75" header="0.3" footer="0.3"/>
  <pageSetup paperSize="9" orientation="portrait" r:id="rId1"/>
  <headerFooter>
    <oddHeader>&amp;C&amp;"Calibri"&amp;10&amp;K000000Confidential&amp;1#</oddHeader>
    <oddFooter>&amp;R&amp;1#&amp;"Calibri"&amp;10&amp;K000000Confidential</oddFooter>
  </headerFooter>
  <drawing r:id="rId2"/>
  <legacyDrawing r:id="rId3"/>
  <oleObjects>
    <mc:AlternateContent xmlns:mc="http://schemas.openxmlformats.org/markup-compatibility/2006">
      <mc:Choice Requires="x14">
        <oleObject progId="Acrobat Document" dvAspect="DVASPECT_ICON" shapeId="186369" r:id="rId4">
          <objectPr defaultSize="0" autoPict="0" r:id="rId5">
            <anchor moveWithCells="1">
              <from>
                <xdr:col>6</xdr:col>
                <xdr:colOff>476250</xdr:colOff>
                <xdr:row>1</xdr:row>
                <xdr:rowOff>19050</xdr:rowOff>
              </from>
              <to>
                <xdr:col>7</xdr:col>
                <xdr:colOff>9525</xdr:colOff>
                <xdr:row>7</xdr:row>
                <xdr:rowOff>238125</xdr:rowOff>
              </to>
            </anchor>
          </objectPr>
        </oleObject>
      </mc:Choice>
      <mc:Fallback>
        <oleObject progId="Acrobat Document" dvAspect="DVASPECT_ICON" shapeId="186369" r:id="rId4"/>
      </mc:Fallback>
    </mc:AlternateContent>
  </oleObjec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CC014-27D8-4000-B9C7-6C26C180121F}">
  <sheetPr>
    <tabColor rgb="FF002060"/>
  </sheetPr>
  <dimension ref="A1:I219"/>
  <sheetViews>
    <sheetView view="pageBreakPreview" zoomScaleNormal="100" zoomScaleSheetLayoutView="100" workbookViewId="0">
      <pane ySplit="3" topLeftCell="A185" activePane="bottomLeft" state="frozen"/>
      <selection pane="bottomLeft" activeCell="F198" sqref="F198"/>
    </sheetView>
  </sheetViews>
  <sheetFormatPr defaultColWidth="9.140625" defaultRowHeight="15"/>
  <cols>
    <col min="1" max="1" width="4.28515625" style="1270" customWidth="1"/>
    <col min="2" max="2" width="57.28515625" style="1271" customWidth="1"/>
    <col min="3" max="3" width="11.7109375" style="1271" bestFit="1" customWidth="1"/>
    <col min="4" max="5" width="12.85546875" style="1271" hidden="1" customWidth="1"/>
    <col min="6" max="6" width="12.85546875" style="1271" customWidth="1"/>
    <col min="7" max="7" width="13.42578125" style="1266" bestFit="1" customWidth="1"/>
    <col min="8" max="8" width="9.140625" style="1266"/>
    <col min="9" max="9" width="16.28515625" style="1266" bestFit="1" customWidth="1"/>
    <col min="10" max="10" width="10.42578125" style="1266" bestFit="1" customWidth="1"/>
    <col min="11" max="16384" width="9.140625" style="1266"/>
  </cols>
  <sheetData>
    <row r="1" spans="1:6">
      <c r="B1" s="1269"/>
      <c r="C1" s="1373"/>
      <c r="D1" s="1373"/>
      <c r="E1" s="1373"/>
      <c r="F1" s="1374">
        <v>1.0629999999999999</v>
      </c>
    </row>
    <row r="3" spans="1:6">
      <c r="A3" s="1261"/>
      <c r="B3" s="1262" t="s">
        <v>1666</v>
      </c>
      <c r="C3" s="1262" t="s">
        <v>195</v>
      </c>
      <c r="D3" s="1263" t="s">
        <v>1669</v>
      </c>
      <c r="E3" s="1263" t="s">
        <v>1667</v>
      </c>
      <c r="F3" s="1263" t="s">
        <v>3465</v>
      </c>
    </row>
    <row r="4" spans="1:6">
      <c r="A4" s="1272"/>
      <c r="B4" s="1345"/>
      <c r="C4" s="1270"/>
      <c r="D4" s="1273"/>
      <c r="E4" s="1273"/>
      <c r="F4" s="1273"/>
    </row>
    <row r="5" spans="1:6" ht="30">
      <c r="A5" s="1272"/>
      <c r="B5" s="1271" t="s">
        <v>1564</v>
      </c>
      <c r="C5" s="1270"/>
      <c r="D5" s="1273"/>
      <c r="E5" s="1273"/>
      <c r="F5" s="1273"/>
    </row>
    <row r="6" spans="1:6" ht="30">
      <c r="A6" s="1272"/>
      <c r="B6" s="1271" t="s">
        <v>1565</v>
      </c>
      <c r="C6" s="1270"/>
      <c r="D6" s="1273"/>
      <c r="E6" s="1273"/>
      <c r="F6" s="1273"/>
    </row>
    <row r="7" spans="1:6">
      <c r="A7" s="1272"/>
      <c r="C7" s="1270"/>
      <c r="D7" s="1273"/>
      <c r="E7" s="1273"/>
      <c r="F7" s="1273"/>
    </row>
    <row r="8" spans="1:6" ht="30">
      <c r="A8" s="1272"/>
      <c r="B8" s="1271" t="s">
        <v>1566</v>
      </c>
      <c r="C8" s="1270" t="s">
        <v>215</v>
      </c>
      <c r="D8" s="1273">
        <v>75</v>
      </c>
      <c r="E8" s="1267">
        <v>76.366001734605376</v>
      </c>
      <c r="F8" s="1267">
        <f>E8*$F$1</f>
        <v>81.177059843885516</v>
      </c>
    </row>
    <row r="9" spans="1:6">
      <c r="A9" s="1272"/>
      <c r="C9" s="1270"/>
      <c r="D9" s="1273"/>
      <c r="E9" s="1273"/>
      <c r="F9" s="1273"/>
    </row>
    <row r="10" spans="1:6">
      <c r="A10" s="1272"/>
      <c r="B10" s="1271" t="s">
        <v>1567</v>
      </c>
      <c r="C10" s="1270" t="s">
        <v>215</v>
      </c>
      <c r="D10" s="1273">
        <v>58</v>
      </c>
      <c r="E10" s="1267">
        <v>59.056374674761493</v>
      </c>
      <c r="F10" s="1267">
        <f>E10*$F$1</f>
        <v>62.776926279271464</v>
      </c>
    </row>
    <row r="11" spans="1:6">
      <c r="A11" s="1272"/>
      <c r="C11" s="1270"/>
      <c r="D11" s="1273"/>
      <c r="E11" s="1273"/>
      <c r="F11" s="1273"/>
    </row>
    <row r="12" spans="1:6">
      <c r="A12" s="1272"/>
      <c r="B12" s="1271" t="s">
        <v>1568</v>
      </c>
      <c r="C12" s="1270" t="s">
        <v>215</v>
      </c>
      <c r="D12" s="1273">
        <v>48</v>
      </c>
      <c r="E12" s="1267">
        <v>48.874241110147445</v>
      </c>
      <c r="F12" s="1267">
        <f>E12*$F$1</f>
        <v>51.953318300086728</v>
      </c>
    </row>
    <row r="13" spans="1:6">
      <c r="A13" s="1272"/>
      <c r="C13" s="1270"/>
      <c r="D13" s="1273"/>
      <c r="E13" s="1273"/>
      <c r="F13" s="1273"/>
    </row>
    <row r="14" spans="1:6">
      <c r="A14" s="1272"/>
      <c r="B14" s="1271" t="s">
        <v>1569</v>
      </c>
      <c r="C14" s="1270" t="s">
        <v>215</v>
      </c>
      <c r="D14" s="1273">
        <v>50</v>
      </c>
      <c r="E14" s="1267">
        <v>50.910667823070256</v>
      </c>
      <c r="F14" s="1267">
        <f>E14*$F$1</f>
        <v>54.11803989592368</v>
      </c>
    </row>
    <row r="15" spans="1:6">
      <c r="A15" s="1272"/>
      <c r="C15" s="1270"/>
      <c r="D15" s="1273"/>
      <c r="E15" s="1273"/>
      <c r="F15" s="1273"/>
    </row>
    <row r="16" spans="1:6" ht="30">
      <c r="A16" s="1272"/>
      <c r="B16" s="1271" t="s">
        <v>1570</v>
      </c>
      <c r="C16" s="1270" t="s">
        <v>215</v>
      </c>
      <c r="D16" s="1273">
        <v>35</v>
      </c>
      <c r="E16" s="1267">
        <v>35.637467476149176</v>
      </c>
      <c r="F16" s="1267">
        <f>E16*$F$1</f>
        <v>37.882627927146572</v>
      </c>
    </row>
    <row r="17" spans="1:6">
      <c r="A17" s="1272"/>
      <c r="C17" s="1270"/>
      <c r="D17" s="1273"/>
      <c r="E17" s="1273"/>
      <c r="F17" s="1273"/>
    </row>
    <row r="18" spans="1:6">
      <c r="A18" s="1272"/>
      <c r="B18" s="1274" t="s">
        <v>1571</v>
      </c>
      <c r="C18" s="1273" t="s">
        <v>215</v>
      </c>
      <c r="D18" s="1273">
        <v>1250</v>
      </c>
      <c r="E18" s="1267">
        <v>1272.7666955767563</v>
      </c>
      <c r="F18" s="1267">
        <f>E18*$F$1</f>
        <v>1352.9509973980919</v>
      </c>
    </row>
    <row r="19" spans="1:6">
      <c r="A19" s="1272"/>
      <c r="B19" s="1274"/>
      <c r="C19" s="1273"/>
      <c r="D19" s="1273"/>
      <c r="E19" s="1273"/>
      <c r="F19" s="1273"/>
    </row>
    <row r="20" spans="1:6">
      <c r="A20" s="1272"/>
      <c r="B20" s="1271" t="s">
        <v>3454</v>
      </c>
      <c r="C20" s="1273" t="s">
        <v>215</v>
      </c>
      <c r="D20" s="1273">
        <v>250</v>
      </c>
      <c r="E20" s="1267">
        <v>254.55333911535126</v>
      </c>
      <c r="F20" s="1267">
        <f>E20*$F$1</f>
        <v>270.59019947961838</v>
      </c>
    </row>
    <row r="21" spans="1:6">
      <c r="A21" s="1272"/>
      <c r="C21" s="1270"/>
      <c r="D21" s="1273"/>
      <c r="E21" s="1273"/>
      <c r="F21" s="1273"/>
    </row>
    <row r="22" spans="1:6">
      <c r="A22" s="1272"/>
      <c r="B22" s="1345" t="s">
        <v>1572</v>
      </c>
      <c r="C22" s="1270"/>
      <c r="D22" s="1273"/>
      <c r="E22" s="1273"/>
      <c r="F22" s="1273"/>
    </row>
    <row r="23" spans="1:6">
      <c r="A23" s="1272"/>
      <c r="C23" s="1270"/>
      <c r="D23" s="1273"/>
      <c r="E23" s="1273"/>
      <c r="F23" s="1273"/>
    </row>
    <row r="24" spans="1:6" ht="60">
      <c r="A24" s="1272"/>
      <c r="B24" s="1271" t="s">
        <v>1573</v>
      </c>
      <c r="C24" s="1270"/>
      <c r="D24" s="1273"/>
      <c r="E24" s="1273"/>
      <c r="F24" s="1273"/>
    </row>
    <row r="25" spans="1:6">
      <c r="A25" s="1272"/>
      <c r="C25" s="1270"/>
      <c r="D25" s="1273"/>
      <c r="E25" s="1273"/>
      <c r="F25" s="1273"/>
    </row>
    <row r="26" spans="1:6">
      <c r="A26" s="1272"/>
      <c r="B26" s="1271" t="s">
        <v>1574</v>
      </c>
      <c r="C26" s="1270" t="s">
        <v>215</v>
      </c>
      <c r="D26" s="1273">
        <v>40</v>
      </c>
      <c r="E26" s="1267">
        <v>40.728534258456207</v>
      </c>
      <c r="F26" s="1267">
        <f>E26*$F$1</f>
        <v>43.294431916738944</v>
      </c>
    </row>
    <row r="27" spans="1:6">
      <c r="A27" s="1272"/>
      <c r="C27" s="1270"/>
      <c r="D27" s="1273"/>
      <c r="E27" s="1273"/>
      <c r="F27" s="1273"/>
    </row>
    <row r="28" spans="1:6">
      <c r="A28" s="1272"/>
      <c r="B28" s="1271" t="s">
        <v>1575</v>
      </c>
      <c r="C28" s="1270" t="s">
        <v>215</v>
      </c>
      <c r="D28" s="1273"/>
      <c r="E28" s="1273"/>
      <c r="F28" s="1273"/>
    </row>
    <row r="29" spans="1:6">
      <c r="A29" s="1272"/>
      <c r="C29" s="1270"/>
      <c r="D29" s="1273"/>
      <c r="E29" s="1273"/>
      <c r="F29" s="1273"/>
    </row>
    <row r="30" spans="1:6">
      <c r="A30" s="1272"/>
      <c r="B30" s="1271" t="s">
        <v>1576</v>
      </c>
      <c r="C30" s="1270" t="s">
        <v>215</v>
      </c>
      <c r="D30" s="1273">
        <v>55</v>
      </c>
      <c r="E30" s="1267">
        <v>56.00173460537728</v>
      </c>
      <c r="F30" s="1267">
        <f>E30*$F$1</f>
        <v>59.529843885516044</v>
      </c>
    </row>
    <row r="31" spans="1:6">
      <c r="A31" s="1272"/>
      <c r="C31" s="1270"/>
      <c r="D31" s="1273"/>
      <c r="E31" s="1273"/>
      <c r="F31" s="1273"/>
    </row>
    <row r="32" spans="1:6">
      <c r="A32" s="1272"/>
      <c r="B32" s="1345" t="s">
        <v>1577</v>
      </c>
      <c r="C32" s="1270"/>
      <c r="D32" s="1273"/>
      <c r="E32" s="1273"/>
      <c r="F32" s="1273"/>
    </row>
    <row r="33" spans="1:6">
      <c r="A33" s="1272"/>
      <c r="C33" s="1270"/>
      <c r="D33" s="1273"/>
      <c r="E33" s="1273"/>
      <c r="F33" s="1273"/>
    </row>
    <row r="34" spans="1:6" ht="105">
      <c r="A34" s="1272"/>
      <c r="B34" s="1271" t="s">
        <v>1578</v>
      </c>
      <c r="C34" s="1270"/>
      <c r="D34" s="1273"/>
      <c r="E34" s="1273"/>
      <c r="F34" s="1273"/>
    </row>
    <row r="35" spans="1:6">
      <c r="A35" s="1272"/>
      <c r="C35" s="1270"/>
      <c r="D35" s="1273"/>
      <c r="E35" s="1273"/>
      <c r="F35" s="1273"/>
    </row>
    <row r="36" spans="1:6" ht="30">
      <c r="A36" s="1272"/>
      <c r="B36" s="1271" t="s">
        <v>1579</v>
      </c>
      <c r="C36" s="1270" t="s">
        <v>608</v>
      </c>
      <c r="D36" s="1273">
        <v>900</v>
      </c>
      <c r="E36" s="1267">
        <v>916.39202081526457</v>
      </c>
      <c r="F36" s="1267">
        <f>E36*$F$1</f>
        <v>974.12471812662614</v>
      </c>
    </row>
    <row r="37" spans="1:6">
      <c r="A37" s="1272"/>
      <c r="B37" s="1274"/>
      <c r="C37" s="1273"/>
      <c r="D37" s="1273"/>
      <c r="E37" s="1273"/>
      <c r="F37" s="1273"/>
    </row>
    <row r="38" spans="1:6">
      <c r="A38" s="1272"/>
      <c r="B38" s="1271" t="s">
        <v>1580</v>
      </c>
      <c r="C38" s="1270" t="s">
        <v>608</v>
      </c>
      <c r="D38" s="1273">
        <v>250</v>
      </c>
      <c r="E38" s="1267">
        <v>254.55333911535126</v>
      </c>
      <c r="F38" s="1267">
        <f t="shared" ref="F38:F39" si="0">E38*$F$1</f>
        <v>270.59019947961838</v>
      </c>
    </row>
    <row r="39" spans="1:6" ht="30">
      <c r="A39" s="1272"/>
      <c r="B39" s="1271" t="s">
        <v>1581</v>
      </c>
      <c r="C39" s="1270" t="s">
        <v>608</v>
      </c>
      <c r="D39" s="1273">
        <v>100</v>
      </c>
      <c r="E39" s="1267">
        <v>101.82133564614051</v>
      </c>
      <c r="F39" s="1267">
        <f t="shared" si="0"/>
        <v>108.23607979184736</v>
      </c>
    </row>
    <row r="40" spans="1:6">
      <c r="A40" s="1272"/>
      <c r="C40" s="1270"/>
      <c r="D40" s="1273"/>
      <c r="E40" s="1273"/>
      <c r="F40" s="1273"/>
    </row>
    <row r="41" spans="1:6">
      <c r="A41" s="1272"/>
      <c r="B41" s="1271" t="s">
        <v>1582</v>
      </c>
      <c r="C41" s="1270" t="s">
        <v>608</v>
      </c>
      <c r="D41" s="1273">
        <v>250</v>
      </c>
      <c r="E41" s="1267">
        <v>254.55333911535126</v>
      </c>
      <c r="F41" s="1267">
        <f t="shared" ref="F41:F42" si="1">E41*$F$1</f>
        <v>270.59019947961838</v>
      </c>
    </row>
    <row r="42" spans="1:6" ht="30">
      <c r="A42" s="1272"/>
      <c r="B42" s="1271" t="s">
        <v>1581</v>
      </c>
      <c r="C42" s="1270" t="s">
        <v>608</v>
      </c>
      <c r="D42" s="1273">
        <v>100</v>
      </c>
      <c r="E42" s="1267">
        <v>101.82133564614051</v>
      </c>
      <c r="F42" s="1267">
        <f t="shared" si="1"/>
        <v>108.23607979184736</v>
      </c>
    </row>
    <row r="43" spans="1:6">
      <c r="A43" s="1272"/>
      <c r="C43" s="1270"/>
      <c r="D43" s="1273"/>
      <c r="E43" s="1273"/>
      <c r="F43" s="1273"/>
    </row>
    <row r="44" spans="1:6">
      <c r="A44" s="1272"/>
      <c r="B44" s="1271" t="s">
        <v>1583</v>
      </c>
      <c r="C44" s="1270" t="s">
        <v>608</v>
      </c>
      <c r="D44" s="1273">
        <v>250</v>
      </c>
      <c r="E44" s="1267">
        <v>254.55333911535126</v>
      </c>
      <c r="F44" s="1267">
        <f t="shared" ref="F44:F45" si="2">E44*$F$1</f>
        <v>270.59019947961838</v>
      </c>
    </row>
    <row r="45" spans="1:6" ht="30">
      <c r="A45" s="1272"/>
      <c r="B45" s="1271" t="s">
        <v>1581</v>
      </c>
      <c r="C45" s="1270" t="s">
        <v>608</v>
      </c>
      <c r="D45" s="1273">
        <v>100</v>
      </c>
      <c r="E45" s="1267">
        <v>101.82133564614051</v>
      </c>
      <c r="F45" s="1267">
        <f t="shared" si="2"/>
        <v>108.23607979184736</v>
      </c>
    </row>
    <row r="46" spans="1:6">
      <c r="A46" s="1272"/>
      <c r="C46" s="1270"/>
      <c r="D46" s="1273"/>
      <c r="E46" s="1273"/>
      <c r="F46" s="1273"/>
    </row>
    <row r="47" spans="1:6">
      <c r="A47" s="1272"/>
      <c r="B47" s="1271" t="s">
        <v>1584</v>
      </c>
      <c r="C47" s="1273" t="s">
        <v>608</v>
      </c>
      <c r="D47" s="1273">
        <v>8900</v>
      </c>
      <c r="E47" s="1267">
        <v>9062.0988725065054</v>
      </c>
      <c r="F47" s="1267">
        <f>E47*$F$1</f>
        <v>9633.0111014744143</v>
      </c>
    </row>
    <row r="48" spans="1:6">
      <c r="A48" s="1272"/>
      <c r="B48" s="1274"/>
      <c r="C48" s="1273"/>
      <c r="D48" s="1273"/>
      <c r="E48" s="1273"/>
      <c r="F48" s="1273"/>
    </row>
    <row r="49" spans="1:6">
      <c r="A49" s="1272"/>
      <c r="B49" s="1274" t="s">
        <v>1585</v>
      </c>
      <c r="C49" s="1273" t="s">
        <v>608</v>
      </c>
      <c r="D49" s="1273">
        <v>9500</v>
      </c>
      <c r="E49" s="1267">
        <v>9673.026886383348</v>
      </c>
      <c r="F49" s="1267">
        <f>E49*$F$1</f>
        <v>10282.427580225498</v>
      </c>
    </row>
    <row r="50" spans="1:6">
      <c r="A50" s="1272"/>
      <c r="C50" s="1270"/>
      <c r="D50" s="1273"/>
      <c r="E50" s="1273"/>
      <c r="F50" s="1273"/>
    </row>
    <row r="51" spans="1:6">
      <c r="A51" s="1272"/>
      <c r="C51" s="1270"/>
      <c r="D51" s="1273"/>
      <c r="E51" s="1273"/>
      <c r="F51" s="1273"/>
    </row>
    <row r="52" spans="1:6">
      <c r="A52" s="1272"/>
      <c r="B52" s="1345" t="s">
        <v>1586</v>
      </c>
      <c r="C52" s="1270"/>
      <c r="D52" s="1273"/>
      <c r="E52" s="1273"/>
      <c r="F52" s="1273"/>
    </row>
    <row r="53" spans="1:6" ht="45">
      <c r="A53" s="1272"/>
      <c r="B53" s="1271" t="s">
        <v>1587</v>
      </c>
      <c r="C53" s="1270"/>
      <c r="D53" s="1273"/>
      <c r="E53" s="1273"/>
      <c r="F53" s="1273"/>
    </row>
    <row r="54" spans="1:6">
      <c r="A54" s="1272"/>
      <c r="C54" s="1270"/>
      <c r="D54" s="1273"/>
      <c r="E54" s="1273"/>
      <c r="F54" s="1273"/>
    </row>
    <row r="55" spans="1:6">
      <c r="A55" s="1272"/>
      <c r="B55" s="1271" t="str">
        <f>B26</f>
        <v>0.5mm² x 2 pair Dekabon IOS Cable</v>
      </c>
      <c r="C55" s="1270" t="s">
        <v>608</v>
      </c>
      <c r="D55" s="1273">
        <v>500</v>
      </c>
      <c r="E55" s="1267">
        <v>509.10667823070253</v>
      </c>
      <c r="F55" s="1267">
        <f>E55*$F$1</f>
        <v>541.18039895923675</v>
      </c>
    </row>
    <row r="56" spans="1:6">
      <c r="A56" s="1272"/>
      <c r="C56" s="1270"/>
      <c r="D56" s="1273"/>
      <c r="E56" s="1273"/>
      <c r="F56" s="1273"/>
    </row>
    <row r="57" spans="1:6">
      <c r="A57" s="1272"/>
      <c r="B57" s="1271" t="str">
        <f>B30</f>
        <v>1.5mm² x 2 pair Dekabon IOS Cable</v>
      </c>
      <c r="C57" s="1270" t="s">
        <v>608</v>
      </c>
      <c r="D57" s="1273">
        <v>500</v>
      </c>
      <c r="E57" s="1267">
        <v>509.10667823070253</v>
      </c>
      <c r="F57" s="1267">
        <f>E57*$F$1</f>
        <v>541.18039895923675</v>
      </c>
    </row>
    <row r="58" spans="1:6">
      <c r="A58" s="1272"/>
      <c r="C58" s="1270"/>
      <c r="D58" s="1273"/>
      <c r="E58" s="1273"/>
      <c r="F58" s="1273"/>
    </row>
    <row r="59" spans="1:6">
      <c r="A59" s="1272"/>
      <c r="B59" s="1345" t="s">
        <v>1670</v>
      </c>
      <c r="C59" s="1270"/>
      <c r="D59" s="1346"/>
      <c r="E59" s="1346"/>
      <c r="F59" s="1346"/>
    </row>
    <row r="60" spans="1:6">
      <c r="A60" s="1272"/>
      <c r="C60" s="1270"/>
      <c r="D60" s="1346"/>
      <c r="E60" s="1346"/>
      <c r="F60" s="1346"/>
    </row>
    <row r="61" spans="1:6" ht="60">
      <c r="A61" s="1272"/>
      <c r="B61" s="1271" t="s">
        <v>1588</v>
      </c>
      <c r="C61" s="1270"/>
      <c r="D61" s="1346"/>
      <c r="E61" s="1346"/>
      <c r="F61" s="1346"/>
    </row>
    <row r="62" spans="1:6">
      <c r="A62" s="1272"/>
      <c r="C62" s="1270"/>
      <c r="D62" s="1346"/>
      <c r="E62" s="1346"/>
      <c r="F62" s="1346"/>
    </row>
    <row r="63" spans="1:6">
      <c r="A63" s="1272"/>
      <c r="B63" s="1271" t="s">
        <v>1589</v>
      </c>
      <c r="C63" s="1270" t="s">
        <v>215</v>
      </c>
      <c r="D63" s="1273">
        <f>446*1.1*1.1</f>
        <v>539.66000000000008</v>
      </c>
      <c r="E63" s="1267">
        <v>549.48901994796199</v>
      </c>
      <c r="F63" s="1267">
        <f>E63*$F$1</f>
        <v>584.10682820468355</v>
      </c>
    </row>
    <row r="64" spans="1:6">
      <c r="A64" s="1272"/>
      <c r="C64" s="1270"/>
      <c r="D64" s="1273"/>
      <c r="E64" s="1273"/>
      <c r="F64" s="1273"/>
    </row>
    <row r="65" spans="1:6">
      <c r="A65" s="1272"/>
      <c r="B65" s="1271" t="s">
        <v>1590</v>
      </c>
      <c r="C65" s="1270" t="s">
        <v>608</v>
      </c>
      <c r="D65" s="1273">
        <f>580*1.1*1.1</f>
        <v>701.80000000000007</v>
      </c>
      <c r="E65" s="1267">
        <v>714.5821335646142</v>
      </c>
      <c r="F65" s="1267">
        <f>E65*$F$1</f>
        <v>759.60080797918488</v>
      </c>
    </row>
    <row r="66" spans="1:6">
      <c r="A66" s="1272"/>
      <c r="C66" s="1270"/>
      <c r="D66" s="1273"/>
      <c r="E66" s="1273"/>
      <c r="F66" s="1273"/>
    </row>
    <row r="67" spans="1:6">
      <c r="A67" s="1272"/>
      <c r="B67" s="1271" t="s">
        <v>1591</v>
      </c>
      <c r="C67" s="1270" t="s">
        <v>608</v>
      </c>
      <c r="D67" s="1273">
        <f>D65</f>
        <v>701.80000000000007</v>
      </c>
      <c r="E67" s="1267">
        <v>714.5821335646142</v>
      </c>
      <c r="F67" s="1267">
        <f>E67*$F$1</f>
        <v>759.60080797918488</v>
      </c>
    </row>
    <row r="68" spans="1:6">
      <c r="A68" s="1272"/>
      <c r="C68" s="1270"/>
      <c r="D68" s="1273"/>
      <c r="E68" s="1273"/>
      <c r="F68" s="1273"/>
    </row>
    <row r="69" spans="1:6">
      <c r="A69" s="1272"/>
      <c r="B69" s="1271" t="s">
        <v>1592</v>
      </c>
      <c r="C69" s="1270" t="s">
        <v>608</v>
      </c>
      <c r="D69" s="1273">
        <f>1250*1.1*1.1</f>
        <v>1512.5000000000002</v>
      </c>
      <c r="E69" s="1267">
        <v>1540.0477016478753</v>
      </c>
      <c r="F69" s="1267">
        <f>E69*$F$1</f>
        <v>1637.0707068516913</v>
      </c>
    </row>
    <row r="70" spans="1:6">
      <c r="A70" s="1272"/>
      <c r="C70" s="1270"/>
      <c r="D70" s="1273"/>
      <c r="E70" s="1273"/>
      <c r="F70" s="1273"/>
    </row>
    <row r="71" spans="1:6">
      <c r="A71" s="1272"/>
      <c r="B71" s="1271" t="s">
        <v>1593</v>
      </c>
      <c r="C71" s="1270" t="s">
        <v>215</v>
      </c>
      <c r="D71" s="1273">
        <f>833*1.1*1.1</f>
        <v>1007.9300000000002</v>
      </c>
      <c r="E71" s="1267">
        <v>1026.2877883781441</v>
      </c>
      <c r="F71" s="1267">
        <f>E71*$F$1</f>
        <v>1090.943919045967</v>
      </c>
    </row>
    <row r="72" spans="1:6">
      <c r="A72" s="1272"/>
      <c r="C72" s="1270"/>
      <c r="D72" s="1273"/>
      <c r="E72" s="1273"/>
      <c r="F72" s="1273"/>
    </row>
    <row r="73" spans="1:6">
      <c r="A73" s="1272"/>
      <c r="B73" s="1271" t="s">
        <v>1594</v>
      </c>
      <c r="C73" s="1270" t="s">
        <v>608</v>
      </c>
      <c r="D73" s="1273">
        <f>1250*1.1*1.2</f>
        <v>1650</v>
      </c>
      <c r="E73" s="1267">
        <v>1680.0520381613185</v>
      </c>
      <c r="F73" s="1267">
        <f>E73*$F$1</f>
        <v>1785.8953165654814</v>
      </c>
    </row>
    <row r="74" spans="1:6">
      <c r="A74" s="1272"/>
      <c r="C74" s="1270"/>
      <c r="D74" s="1273"/>
      <c r="E74" s="1273"/>
      <c r="F74" s="1273"/>
    </row>
    <row r="75" spans="1:6">
      <c r="A75" s="1272"/>
      <c r="B75" s="1271" t="s">
        <v>1595</v>
      </c>
      <c r="C75" s="1270" t="s">
        <v>608</v>
      </c>
      <c r="D75" s="1273">
        <f>900*1.1*1.1</f>
        <v>1089.0000000000002</v>
      </c>
      <c r="E75" s="1267">
        <v>1108.8343451864703</v>
      </c>
      <c r="F75" s="1267">
        <f>E75*$F$1</f>
        <v>1178.6909089332178</v>
      </c>
    </row>
    <row r="76" spans="1:6">
      <c r="A76" s="1272"/>
      <c r="C76" s="1270"/>
      <c r="D76" s="1273"/>
      <c r="E76" s="1273"/>
      <c r="F76" s="1273"/>
    </row>
    <row r="77" spans="1:6">
      <c r="A77" s="1272"/>
      <c r="B77" s="1271" t="s">
        <v>1596</v>
      </c>
      <c r="C77" s="1270" t="s">
        <v>608</v>
      </c>
      <c r="D77" s="1273">
        <f>3180*1.1*1.1</f>
        <v>3847.8000000000006</v>
      </c>
      <c r="E77" s="1267">
        <v>3917.8813529921954</v>
      </c>
      <c r="F77" s="1267">
        <f>E77*$F$1</f>
        <v>4164.7078782307035</v>
      </c>
    </row>
    <row r="78" spans="1:6">
      <c r="A78" s="1272"/>
      <c r="C78" s="1270"/>
      <c r="D78" s="1273"/>
      <c r="E78" s="1273"/>
      <c r="F78" s="1273"/>
    </row>
    <row r="79" spans="1:6">
      <c r="A79" s="1272"/>
      <c r="B79" s="1271" t="s">
        <v>1597</v>
      </c>
      <c r="C79" s="1270" t="s">
        <v>215</v>
      </c>
      <c r="D79" s="1273">
        <f>2303*1.1*1.1</f>
        <v>2786.6300000000006</v>
      </c>
      <c r="E79" s="1267">
        <v>2837.3838855160457</v>
      </c>
      <c r="F79" s="1267">
        <f>E79*$F$1</f>
        <v>3016.1390703035563</v>
      </c>
    </row>
    <row r="80" spans="1:6">
      <c r="A80" s="1272"/>
      <c r="C80" s="1270"/>
      <c r="D80" s="1273"/>
      <c r="E80" s="1273"/>
      <c r="F80" s="1273"/>
    </row>
    <row r="81" spans="1:6">
      <c r="A81" s="1272"/>
      <c r="B81" s="1271" t="s">
        <v>1598</v>
      </c>
      <c r="C81" s="1270" t="s">
        <v>608</v>
      </c>
      <c r="D81" s="1273">
        <f>2750*1.1*1.1</f>
        <v>3327.5000000000009</v>
      </c>
      <c r="E81" s="1267">
        <v>3388.1049436253265</v>
      </c>
      <c r="F81" s="1267">
        <f>E81*$F$1</f>
        <v>3601.5555550737217</v>
      </c>
    </row>
    <row r="82" spans="1:6">
      <c r="A82" s="1272"/>
      <c r="C82" s="1270"/>
      <c r="D82" s="1273"/>
      <c r="E82" s="1273"/>
      <c r="F82" s="1273"/>
    </row>
    <row r="83" spans="1:6">
      <c r="A83" s="1272"/>
      <c r="B83" s="1271" t="s">
        <v>1599</v>
      </c>
      <c r="C83" s="1270" t="s">
        <v>608</v>
      </c>
      <c r="D83" s="1273">
        <f>1470*1.1*1.1</f>
        <v>1778.7000000000005</v>
      </c>
      <c r="E83" s="1267">
        <v>1811.0960971379018</v>
      </c>
      <c r="F83" s="1267">
        <f>E83*$F$1</f>
        <v>1925.1951512575895</v>
      </c>
    </row>
    <row r="84" spans="1:6">
      <c r="A84" s="1272"/>
      <c r="C84" s="1270"/>
      <c r="D84" s="1273"/>
      <c r="E84" s="1273"/>
      <c r="F84" s="1273"/>
    </row>
    <row r="85" spans="1:6">
      <c r="A85" s="1272"/>
      <c r="B85" s="1271" t="s">
        <v>1600</v>
      </c>
      <c r="C85" s="1270" t="s">
        <v>608</v>
      </c>
      <c r="D85" s="1273">
        <f>4210*1.1*1.1</f>
        <v>5094.1000000000004</v>
      </c>
      <c r="E85" s="1267">
        <v>5186.8806591500443</v>
      </c>
      <c r="F85" s="1267">
        <f>E85*$F$1</f>
        <v>5513.6541406764964</v>
      </c>
    </row>
    <row r="86" spans="1:6">
      <c r="A86" s="1272"/>
      <c r="C86" s="1270"/>
      <c r="D86" s="1273"/>
      <c r="E86" s="1273"/>
      <c r="F86" s="1273"/>
    </row>
    <row r="87" spans="1:6" ht="60">
      <c r="A87" s="1272"/>
      <c r="B87" s="1271" t="s">
        <v>1601</v>
      </c>
      <c r="C87" s="1270" t="s">
        <v>608</v>
      </c>
      <c r="D87" s="1273">
        <v>3000</v>
      </c>
      <c r="E87" s="1267">
        <v>3054.6400693842152</v>
      </c>
      <c r="F87" s="1267">
        <f>E87*$F$1</f>
        <v>3247.0823937554205</v>
      </c>
    </row>
    <row r="88" spans="1:6">
      <c r="A88" s="1272"/>
      <c r="C88" s="1275"/>
      <c r="D88" s="1273"/>
      <c r="E88" s="1273"/>
      <c r="F88" s="1273"/>
    </row>
    <row r="89" spans="1:6">
      <c r="A89" s="1272"/>
      <c r="B89" s="1272" t="s">
        <v>1602</v>
      </c>
      <c r="C89" s="1270" t="s">
        <v>215</v>
      </c>
      <c r="D89" s="1273">
        <v>50</v>
      </c>
      <c r="E89" s="1267">
        <v>50.910667823070256</v>
      </c>
      <c r="F89" s="1267">
        <f>E89*$F$1</f>
        <v>54.11803989592368</v>
      </c>
    </row>
    <row r="90" spans="1:6">
      <c r="A90" s="1272"/>
      <c r="B90" s="1272"/>
      <c r="C90" s="1270"/>
      <c r="D90" s="1273"/>
      <c r="E90" s="1273"/>
      <c r="F90" s="1273"/>
    </row>
    <row r="91" spans="1:6">
      <c r="A91" s="1272"/>
      <c r="B91" s="1272" t="s">
        <v>1603</v>
      </c>
      <c r="C91" s="1270" t="s">
        <v>608</v>
      </c>
      <c r="D91" s="1273">
        <v>40</v>
      </c>
      <c r="E91" s="1267">
        <v>40.728534258456207</v>
      </c>
      <c r="F91" s="1267">
        <f>E91*$F$1</f>
        <v>43.294431916738944</v>
      </c>
    </row>
    <row r="92" spans="1:6">
      <c r="A92" s="1272"/>
      <c r="B92" s="1272"/>
      <c r="C92" s="1270"/>
      <c r="D92" s="1273"/>
      <c r="E92" s="1273"/>
      <c r="F92" s="1273"/>
    </row>
    <row r="93" spans="1:6">
      <c r="A93" s="1272"/>
      <c r="B93" s="1345" t="s">
        <v>1671</v>
      </c>
      <c r="C93" s="1275"/>
      <c r="D93" s="1273"/>
      <c r="E93" s="1273"/>
      <c r="F93" s="1273"/>
    </row>
    <row r="94" spans="1:6" ht="45">
      <c r="A94" s="1272"/>
      <c r="B94" s="1271" t="s">
        <v>1604</v>
      </c>
      <c r="C94" s="1275"/>
      <c r="D94" s="1273"/>
      <c r="E94" s="1273"/>
      <c r="F94" s="1273"/>
    </row>
    <row r="95" spans="1:6">
      <c r="A95" s="1272"/>
      <c r="B95" s="1272"/>
      <c r="C95" s="1275"/>
      <c r="D95" s="1273"/>
      <c r="E95" s="1273"/>
      <c r="F95" s="1273"/>
    </row>
    <row r="96" spans="1:6" ht="75">
      <c r="A96" s="1272"/>
      <c r="B96" s="1271" t="s">
        <v>1605</v>
      </c>
      <c r="C96" s="1270" t="s">
        <v>608</v>
      </c>
      <c r="D96" s="1273">
        <f>7493*1.1*1.1</f>
        <v>9066.5300000000025</v>
      </c>
      <c r="E96" s="1267">
        <v>9231.6619427580263</v>
      </c>
      <c r="F96" s="1267">
        <f>E96*$F$1</f>
        <v>9813.2566451517814</v>
      </c>
    </row>
    <row r="97" spans="1:6">
      <c r="A97" s="1272"/>
      <c r="B97" s="1272"/>
      <c r="C97" s="1275"/>
      <c r="D97" s="1273"/>
      <c r="E97" s="1273"/>
      <c r="F97" s="1273"/>
    </row>
    <row r="98" spans="1:6" ht="30">
      <c r="A98" s="1272"/>
      <c r="B98" s="1271" t="s">
        <v>1606</v>
      </c>
      <c r="C98" s="1270" t="s">
        <v>608</v>
      </c>
      <c r="D98" s="1273">
        <f>12493*1.1*1.1</f>
        <v>15116.530000000002</v>
      </c>
      <c r="E98" s="1267">
        <v>15391.852749349526</v>
      </c>
      <c r="F98" s="1267">
        <f>E98*$F$1</f>
        <v>16361.539472558545</v>
      </c>
    </row>
    <row r="99" spans="1:6">
      <c r="A99" s="1272"/>
      <c r="B99" s="1272"/>
      <c r="C99" s="1275"/>
      <c r="D99" s="1273"/>
      <c r="E99" s="1273"/>
      <c r="F99" s="1273"/>
    </row>
    <row r="100" spans="1:6" ht="30">
      <c r="A100" s="1272"/>
      <c r="B100" s="1271" t="s">
        <v>1607</v>
      </c>
      <c r="C100" s="1270" t="s">
        <v>608</v>
      </c>
      <c r="D100" s="1273">
        <f>2350*1.1*1.1</f>
        <v>2843.5000000000005</v>
      </c>
      <c r="E100" s="1267">
        <v>2895.2896790980058</v>
      </c>
      <c r="F100" s="1267">
        <f>E100*$F$1</f>
        <v>3077.6929288811798</v>
      </c>
    </row>
    <row r="101" spans="1:6">
      <c r="A101" s="1272"/>
      <c r="B101" s="1272"/>
      <c r="C101" s="1275"/>
      <c r="D101" s="1273"/>
      <c r="E101" s="1273"/>
      <c r="F101" s="1273"/>
    </row>
    <row r="102" spans="1:6" ht="30">
      <c r="A102" s="1272"/>
      <c r="B102" s="1271" t="s">
        <v>1608</v>
      </c>
      <c r="C102" s="1270" t="s">
        <v>608</v>
      </c>
      <c r="D102" s="1273">
        <v>5000</v>
      </c>
      <c r="E102" s="1267">
        <v>5091.0667823070253</v>
      </c>
      <c r="F102" s="1267">
        <f>E102*$F$1</f>
        <v>5411.8039895923675</v>
      </c>
    </row>
    <row r="103" spans="1:6">
      <c r="A103" s="1272"/>
      <c r="B103" s="1272"/>
      <c r="C103" s="1275"/>
      <c r="D103" s="1273"/>
      <c r="E103" s="1273"/>
      <c r="F103" s="1273"/>
    </row>
    <row r="104" spans="1:6" ht="45">
      <c r="A104" s="1272"/>
      <c r="B104" s="1271" t="s">
        <v>1609</v>
      </c>
      <c r="C104" s="1275"/>
      <c r="D104" s="1273"/>
      <c r="E104" s="1273"/>
      <c r="F104" s="1273"/>
    </row>
    <row r="105" spans="1:6">
      <c r="A105" s="1272"/>
      <c r="B105" s="1272"/>
      <c r="C105" s="1275"/>
      <c r="D105" s="1273"/>
      <c r="E105" s="1273"/>
      <c r="F105" s="1273"/>
    </row>
    <row r="106" spans="1:6">
      <c r="A106" s="1272"/>
      <c r="B106" s="1271" t="s">
        <v>1610</v>
      </c>
      <c r="C106" s="1270" t="s">
        <v>608</v>
      </c>
      <c r="D106" s="1273">
        <f>403*1.4</f>
        <v>564.19999999999993</v>
      </c>
      <c r="E106" s="1267">
        <v>574.47597571552467</v>
      </c>
      <c r="F106" s="1267">
        <f t="shared" ref="F106:F107" si="3">E106*$F$1</f>
        <v>610.66796218560273</v>
      </c>
    </row>
    <row r="107" spans="1:6">
      <c r="A107" s="1272"/>
      <c r="B107" s="1271" t="s">
        <v>1611</v>
      </c>
      <c r="C107" s="1270" t="s">
        <v>608</v>
      </c>
      <c r="D107" s="1273">
        <f>800*1.4</f>
        <v>1120</v>
      </c>
      <c r="E107" s="1267">
        <v>1140.3989592367736</v>
      </c>
      <c r="F107" s="1267">
        <f t="shared" si="3"/>
        <v>1212.2440936686903</v>
      </c>
    </row>
    <row r="108" spans="1:6">
      <c r="A108" s="1272"/>
      <c r="B108" s="1272"/>
      <c r="C108" s="1275"/>
      <c r="D108" s="1273"/>
      <c r="E108" s="1273"/>
      <c r="F108" s="1273"/>
    </row>
    <row r="109" spans="1:6" ht="30">
      <c r="A109" s="1272"/>
      <c r="B109" s="1271" t="s">
        <v>1612</v>
      </c>
      <c r="C109" s="1270" t="s">
        <v>608</v>
      </c>
      <c r="D109" s="1273">
        <v>750</v>
      </c>
      <c r="E109" s="1267">
        <v>763.66001734605379</v>
      </c>
      <c r="F109" s="1267">
        <f>E109*$F$1</f>
        <v>811.77059843885513</v>
      </c>
    </row>
    <row r="110" spans="1:6">
      <c r="A110" s="1272"/>
      <c r="B110" s="1272"/>
      <c r="C110" s="1275"/>
      <c r="D110" s="1273"/>
      <c r="E110" s="1273"/>
      <c r="F110" s="1273"/>
    </row>
    <row r="111" spans="1:6" ht="30">
      <c r="A111" s="1272"/>
      <c r="B111" s="1271" t="s">
        <v>1613</v>
      </c>
      <c r="C111" s="1270" t="s">
        <v>608</v>
      </c>
      <c r="D111" s="1273">
        <v>150</v>
      </c>
      <c r="E111" s="1267">
        <v>152.73200346921075</v>
      </c>
      <c r="F111" s="1267">
        <f t="shared" ref="F111:F112" si="4">E111*$F$1</f>
        <v>162.35411968777103</v>
      </c>
    </row>
    <row r="112" spans="1:6">
      <c r="A112" s="1272"/>
      <c r="B112" s="1272" t="s">
        <v>1614</v>
      </c>
      <c r="C112" s="1270" t="s">
        <v>608</v>
      </c>
      <c r="D112" s="1273">
        <v>1500</v>
      </c>
      <c r="E112" s="1267">
        <v>1527.3200346921076</v>
      </c>
      <c r="F112" s="1267">
        <f t="shared" si="4"/>
        <v>1623.5411968777103</v>
      </c>
    </row>
    <row r="113" spans="1:6">
      <c r="A113" s="1272"/>
      <c r="B113" s="1272"/>
      <c r="C113" s="1275"/>
      <c r="D113" s="1273"/>
      <c r="E113" s="1273"/>
      <c r="F113" s="1273"/>
    </row>
    <row r="114" spans="1:6">
      <c r="A114" s="1272"/>
      <c r="B114" s="1271" t="s">
        <v>1615</v>
      </c>
      <c r="C114" s="1270" t="s">
        <v>608</v>
      </c>
      <c r="D114" s="1273">
        <v>5500</v>
      </c>
      <c r="E114" s="1267">
        <v>5600.1734605377278</v>
      </c>
      <c r="F114" s="1267">
        <f>E114*$F$1</f>
        <v>5952.9843885516048</v>
      </c>
    </row>
    <row r="115" spans="1:6">
      <c r="A115" s="1272"/>
      <c r="B115" s="1272"/>
      <c r="C115" s="1275"/>
      <c r="D115" s="1273"/>
      <c r="E115" s="1273"/>
      <c r="F115" s="1273"/>
    </row>
    <row r="116" spans="1:6">
      <c r="A116" s="1272"/>
      <c r="B116" s="1272" t="s">
        <v>1616</v>
      </c>
      <c r="C116" s="1270" t="s">
        <v>608</v>
      </c>
      <c r="D116" s="1273">
        <v>550</v>
      </c>
      <c r="E116" s="1267">
        <v>560.01734605377283</v>
      </c>
      <c r="F116" s="1267">
        <f>E116*$F$1</f>
        <v>595.2984388551605</v>
      </c>
    </row>
    <row r="117" spans="1:6">
      <c r="A117" s="1272"/>
      <c r="B117" s="1272"/>
      <c r="C117" s="1275"/>
      <c r="D117" s="1273"/>
      <c r="E117" s="1273"/>
      <c r="F117" s="1273"/>
    </row>
    <row r="118" spans="1:6" ht="30">
      <c r="A118" s="1272"/>
      <c r="B118" s="1271" t="s">
        <v>1617</v>
      </c>
      <c r="C118" s="1270" t="s">
        <v>608</v>
      </c>
      <c r="D118" s="1273">
        <v>5000</v>
      </c>
      <c r="E118" s="1267">
        <v>5091.0667823070253</v>
      </c>
      <c r="F118" s="1267">
        <f>E118*$F$1</f>
        <v>5411.8039895923675</v>
      </c>
    </row>
    <row r="119" spans="1:6">
      <c r="A119" s="1272"/>
      <c r="B119" s="1272"/>
      <c r="C119" s="1275"/>
      <c r="D119" s="1273"/>
      <c r="E119" s="1273"/>
      <c r="F119" s="1273"/>
    </row>
    <row r="120" spans="1:6">
      <c r="A120" s="1272"/>
      <c r="B120" s="1271" t="s">
        <v>1618</v>
      </c>
      <c r="C120" s="1275" t="s">
        <v>608</v>
      </c>
      <c r="D120" s="1273">
        <v>6500</v>
      </c>
      <c r="E120" s="1267">
        <v>6618.3868169991329</v>
      </c>
      <c r="F120" s="1267">
        <f>E120*$F$1</f>
        <v>7035.3451864700783</v>
      </c>
    </row>
    <row r="121" spans="1:6">
      <c r="A121" s="1272"/>
      <c r="B121" s="1272"/>
      <c r="C121" s="1275"/>
      <c r="D121" s="1273"/>
      <c r="E121" s="1273"/>
      <c r="F121" s="1273"/>
    </row>
    <row r="122" spans="1:6" ht="30">
      <c r="A122" s="1272"/>
      <c r="B122" s="1271" t="s">
        <v>1619</v>
      </c>
      <c r="C122" s="1275" t="s">
        <v>608</v>
      </c>
      <c r="D122" s="1273">
        <v>9000</v>
      </c>
      <c r="E122" s="1267">
        <v>9163.9202081526455</v>
      </c>
      <c r="F122" s="1267">
        <f>E122*$F$1</f>
        <v>9741.2471812662625</v>
      </c>
    </row>
    <row r="123" spans="1:6">
      <c r="A123" s="1272"/>
      <c r="B123" s="1272"/>
      <c r="C123" s="1275"/>
      <c r="D123" s="1273"/>
      <c r="E123" s="1273"/>
      <c r="F123" s="1273"/>
    </row>
    <row r="124" spans="1:6">
      <c r="A124" s="1272"/>
      <c r="B124" s="1271" t="s">
        <v>1620</v>
      </c>
      <c r="C124" s="1275" t="s">
        <v>608</v>
      </c>
      <c r="D124" s="1273">
        <v>8000</v>
      </c>
      <c r="E124" s="1267">
        <v>8145.7068516912404</v>
      </c>
      <c r="F124" s="1267">
        <f>E124*$F$1</f>
        <v>8658.8863833477881</v>
      </c>
    </row>
    <row r="125" spans="1:6">
      <c r="A125" s="1272"/>
      <c r="B125" s="1272"/>
      <c r="C125" s="1275"/>
      <c r="D125" s="1273"/>
      <c r="E125" s="1273"/>
      <c r="F125" s="1273"/>
    </row>
    <row r="126" spans="1:6">
      <c r="A126" s="1272"/>
      <c r="C126" s="1275"/>
      <c r="D126" s="1273"/>
      <c r="E126" s="1273"/>
      <c r="F126" s="1273"/>
    </row>
    <row r="127" spans="1:6">
      <c r="A127" s="1272"/>
      <c r="B127" s="1345" t="s">
        <v>1672</v>
      </c>
      <c r="C127" s="1275"/>
      <c r="D127" s="1273"/>
      <c r="E127" s="1273"/>
      <c r="F127" s="1273"/>
    </row>
    <row r="128" spans="1:6" ht="150">
      <c r="A128" s="1272"/>
      <c r="B128" s="1271" t="s">
        <v>1621</v>
      </c>
      <c r="C128" s="1275" t="s">
        <v>608</v>
      </c>
      <c r="D128" s="1273">
        <v>19625</v>
      </c>
      <c r="E128" s="1267">
        <v>19982.437120555074</v>
      </c>
      <c r="F128" s="1267">
        <f>E128*$F$1</f>
        <v>21241.330659150044</v>
      </c>
    </row>
    <row r="129" spans="1:6">
      <c r="A129" s="1272"/>
      <c r="B129" s="1271" t="s">
        <v>1622</v>
      </c>
      <c r="C129" s="1275"/>
      <c r="D129" s="1273"/>
      <c r="E129" s="1273"/>
      <c r="F129" s="1273"/>
    </row>
    <row r="130" spans="1:6">
      <c r="A130" s="1272"/>
      <c r="C130" s="1275"/>
      <c r="D130" s="1273"/>
      <c r="E130" s="1273"/>
      <c r="F130" s="1273"/>
    </row>
    <row r="131" spans="1:6">
      <c r="A131" s="1272"/>
      <c r="B131" s="1271" t="s">
        <v>1623</v>
      </c>
      <c r="C131" s="1275"/>
      <c r="D131" s="1273">
        <v>334.43</v>
      </c>
      <c r="E131" s="1267">
        <v>340.52109280138774</v>
      </c>
      <c r="F131" s="1267">
        <f>E131*$F$1</f>
        <v>361.97392164787516</v>
      </c>
    </row>
    <row r="132" spans="1:6">
      <c r="A132" s="1272"/>
      <c r="C132" s="1275"/>
      <c r="D132" s="1273"/>
      <c r="E132" s="1273"/>
      <c r="F132" s="1273"/>
    </row>
    <row r="133" spans="1:6">
      <c r="A133" s="1272"/>
      <c r="B133" s="1271" t="s">
        <v>1624</v>
      </c>
      <c r="C133" s="1275"/>
      <c r="D133" s="1273">
        <v>10000</v>
      </c>
      <c r="E133" s="1267">
        <v>10182.133564614051</v>
      </c>
      <c r="F133" s="1267">
        <f>E133*$F$1</f>
        <v>10823.607979184735</v>
      </c>
    </row>
    <row r="134" spans="1:6">
      <c r="A134" s="1272"/>
      <c r="C134" s="1275"/>
      <c r="D134" s="1273"/>
      <c r="E134" s="1273"/>
      <c r="F134" s="1273"/>
    </row>
    <row r="135" spans="1:6">
      <c r="A135" s="1272"/>
      <c r="B135" s="1271" t="s">
        <v>1625</v>
      </c>
      <c r="C135" s="1275"/>
      <c r="D135" s="1273">
        <v>1600</v>
      </c>
      <c r="E135" s="1267">
        <v>1629.1413703382482</v>
      </c>
      <c r="F135" s="1267">
        <f>E135*$F$1</f>
        <v>1731.7772766695578</v>
      </c>
    </row>
    <row r="136" spans="1:6">
      <c r="A136" s="1272"/>
      <c r="C136" s="1275"/>
      <c r="D136" s="1273"/>
      <c r="E136" s="1273"/>
      <c r="F136" s="1273"/>
    </row>
    <row r="137" spans="1:6">
      <c r="A137" s="1272"/>
      <c r="B137" s="1271" t="s">
        <v>1626</v>
      </c>
      <c r="C137" s="1275"/>
      <c r="D137" s="1273">
        <v>1995</v>
      </c>
      <c r="E137" s="1267">
        <v>2031.3356461405031</v>
      </c>
      <c r="F137" s="1267">
        <f>E137*$F$1</f>
        <v>2159.3097918473545</v>
      </c>
    </row>
    <row r="138" spans="1:6">
      <c r="A138" s="1272"/>
      <c r="C138" s="1275"/>
      <c r="D138" s="1273"/>
      <c r="E138" s="1273"/>
      <c r="F138" s="1273"/>
    </row>
    <row r="139" spans="1:6">
      <c r="A139" s="1272"/>
      <c r="B139" s="1271" t="s">
        <v>1627</v>
      </c>
      <c r="C139" s="1275"/>
      <c r="D139" s="1273">
        <v>950</v>
      </c>
      <c r="E139" s="1267">
        <v>967.30268863833487</v>
      </c>
      <c r="F139" s="1267">
        <f>E139*$F$1</f>
        <v>1028.2427580225499</v>
      </c>
    </row>
    <row r="140" spans="1:6">
      <c r="A140" s="1272"/>
      <c r="C140" s="1275"/>
      <c r="D140" s="1273"/>
      <c r="E140" s="1273"/>
      <c r="F140" s="1273"/>
    </row>
    <row r="141" spans="1:6">
      <c r="A141" s="1272"/>
      <c r="B141" s="1271" t="s">
        <v>1628</v>
      </c>
      <c r="C141" s="1275"/>
      <c r="D141" s="1273">
        <v>230</v>
      </c>
      <c r="E141" s="1267">
        <v>234.18907198612317</v>
      </c>
      <c r="F141" s="1267">
        <f>E141*$F$1</f>
        <v>248.94298352124892</v>
      </c>
    </row>
    <row r="142" spans="1:6">
      <c r="A142" s="1272"/>
      <c r="C142" s="1275"/>
      <c r="D142" s="1273"/>
      <c r="E142" s="1273"/>
      <c r="F142" s="1273"/>
    </row>
    <row r="143" spans="1:6">
      <c r="A143" s="1272"/>
      <c r="B143" s="1347" t="s">
        <v>1673</v>
      </c>
      <c r="C143" s="1275"/>
      <c r="D143" s="1273"/>
      <c r="E143" s="1273"/>
      <c r="F143" s="1273"/>
    </row>
    <row r="144" spans="1:6">
      <c r="A144" s="1272"/>
      <c r="B144" s="1272"/>
      <c r="C144" s="1275"/>
      <c r="D144" s="1273"/>
      <c r="E144" s="1273"/>
      <c r="F144" s="1273"/>
    </row>
    <row r="145" spans="1:6" ht="75">
      <c r="A145" s="1272"/>
      <c r="B145" s="1271" t="s">
        <v>1629</v>
      </c>
      <c r="C145" s="1275" t="s">
        <v>608</v>
      </c>
      <c r="D145" s="1273">
        <v>8000</v>
      </c>
      <c r="E145" s="1267">
        <v>8145.7068516912404</v>
      </c>
      <c r="F145" s="1267">
        <f>E145*$F$1</f>
        <v>8658.8863833477881</v>
      </c>
    </row>
    <row r="146" spans="1:6">
      <c r="A146" s="1272"/>
      <c r="C146" s="1275"/>
      <c r="D146" s="1273"/>
      <c r="E146" s="1273"/>
      <c r="F146" s="1273"/>
    </row>
    <row r="147" spans="1:6" ht="75">
      <c r="A147" s="1272"/>
      <c r="B147" s="1271" t="s">
        <v>1630</v>
      </c>
      <c r="C147" s="1275" t="s">
        <v>608</v>
      </c>
      <c r="D147" s="1273">
        <v>5000</v>
      </c>
      <c r="E147" s="1267">
        <v>5091.0667823070253</v>
      </c>
      <c r="F147" s="1267">
        <f>E147*$F$1</f>
        <v>5411.8039895923675</v>
      </c>
    </row>
    <row r="148" spans="1:6">
      <c r="A148" s="1272"/>
      <c r="C148" s="1275"/>
      <c r="D148" s="1273"/>
      <c r="E148" s="1273"/>
      <c r="F148" s="1273"/>
    </row>
    <row r="149" spans="1:6" ht="45">
      <c r="A149" s="1272"/>
      <c r="B149" s="1271" t="s">
        <v>1631</v>
      </c>
      <c r="C149" s="1275" t="s">
        <v>608</v>
      </c>
      <c r="D149" s="1273">
        <v>10000</v>
      </c>
      <c r="E149" s="1267">
        <v>10182.133564614051</v>
      </c>
      <c r="F149" s="1267">
        <f>E149*$F$1</f>
        <v>10823.607979184735</v>
      </c>
    </row>
    <row r="150" spans="1:6">
      <c r="A150" s="1272"/>
      <c r="C150" s="1275"/>
      <c r="D150" s="1273"/>
      <c r="E150" s="1273"/>
      <c r="F150" s="1273"/>
    </row>
    <row r="151" spans="1:6" ht="45">
      <c r="A151" s="1272"/>
      <c r="B151" s="1271" t="s">
        <v>1632</v>
      </c>
      <c r="C151" s="1275" t="s">
        <v>608</v>
      </c>
      <c r="D151" s="1273">
        <v>8000</v>
      </c>
      <c r="E151" s="1267">
        <v>8145.7068516912404</v>
      </c>
      <c r="F151" s="1267">
        <f>E151*$F$1</f>
        <v>8658.8863833477881</v>
      </c>
    </row>
    <row r="152" spans="1:6">
      <c r="A152" s="1272"/>
      <c r="C152" s="1275"/>
      <c r="D152" s="1273"/>
      <c r="E152" s="1273"/>
      <c r="F152" s="1273"/>
    </row>
    <row r="153" spans="1:6" ht="45">
      <c r="A153" s="1272"/>
      <c r="B153" s="1271" t="s">
        <v>1633</v>
      </c>
      <c r="C153" s="1275" t="s">
        <v>608</v>
      </c>
      <c r="D153" s="1273">
        <v>5000</v>
      </c>
      <c r="E153" s="1267">
        <v>5091.0667823070253</v>
      </c>
      <c r="F153" s="1267">
        <f>E153*$F$1</f>
        <v>5411.8039895923675</v>
      </c>
    </row>
    <row r="154" spans="1:6">
      <c r="A154" s="1272"/>
      <c r="C154" s="1275"/>
      <c r="D154" s="1273"/>
      <c r="E154" s="1273"/>
      <c r="F154" s="1273"/>
    </row>
    <row r="155" spans="1:6">
      <c r="A155" s="1272"/>
      <c r="B155" s="1271" t="s">
        <v>1634</v>
      </c>
      <c r="C155" s="1270" t="s">
        <v>215</v>
      </c>
      <c r="D155" s="1273">
        <v>105</v>
      </c>
      <c r="E155" s="1267">
        <v>106.91240242844754</v>
      </c>
      <c r="F155" s="1267">
        <f>E155*$F$1</f>
        <v>113.64788378143973</v>
      </c>
    </row>
    <row r="156" spans="1:6">
      <c r="A156" s="1272"/>
      <c r="C156" s="1275"/>
      <c r="D156" s="1273"/>
      <c r="E156" s="1273"/>
      <c r="F156" s="1273"/>
    </row>
    <row r="157" spans="1:6" ht="30">
      <c r="A157" s="1272"/>
      <c r="B157" s="1271" t="s">
        <v>1635</v>
      </c>
      <c r="C157" s="1275" t="s">
        <v>608</v>
      </c>
      <c r="D157" s="1273">
        <v>200</v>
      </c>
      <c r="E157" s="1267">
        <v>203.64267129228102</v>
      </c>
      <c r="F157" s="1267">
        <f>E157*$F$1</f>
        <v>216.47215958369472</v>
      </c>
    </row>
    <row r="158" spans="1:6">
      <c r="A158" s="1272"/>
      <c r="C158" s="1275"/>
      <c r="D158" s="1273"/>
      <c r="E158" s="1273"/>
      <c r="F158" s="1273"/>
    </row>
    <row r="159" spans="1:6">
      <c r="A159" s="1272"/>
      <c r="C159" s="1275"/>
      <c r="D159" s="1273"/>
      <c r="E159" s="1273"/>
      <c r="F159" s="1273"/>
    </row>
    <row r="160" spans="1:6" ht="30">
      <c r="A160" s="1272"/>
      <c r="B160" s="1271" t="s">
        <v>1636</v>
      </c>
      <c r="C160" s="1270" t="s">
        <v>215</v>
      </c>
      <c r="D160" s="1273">
        <v>105</v>
      </c>
      <c r="E160" s="1267">
        <v>106.91240242844754</v>
      </c>
      <c r="F160" s="1267">
        <f>E160*$F$1</f>
        <v>113.64788378143973</v>
      </c>
    </row>
    <row r="161" spans="1:6">
      <c r="A161" s="1272"/>
      <c r="C161" s="1275"/>
      <c r="D161" s="1273"/>
      <c r="E161" s="1273"/>
      <c r="F161" s="1273"/>
    </row>
    <row r="162" spans="1:6" ht="30">
      <c r="A162" s="1272"/>
      <c r="B162" s="1271" t="s">
        <v>1637</v>
      </c>
      <c r="C162" s="1275" t="s">
        <v>608</v>
      </c>
      <c r="D162" s="1273">
        <v>1200</v>
      </c>
      <c r="E162" s="1267">
        <v>1221.856027753686</v>
      </c>
      <c r="F162" s="1267">
        <f>E162*$F$1</f>
        <v>1298.8329575021683</v>
      </c>
    </row>
    <row r="163" spans="1:6">
      <c r="A163" s="1272"/>
      <c r="C163" s="1275"/>
      <c r="D163" s="1273"/>
      <c r="E163" s="1273"/>
      <c r="F163" s="1273"/>
    </row>
    <row r="164" spans="1:6">
      <c r="A164" s="1272"/>
      <c r="C164" s="1275"/>
      <c r="D164" s="1273"/>
      <c r="E164" s="1273"/>
      <c r="F164" s="1273"/>
    </row>
    <row r="165" spans="1:6">
      <c r="A165" s="1272"/>
      <c r="B165" s="1271" t="s">
        <v>1638</v>
      </c>
      <c r="C165" s="1275" t="s">
        <v>608</v>
      </c>
      <c r="D165" s="1273">
        <v>3000</v>
      </c>
      <c r="E165" s="1267">
        <v>3054.6400693842152</v>
      </c>
      <c r="F165" s="1267">
        <f>E165*$F$1</f>
        <v>3247.0823937554205</v>
      </c>
    </row>
    <row r="166" spans="1:6">
      <c r="A166" s="1272"/>
      <c r="C166" s="1275"/>
      <c r="D166" s="1273"/>
      <c r="E166" s="1273"/>
      <c r="F166" s="1273"/>
    </row>
    <row r="167" spans="1:6">
      <c r="A167" s="1272"/>
      <c r="B167" s="1271" t="s">
        <v>1639</v>
      </c>
      <c r="C167" s="1275" t="s">
        <v>608</v>
      </c>
      <c r="D167" s="1273">
        <v>2000</v>
      </c>
      <c r="E167" s="1267">
        <v>2036.4267129228101</v>
      </c>
      <c r="F167" s="1267">
        <f>E167*$F$1</f>
        <v>2164.721595836947</v>
      </c>
    </row>
    <row r="168" spans="1:6">
      <c r="A168" s="1272"/>
      <c r="C168" s="1275"/>
      <c r="D168" s="1273"/>
      <c r="E168" s="1273"/>
      <c r="F168" s="1273"/>
    </row>
    <row r="169" spans="1:6">
      <c r="A169" s="1272"/>
      <c r="B169" s="1345" t="s">
        <v>1674</v>
      </c>
      <c r="C169" s="1275"/>
      <c r="D169" s="1273"/>
      <c r="E169" s="1273"/>
      <c r="F169" s="1273"/>
    </row>
    <row r="170" spans="1:6">
      <c r="A170" s="1272"/>
      <c r="C170" s="1275"/>
      <c r="D170" s="1273"/>
      <c r="E170" s="1273"/>
      <c r="F170" s="1273"/>
    </row>
    <row r="171" spans="1:6" ht="30">
      <c r="A171" s="1272"/>
      <c r="B171" s="1271" t="s">
        <v>1640</v>
      </c>
      <c r="C171" s="1275" t="s">
        <v>608</v>
      </c>
      <c r="D171" s="1273">
        <v>750</v>
      </c>
      <c r="E171" s="1267">
        <v>763.66001734605379</v>
      </c>
      <c r="F171" s="1267">
        <f>E171*$F$1</f>
        <v>811.77059843885513</v>
      </c>
    </row>
    <row r="172" spans="1:6">
      <c r="A172" s="1272"/>
      <c r="C172" s="1275"/>
      <c r="D172" s="1273"/>
      <c r="E172" s="1273"/>
      <c r="F172" s="1273"/>
    </row>
    <row r="173" spans="1:6" ht="30">
      <c r="A173" s="1272"/>
      <c r="B173" s="1271" t="s">
        <v>1641</v>
      </c>
      <c r="C173" s="1275" t="s">
        <v>608</v>
      </c>
      <c r="D173" s="1273">
        <v>500</v>
      </c>
      <c r="E173" s="1267">
        <v>509.10667823070253</v>
      </c>
      <c r="F173" s="1267">
        <f>E173*$F$1</f>
        <v>541.18039895923675</v>
      </c>
    </row>
    <row r="174" spans="1:6">
      <c r="A174" s="1272"/>
      <c r="C174" s="1275"/>
      <c r="D174" s="1273"/>
      <c r="E174" s="1273"/>
      <c r="F174" s="1273"/>
    </row>
    <row r="175" spans="1:6" ht="30">
      <c r="A175" s="1272"/>
      <c r="B175" s="1271" t="s">
        <v>1642</v>
      </c>
      <c r="C175" s="1275" t="s">
        <v>608</v>
      </c>
      <c r="D175" s="1273">
        <v>10000</v>
      </c>
      <c r="E175" s="1267">
        <v>10182.133564614051</v>
      </c>
      <c r="F175" s="1267">
        <f>E175*$F$1</f>
        <v>10823.607979184735</v>
      </c>
    </row>
    <row r="176" spans="1:6">
      <c r="A176" s="1272"/>
      <c r="C176" s="1275"/>
      <c r="D176" s="1273"/>
      <c r="E176" s="1273"/>
      <c r="F176" s="1273"/>
    </row>
    <row r="177" spans="1:6" ht="60">
      <c r="A177" s="1272"/>
      <c r="B177" s="1271" t="s">
        <v>1643</v>
      </c>
      <c r="C177" s="1275" t="s">
        <v>608</v>
      </c>
      <c r="D177" s="1273">
        <v>15000</v>
      </c>
      <c r="E177" s="1267">
        <v>15273.200346921076</v>
      </c>
      <c r="F177" s="1267">
        <f>E177*$F$1</f>
        <v>16235.411968777104</v>
      </c>
    </row>
    <row r="178" spans="1:6">
      <c r="A178" s="1272"/>
      <c r="C178" s="1275"/>
      <c r="D178" s="1273"/>
      <c r="E178" s="1273"/>
      <c r="F178" s="1273"/>
    </row>
    <row r="179" spans="1:6" ht="45">
      <c r="A179" s="1272"/>
      <c r="B179" s="1271" t="s">
        <v>1644</v>
      </c>
      <c r="C179" s="1275" t="s">
        <v>608</v>
      </c>
      <c r="D179" s="1273">
        <v>10000</v>
      </c>
      <c r="E179" s="1267">
        <v>10182.133564614051</v>
      </c>
      <c r="F179" s="1267">
        <f>E179*$F$1</f>
        <v>10823.607979184735</v>
      </c>
    </row>
    <row r="180" spans="1:6">
      <c r="A180" s="1272"/>
      <c r="C180" s="1275"/>
      <c r="D180" s="1273"/>
      <c r="E180" s="1273"/>
      <c r="F180" s="1273"/>
    </row>
    <row r="181" spans="1:6" ht="45">
      <c r="A181" s="1272"/>
      <c r="B181" s="1271" t="s">
        <v>1645</v>
      </c>
      <c r="C181" s="1275" t="s">
        <v>608</v>
      </c>
      <c r="D181" s="1273">
        <v>5000</v>
      </c>
      <c r="E181" s="1267">
        <v>5091.0667823070253</v>
      </c>
      <c r="F181" s="1267">
        <f>E181*$F$1</f>
        <v>5411.8039895923675</v>
      </c>
    </row>
    <row r="182" spans="1:6">
      <c r="A182" s="1272"/>
      <c r="C182" s="1275"/>
      <c r="D182" s="1273"/>
      <c r="E182" s="1273"/>
      <c r="F182" s="1273"/>
    </row>
    <row r="183" spans="1:6" ht="30">
      <c r="A183" s="1272"/>
      <c r="B183" s="1271" t="s">
        <v>1646</v>
      </c>
      <c r="C183" s="1275" t="s">
        <v>608</v>
      </c>
      <c r="D183" s="1273">
        <v>5000</v>
      </c>
      <c r="E183" s="1267">
        <v>5091.0667823070253</v>
      </c>
      <c r="F183" s="1267">
        <f>E183*$F$1</f>
        <v>5411.8039895923675</v>
      </c>
    </row>
    <row r="184" spans="1:6">
      <c r="A184" s="1272"/>
      <c r="C184" s="1275"/>
      <c r="D184" s="1273"/>
      <c r="E184" s="1273"/>
      <c r="F184" s="1273"/>
    </row>
    <row r="185" spans="1:6" ht="105">
      <c r="A185" s="1272"/>
      <c r="B185" s="1271" t="s">
        <v>1647</v>
      </c>
      <c r="C185" s="1275" t="s">
        <v>608</v>
      </c>
      <c r="D185" s="1273">
        <v>15000</v>
      </c>
      <c r="E185" s="1267">
        <v>15273.200346921076</v>
      </c>
      <c r="F185" s="1267">
        <f>E185*$F$1</f>
        <v>16235.411968777104</v>
      </c>
    </row>
    <row r="186" spans="1:6">
      <c r="A186" s="1272"/>
      <c r="C186" s="1275"/>
      <c r="D186" s="1273"/>
      <c r="E186" s="1273"/>
      <c r="F186" s="1273"/>
    </row>
    <row r="187" spans="1:6" ht="30">
      <c r="A187" s="1272"/>
      <c r="B187" s="1271" t="s">
        <v>1648</v>
      </c>
      <c r="C187" s="1275" t="s">
        <v>608</v>
      </c>
      <c r="D187" s="1273">
        <v>10000</v>
      </c>
      <c r="E187" s="1267">
        <v>10182.133564614051</v>
      </c>
      <c r="F187" s="1267">
        <f>E187*$F$1</f>
        <v>10823.607979184735</v>
      </c>
    </row>
    <row r="188" spans="1:6">
      <c r="A188" s="1272"/>
      <c r="C188" s="1275"/>
      <c r="D188" s="1273"/>
      <c r="E188" s="1273"/>
      <c r="F188" s="1273"/>
    </row>
    <row r="189" spans="1:6">
      <c r="A189" s="1272"/>
      <c r="B189" s="1271" t="s">
        <v>1649</v>
      </c>
      <c r="C189" s="1275" t="s">
        <v>608</v>
      </c>
      <c r="D189" s="1273">
        <v>16000</v>
      </c>
      <c r="E189" s="1267">
        <v>16291.413703382481</v>
      </c>
      <c r="F189" s="1267">
        <f>E189*$F$1</f>
        <v>17317.772766695576</v>
      </c>
    </row>
    <row r="190" spans="1:6">
      <c r="A190" s="1272"/>
      <c r="C190" s="1275"/>
      <c r="D190" s="1273"/>
      <c r="E190" s="1273"/>
      <c r="F190" s="1273"/>
    </row>
    <row r="191" spans="1:6">
      <c r="A191" s="1272"/>
      <c r="B191" s="1271" t="s">
        <v>1650</v>
      </c>
      <c r="C191" s="1275" t="s">
        <v>608</v>
      </c>
      <c r="D191" s="1273">
        <v>20000</v>
      </c>
      <c r="E191" s="1267">
        <v>20364.267129228101</v>
      </c>
      <c r="F191" s="1267">
        <f>E191*$F$1</f>
        <v>21647.21595836947</v>
      </c>
    </row>
    <row r="192" spans="1:6">
      <c r="A192" s="1272"/>
      <c r="C192" s="1275"/>
      <c r="D192" s="1273"/>
      <c r="E192" s="1273"/>
      <c r="F192" s="1273"/>
    </row>
    <row r="193" spans="1:6">
      <c r="A193" s="1272"/>
      <c r="B193" s="1345" t="s">
        <v>1675</v>
      </c>
      <c r="C193" s="1275"/>
      <c r="D193" s="1273"/>
      <c r="E193" s="1273"/>
      <c r="F193" s="1273"/>
    </row>
    <row r="194" spans="1:6">
      <c r="A194" s="1272"/>
      <c r="C194" s="1275"/>
      <c r="D194" s="1273"/>
      <c r="E194" s="1273"/>
      <c r="F194" s="1273"/>
    </row>
    <row r="195" spans="1:6" ht="30">
      <c r="A195" s="1272"/>
      <c r="B195" s="1271" t="s">
        <v>1676</v>
      </c>
      <c r="C195" s="1275" t="s">
        <v>215</v>
      </c>
      <c r="D195" s="1273">
        <f>72.53+54.78</f>
        <v>127.31</v>
      </c>
      <c r="E195" s="1267">
        <v>129.62874241110148</v>
      </c>
      <c r="F195" s="1267">
        <f>E195*$F$1</f>
        <v>137.79535318300088</v>
      </c>
    </row>
    <row r="196" spans="1:6">
      <c r="A196" s="1272"/>
      <c r="C196" s="1275"/>
      <c r="D196" s="1273"/>
      <c r="E196" s="1273"/>
      <c r="F196" s="1273"/>
    </row>
    <row r="197" spans="1:6" ht="45">
      <c r="A197" s="1272"/>
      <c r="B197" s="1271" t="s">
        <v>1651</v>
      </c>
      <c r="C197" s="1275" t="s">
        <v>608</v>
      </c>
      <c r="D197" s="1273">
        <f>5496.27+406.41+3473.03*6</f>
        <v>26740.86</v>
      </c>
      <c r="E197" s="1267">
        <v>27227.900815264529</v>
      </c>
      <c r="F197" s="1267">
        <f>E197*$F$1</f>
        <v>28943.258566626195</v>
      </c>
    </row>
    <row r="198" spans="1:6">
      <c r="A198" s="1272"/>
      <c r="C198" s="1275"/>
      <c r="D198" s="1273"/>
      <c r="E198" s="1273"/>
      <c r="F198" s="1273"/>
    </row>
    <row r="199" spans="1:6" ht="45">
      <c r="A199" s="1272"/>
      <c r="B199" s="1271" t="s">
        <v>1652</v>
      </c>
      <c r="C199" s="1275" t="s">
        <v>608</v>
      </c>
      <c r="D199" s="1273">
        <f>40281.1+2310</f>
        <v>42591.1</v>
      </c>
      <c r="E199" s="1267">
        <v>43366.826886383351</v>
      </c>
      <c r="F199" s="1267">
        <f>E199*$F$1</f>
        <v>46098.936980225502</v>
      </c>
    </row>
    <row r="200" spans="1:6">
      <c r="A200" s="1272"/>
      <c r="C200" s="1275"/>
      <c r="D200" s="1273"/>
      <c r="E200" s="1273"/>
      <c r="F200" s="1273"/>
    </row>
    <row r="201" spans="1:6" ht="30">
      <c r="A201" s="1272"/>
      <c r="B201" s="1271" t="s">
        <v>1653</v>
      </c>
      <c r="C201" s="1275" t="s">
        <v>608</v>
      </c>
      <c r="D201" s="1273">
        <v>600</v>
      </c>
      <c r="E201" s="1267">
        <v>610.92801387684301</v>
      </c>
      <c r="F201" s="1267">
        <f>E201*$F$1</f>
        <v>649.41647875108413</v>
      </c>
    </row>
    <row r="202" spans="1:6">
      <c r="A202" s="1272"/>
      <c r="C202" s="1275"/>
      <c r="D202" s="1273"/>
      <c r="E202" s="1273"/>
      <c r="F202" s="1273"/>
    </row>
    <row r="203" spans="1:6" ht="30">
      <c r="A203" s="1272"/>
      <c r="B203" s="1271" t="s">
        <v>1654</v>
      </c>
      <c r="C203" s="1275" t="s">
        <v>608</v>
      </c>
      <c r="D203" s="1273">
        <v>4250</v>
      </c>
      <c r="E203" s="1267">
        <v>4327.4067649609715</v>
      </c>
      <c r="F203" s="1267">
        <f>E203*$F$1</f>
        <v>4600.0333911535126</v>
      </c>
    </row>
    <row r="204" spans="1:6">
      <c r="A204" s="1272"/>
      <c r="C204" s="1275"/>
      <c r="D204" s="1273"/>
      <c r="E204" s="1273"/>
      <c r="F204" s="1273"/>
    </row>
    <row r="205" spans="1:6" ht="45">
      <c r="A205" s="1272"/>
      <c r="B205" s="1271" t="s">
        <v>1655</v>
      </c>
      <c r="C205" s="1275" t="s">
        <v>608</v>
      </c>
      <c r="D205" s="1273">
        <f>8900+9085</f>
        <v>17985</v>
      </c>
      <c r="E205" s="1267">
        <v>18312.56721595837</v>
      </c>
      <c r="F205" s="1267">
        <f>E205*$F$1</f>
        <v>19466.258950563748</v>
      </c>
    </row>
    <row r="206" spans="1:6">
      <c r="A206" s="1272"/>
      <c r="C206" s="1275"/>
      <c r="D206" s="1273"/>
      <c r="E206" s="1273"/>
      <c r="F206" s="1273"/>
    </row>
    <row r="207" spans="1:6" ht="30">
      <c r="A207" s="1272"/>
      <c r="B207" s="1271" t="s">
        <v>1656</v>
      </c>
      <c r="C207" s="1275" t="s">
        <v>608</v>
      </c>
      <c r="D207" s="1273">
        <f>1752+325+180+5000</f>
        <v>7257</v>
      </c>
      <c r="E207" s="1267">
        <v>7389.1743278404165</v>
      </c>
      <c r="F207" s="1267">
        <f>E207*$F$1</f>
        <v>7854.6923104943626</v>
      </c>
    </row>
    <row r="208" spans="1:6">
      <c r="A208" s="1272"/>
      <c r="C208" s="1275"/>
      <c r="D208" s="1273"/>
      <c r="E208" s="1273"/>
      <c r="F208" s="1273"/>
    </row>
    <row r="209" spans="1:9">
      <c r="A209" s="1272"/>
      <c r="B209" s="1271" t="s">
        <v>1657</v>
      </c>
      <c r="C209" s="1275" t="s">
        <v>608</v>
      </c>
      <c r="D209" s="1273">
        <v>1368.74</v>
      </c>
      <c r="E209" s="1267">
        <v>1393.6693495229836</v>
      </c>
      <c r="F209" s="1267">
        <f>E209*$F$1</f>
        <v>1481.4705185429314</v>
      </c>
    </row>
    <row r="210" spans="1:9">
      <c r="A210" s="1272"/>
      <c r="C210" s="1275"/>
      <c r="D210" s="1273"/>
      <c r="E210" s="1273"/>
      <c r="F210" s="1273"/>
    </row>
    <row r="211" spans="1:9">
      <c r="A211" s="1272"/>
      <c r="B211" s="1271" t="s">
        <v>1658</v>
      </c>
      <c r="C211" s="1275" t="s">
        <v>608</v>
      </c>
      <c r="D211" s="1273">
        <v>6137.1</v>
      </c>
      <c r="E211" s="1267">
        <v>6248.8771899392896</v>
      </c>
      <c r="F211" s="1267">
        <f>E211*$F$1</f>
        <v>6642.5564529054645</v>
      </c>
    </row>
    <row r="212" spans="1:9">
      <c r="A212" s="1272"/>
      <c r="C212" s="1275"/>
      <c r="D212" s="1273"/>
      <c r="E212" s="1273"/>
      <c r="F212" s="1273"/>
    </row>
    <row r="213" spans="1:9">
      <c r="A213" s="1272"/>
      <c r="B213" s="1271" t="s">
        <v>1659</v>
      </c>
      <c r="C213" s="1275" t="s">
        <v>608</v>
      </c>
      <c r="D213" s="1273">
        <v>72.510000000000005</v>
      </c>
      <c r="E213" s="1267">
        <v>73.830650477016491</v>
      </c>
      <c r="F213" s="1267">
        <f>E213*$F$1</f>
        <v>78.481981457068528</v>
      </c>
    </row>
    <row r="214" spans="1:9">
      <c r="A214" s="1272"/>
      <c r="C214" s="1275"/>
      <c r="D214" s="1273"/>
      <c r="E214" s="1273"/>
      <c r="F214" s="1273"/>
    </row>
    <row r="215" spans="1:9">
      <c r="A215" s="1272"/>
      <c r="B215" s="1271" t="s">
        <v>1660</v>
      </c>
      <c r="C215" s="1275" t="s">
        <v>215</v>
      </c>
      <c r="D215" s="1273">
        <v>25</v>
      </c>
      <c r="E215" s="1267">
        <v>25.455333911535128</v>
      </c>
      <c r="F215" s="1267">
        <f>E215*$F$1</f>
        <v>27.05901994796184</v>
      </c>
    </row>
    <row r="216" spans="1:9">
      <c r="A216" s="1272"/>
      <c r="C216" s="1275"/>
      <c r="D216" s="1273"/>
      <c r="E216" s="1273"/>
      <c r="F216" s="1273"/>
    </row>
    <row r="217" spans="1:9" ht="45">
      <c r="A217" s="1272"/>
      <c r="B217" s="1271" t="s">
        <v>1661</v>
      </c>
      <c r="C217" s="1275" t="s">
        <v>608</v>
      </c>
      <c r="D217" s="1273">
        <v>2000</v>
      </c>
      <c r="E217" s="1267">
        <v>2036.4267129228101</v>
      </c>
      <c r="F217" s="1267">
        <f>E217*$F$1</f>
        <v>2164.721595836947</v>
      </c>
    </row>
    <row r="218" spans="1:9">
      <c r="A218" s="1272"/>
      <c r="C218" s="1275"/>
      <c r="D218" s="1273"/>
      <c r="E218" s="1273"/>
      <c r="F218" s="1273"/>
    </row>
    <row r="219" spans="1:9">
      <c r="I219" s="1268"/>
    </row>
  </sheetData>
  <sheetProtection algorithmName="SHA-512" hashValue="Q8gzgbkieVR8W9Avd7TAIjdtas2PWnby1PuWmn5WAztkPIuSKMk8t66EUmSsTk1qfKaRs9lGg6nrvFE/qchsJg==" saltValue="Not4kEO8t26HLMDFj7r8UA==" spinCount="100000" sheet="1" objects="1" scenarios="1"/>
  <autoFilter ref="A3:F218" xr:uid="{C47CC014-27D8-4000-B9C7-6C26C180121F}"/>
  <printOptions horizontalCentered="1" verticalCentered="1"/>
  <pageMargins left="0.70866141732283472" right="0.70866141732283472" top="0.74803149606299213" bottom="0.74803149606299213" header="0.31496062992125984" footer="0.31496062992125984"/>
  <pageSetup scale="10" orientation="portrait" r:id="rId1"/>
  <headerFooter>
    <oddHeader>&amp;C&amp;"Calibri"&amp;10&amp;K000000Confidential&amp;1#</oddHeader>
    <oddFooter>&amp;R&amp;1#&amp;"Calibri"&amp;10&amp;K000000Confidential</oddFooter>
  </headerFooter>
  <rowBreaks count="1" manualBreakCount="1">
    <brk id="58" max="5"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dimension ref="A1:L52"/>
  <sheetViews>
    <sheetView topLeftCell="A10" zoomScale="84" zoomScaleNormal="84" workbookViewId="0">
      <selection activeCell="L110" sqref="L110"/>
    </sheetView>
  </sheetViews>
  <sheetFormatPr defaultColWidth="9.140625" defaultRowHeight="15" outlineLevelRow="1"/>
  <cols>
    <col min="1" max="1" width="10.5703125" customWidth="1"/>
    <col min="2" max="2" width="11.5703125" customWidth="1"/>
    <col min="3" max="3" width="13.42578125" customWidth="1"/>
    <col min="4" max="4" width="13.7109375" customWidth="1"/>
    <col min="5" max="5" width="32.5703125" customWidth="1"/>
    <col min="7" max="7" width="25.85546875" customWidth="1"/>
    <col min="8" max="8" width="17.42578125" customWidth="1"/>
    <col min="10" max="10" width="12.140625" customWidth="1"/>
    <col min="11" max="11" width="10.140625" bestFit="1" customWidth="1"/>
  </cols>
  <sheetData>
    <row r="1" spans="1:12">
      <c r="A1" s="1"/>
      <c r="B1" s="1"/>
      <c r="C1" s="1"/>
      <c r="D1" s="1"/>
      <c r="E1" s="1"/>
      <c r="F1" s="1"/>
      <c r="G1" s="1"/>
      <c r="H1" s="1"/>
      <c r="I1" s="1"/>
      <c r="J1" s="1"/>
      <c r="K1" s="1"/>
      <c r="L1" s="1"/>
    </row>
    <row r="2" spans="1:12">
      <c r="A2" s="1"/>
      <c r="B2" s="1"/>
      <c r="C2" s="1"/>
      <c r="D2" s="1"/>
      <c r="E2" s="1"/>
      <c r="F2" s="1"/>
      <c r="G2" s="1"/>
      <c r="H2" s="1"/>
      <c r="I2" s="1"/>
      <c r="J2" s="1"/>
      <c r="K2" s="1"/>
      <c r="L2" s="1"/>
    </row>
    <row r="3" spans="1:12">
      <c r="A3" s="1"/>
      <c r="B3" s="1"/>
      <c r="C3" s="1"/>
      <c r="D3" s="1"/>
      <c r="E3" s="1"/>
      <c r="F3" s="1"/>
      <c r="G3" s="1"/>
      <c r="H3" s="1"/>
      <c r="I3" s="1"/>
      <c r="J3" s="1"/>
      <c r="K3" s="1"/>
      <c r="L3" s="1"/>
    </row>
    <row r="4" spans="1:12">
      <c r="A4" s="1"/>
      <c r="B4" s="1"/>
      <c r="C4" s="1"/>
      <c r="D4" s="1"/>
      <c r="E4" s="1"/>
      <c r="F4" s="1"/>
      <c r="G4" s="1"/>
      <c r="H4" s="1"/>
      <c r="I4" s="1"/>
      <c r="J4" s="1"/>
      <c r="K4" s="1"/>
      <c r="L4" s="1"/>
    </row>
    <row r="5" spans="1:12">
      <c r="A5" s="1"/>
      <c r="B5" s="1"/>
      <c r="C5" s="1"/>
      <c r="D5" s="1"/>
      <c r="E5" s="1"/>
      <c r="F5" s="1"/>
      <c r="G5" s="1"/>
      <c r="H5" s="1"/>
      <c r="I5" s="1"/>
      <c r="J5" s="1"/>
      <c r="K5" s="1"/>
      <c r="L5" s="1"/>
    </row>
    <row r="6" spans="1:12">
      <c r="A6" s="1"/>
      <c r="B6" s="1"/>
      <c r="C6" s="1"/>
      <c r="D6" s="1"/>
      <c r="E6" s="1"/>
      <c r="F6" s="1"/>
      <c r="G6" s="1"/>
      <c r="H6" s="1"/>
      <c r="I6" s="1"/>
      <c r="J6" s="1"/>
      <c r="K6" s="1"/>
      <c r="L6" s="1"/>
    </row>
    <row r="7" spans="1:12">
      <c r="A7" s="1"/>
      <c r="B7" s="1"/>
      <c r="C7" s="1"/>
      <c r="D7" s="1"/>
      <c r="E7" s="1"/>
      <c r="F7" s="1"/>
      <c r="G7" s="1"/>
      <c r="H7" s="1"/>
      <c r="I7" s="1"/>
      <c r="J7" s="1"/>
      <c r="K7" s="1"/>
      <c r="L7" s="1"/>
    </row>
    <row r="8" spans="1:12">
      <c r="A8" s="1"/>
      <c r="B8" s="1"/>
      <c r="C8" s="1"/>
      <c r="D8" s="1"/>
      <c r="E8" s="1"/>
      <c r="F8" s="1"/>
      <c r="G8" s="1"/>
      <c r="H8" s="1"/>
      <c r="I8" s="1"/>
      <c r="J8" s="1"/>
      <c r="K8" s="1"/>
      <c r="L8" s="1"/>
    </row>
    <row r="9" spans="1:12">
      <c r="A9" s="1"/>
      <c r="B9" s="1"/>
      <c r="C9" s="1"/>
      <c r="D9" s="1"/>
      <c r="E9" s="1"/>
      <c r="F9" s="1"/>
      <c r="G9" s="1"/>
      <c r="H9" s="1"/>
      <c r="I9" s="1"/>
      <c r="J9" s="1"/>
      <c r="K9" s="1"/>
      <c r="L9" s="1"/>
    </row>
    <row r="10" spans="1:12">
      <c r="A10" s="1"/>
      <c r="B10" s="1"/>
      <c r="C10" s="1"/>
      <c r="D10" s="1"/>
      <c r="E10" s="1"/>
      <c r="F10" s="1"/>
      <c r="G10" s="1"/>
      <c r="H10" s="1"/>
      <c r="I10" s="1"/>
      <c r="J10" s="1"/>
      <c r="K10" s="1"/>
      <c r="L10" s="1"/>
    </row>
    <row r="11" spans="1:12">
      <c r="A11" s="1"/>
      <c r="B11" s="1"/>
      <c r="C11" s="1"/>
      <c r="D11" s="1"/>
      <c r="E11" s="1"/>
      <c r="F11" s="1"/>
      <c r="G11" s="1"/>
      <c r="H11" s="1"/>
      <c r="I11" s="1"/>
      <c r="J11" s="1"/>
      <c r="K11" s="1"/>
      <c r="L11" s="1"/>
    </row>
    <row r="12" spans="1:12">
      <c r="A12" s="8"/>
      <c r="B12" s="9"/>
      <c r="C12" s="9"/>
      <c r="D12" s="2"/>
      <c r="E12" s="2"/>
      <c r="F12" s="2"/>
      <c r="G12" s="2"/>
      <c r="H12" s="2"/>
      <c r="I12" s="2"/>
      <c r="J12" s="2"/>
      <c r="K12" s="1"/>
      <c r="L12" s="1"/>
    </row>
    <row r="13" spans="1:12" ht="21">
      <c r="A13" s="2"/>
      <c r="B13" s="31" t="s">
        <v>347</v>
      </c>
      <c r="C13" s="24"/>
      <c r="D13" s="24"/>
      <c r="E13" s="24"/>
      <c r="F13" s="24"/>
      <c r="G13" s="24"/>
      <c r="H13" s="24"/>
      <c r="I13" s="24"/>
      <c r="J13" s="32"/>
      <c r="K13" s="10"/>
      <c r="L13" s="2"/>
    </row>
    <row r="14" spans="1:12">
      <c r="A14" s="2"/>
      <c r="B14" s="48"/>
      <c r="C14" s="16"/>
      <c r="D14" s="16"/>
      <c r="E14" s="16"/>
      <c r="F14" s="16"/>
      <c r="G14" s="16"/>
      <c r="H14" s="16"/>
      <c r="I14" s="16"/>
      <c r="J14" s="17"/>
      <c r="K14" s="10"/>
      <c r="L14" s="2"/>
    </row>
    <row r="15" spans="1:12">
      <c r="A15" s="2"/>
      <c r="B15" s="48" t="s">
        <v>348</v>
      </c>
      <c r="C15" s="16"/>
      <c r="D15" s="16"/>
      <c r="E15" s="16"/>
      <c r="F15" s="16"/>
      <c r="G15" s="16"/>
      <c r="H15" s="16"/>
      <c r="I15" s="16"/>
      <c r="J15" s="17"/>
      <c r="K15" s="10"/>
      <c r="L15" s="2"/>
    </row>
    <row r="16" spans="1:12" ht="15" customHeight="1">
      <c r="A16" s="2"/>
      <c r="B16" s="48"/>
      <c r="C16" s="16"/>
      <c r="D16" s="16"/>
      <c r="E16" s="16"/>
      <c r="F16" s="16"/>
      <c r="G16" s="16"/>
      <c r="H16" s="16"/>
      <c r="I16" s="16"/>
      <c r="J16" s="17"/>
      <c r="K16" s="10"/>
      <c r="L16" s="2"/>
    </row>
    <row r="17" spans="1:12" ht="15" customHeight="1">
      <c r="A17" s="2"/>
      <c r="B17" s="15"/>
      <c r="C17" s="16"/>
      <c r="D17" s="16"/>
      <c r="E17" s="16"/>
      <c r="F17" s="16"/>
      <c r="G17" s="1649" t="s">
        <v>349</v>
      </c>
      <c r="H17" s="1650"/>
      <c r="I17" s="49"/>
      <c r="J17" s="50"/>
      <c r="K17" s="10"/>
      <c r="L17" s="2"/>
    </row>
    <row r="18" spans="1:12">
      <c r="A18" s="2"/>
      <c r="B18" s="51"/>
      <c r="C18" s="16"/>
      <c r="D18" s="16"/>
      <c r="E18" s="16"/>
      <c r="F18" s="16"/>
      <c r="G18" s="1651" t="s">
        <v>350</v>
      </c>
      <c r="H18" s="1652"/>
      <c r="I18" s="48"/>
      <c r="J18" s="52"/>
      <c r="K18" s="10"/>
      <c r="L18" s="2"/>
    </row>
    <row r="19" spans="1:12">
      <c r="A19" s="2"/>
      <c r="B19" s="15"/>
      <c r="C19" s="16"/>
      <c r="D19" s="16"/>
      <c r="E19" s="16"/>
      <c r="F19" s="16"/>
      <c r="G19" s="16"/>
      <c r="H19" s="16"/>
      <c r="I19" s="16"/>
      <c r="J19" s="17"/>
      <c r="K19" s="10"/>
      <c r="L19" s="2"/>
    </row>
    <row r="20" spans="1:12">
      <c r="A20" s="2"/>
      <c r="B20" s="60" t="s">
        <v>351</v>
      </c>
      <c r="C20" s="61"/>
      <c r="D20" s="16"/>
      <c r="E20" s="16"/>
      <c r="F20" s="16"/>
      <c r="G20" s="16"/>
      <c r="H20" s="16"/>
      <c r="I20" s="16"/>
      <c r="J20" s="17"/>
      <c r="K20" s="10"/>
      <c r="L20" s="2"/>
    </row>
    <row r="21" spans="1:12" ht="13.5" customHeight="1">
      <c r="A21" s="2"/>
      <c r="B21" s="15"/>
      <c r="C21" s="16"/>
      <c r="D21" s="16"/>
      <c r="E21" s="53" t="s">
        <v>352</v>
      </c>
      <c r="F21" s="16"/>
      <c r="G21" s="54" t="s">
        <v>353</v>
      </c>
      <c r="H21" s="54" t="s">
        <v>354</v>
      </c>
      <c r="I21" s="15"/>
      <c r="J21" s="17"/>
      <c r="K21" s="10"/>
      <c r="L21" s="2"/>
    </row>
    <row r="22" spans="1:12" ht="13.5" customHeight="1">
      <c r="A22" s="2"/>
      <c r="B22" s="1653" t="s">
        <v>355</v>
      </c>
      <c r="C22" s="1654"/>
      <c r="D22" s="1654"/>
      <c r="E22" s="16"/>
      <c r="F22" s="16"/>
      <c r="G22" s="55">
        <f>'Estimate Example'!D38</f>
        <v>42400</v>
      </c>
      <c r="H22" s="55">
        <f>'Estimate Example'!G38</f>
        <v>42400</v>
      </c>
      <c r="I22" s="16"/>
      <c r="J22" s="17"/>
      <c r="K22" s="10"/>
      <c r="L22" s="2"/>
    </row>
    <row r="23" spans="1:12" ht="13.5" customHeight="1">
      <c r="A23" s="2"/>
      <c r="B23" s="1653"/>
      <c r="C23" s="1654"/>
      <c r="D23" s="1654"/>
      <c r="E23" s="16"/>
      <c r="F23" s="16"/>
      <c r="G23" s="16"/>
      <c r="H23" s="16"/>
      <c r="I23" s="16"/>
      <c r="J23" s="17"/>
      <c r="K23" s="10"/>
      <c r="L23" s="2"/>
    </row>
    <row r="24" spans="1:12" ht="41.45" customHeight="1">
      <c r="A24" s="2"/>
      <c r="B24" s="1653"/>
      <c r="C24" s="1654"/>
      <c r="D24" s="1654"/>
      <c r="E24" s="53" t="s">
        <v>356</v>
      </c>
      <c r="F24" s="56"/>
      <c r="G24" s="54" t="s">
        <v>353</v>
      </c>
      <c r="H24" s="54" t="s">
        <v>354</v>
      </c>
      <c r="I24" s="15"/>
      <c r="J24" s="17"/>
      <c r="K24" s="10"/>
      <c r="L24" s="2"/>
    </row>
    <row r="25" spans="1:12" ht="13.5" customHeight="1">
      <c r="A25" s="2"/>
      <c r="B25" s="48"/>
      <c r="C25" s="16"/>
      <c r="D25" s="16"/>
      <c r="E25" s="16"/>
      <c r="F25" s="16"/>
      <c r="G25" s="55">
        <f>'Estimate Example'!D41</f>
        <v>42401</v>
      </c>
      <c r="H25" s="55">
        <f>'Estimate Example'!G42</f>
        <v>45657</v>
      </c>
      <c r="I25" s="57"/>
      <c r="J25" s="17"/>
      <c r="K25" s="2"/>
      <c r="L25" s="2"/>
    </row>
    <row r="26" spans="1:12">
      <c r="A26" s="8"/>
      <c r="B26" s="48"/>
      <c r="C26" s="16"/>
      <c r="D26" s="16"/>
      <c r="E26" s="16"/>
      <c r="F26" s="16"/>
      <c r="G26" s="16"/>
      <c r="H26" s="16"/>
      <c r="I26" s="16"/>
      <c r="J26" s="17"/>
      <c r="K26" s="2"/>
      <c r="L26" s="2"/>
    </row>
    <row r="27" spans="1:12">
      <c r="A27" s="8"/>
      <c r="B27" s="60" t="s">
        <v>357</v>
      </c>
      <c r="C27" s="61"/>
      <c r="D27" s="61"/>
      <c r="E27" s="58"/>
      <c r="F27" s="16"/>
      <c r="G27" s="59">
        <f>'Estimate Example'!I87</f>
        <v>5546574</v>
      </c>
      <c r="H27" s="16"/>
      <c r="I27" s="16"/>
      <c r="J27" s="17"/>
      <c r="K27" s="1"/>
      <c r="L27" s="1"/>
    </row>
    <row r="28" spans="1:12">
      <c r="A28" s="8"/>
      <c r="B28" s="15"/>
      <c r="C28" s="16"/>
      <c r="D28" s="16"/>
      <c r="E28" s="16"/>
      <c r="F28" s="16"/>
      <c r="G28" s="16"/>
      <c r="H28" s="16"/>
      <c r="I28" s="16"/>
      <c r="J28" s="17"/>
      <c r="K28" s="1"/>
      <c r="L28" s="1"/>
    </row>
    <row r="29" spans="1:12">
      <c r="A29" s="8"/>
      <c r="B29" s="15"/>
      <c r="C29" s="16"/>
      <c r="D29" s="16"/>
      <c r="E29" s="16"/>
      <c r="F29" s="16"/>
      <c r="G29" s="16"/>
      <c r="H29" s="16"/>
      <c r="I29" s="16"/>
      <c r="J29" s="17"/>
      <c r="K29" s="1"/>
      <c r="L29" s="1"/>
    </row>
    <row r="30" spans="1:12">
      <c r="A30" s="2"/>
      <c r="B30" s="15"/>
      <c r="C30" s="16"/>
      <c r="D30" s="16"/>
      <c r="E30" s="16"/>
      <c r="F30" s="16"/>
      <c r="G30" s="16"/>
      <c r="H30" s="16"/>
      <c r="I30" s="16"/>
      <c r="J30" s="17"/>
      <c r="K30" s="1"/>
      <c r="L30" s="2"/>
    </row>
    <row r="31" spans="1:12">
      <c r="A31" s="1"/>
      <c r="B31" s="48" t="s">
        <v>358</v>
      </c>
      <c r="C31" s="16"/>
      <c r="D31" s="16"/>
      <c r="E31" s="16"/>
      <c r="F31" s="16"/>
      <c r="G31" s="16"/>
      <c r="H31" s="16"/>
      <c r="I31" s="16"/>
      <c r="J31" s="17"/>
      <c r="K31" s="1"/>
      <c r="L31" s="1"/>
    </row>
    <row r="32" spans="1:12">
      <c r="A32" s="8"/>
      <c r="B32" s="33"/>
      <c r="C32" s="34"/>
      <c r="D32" s="34"/>
      <c r="E32" s="34"/>
      <c r="F32" s="34"/>
      <c r="G32" s="34"/>
      <c r="H32" s="34"/>
      <c r="I32" s="34"/>
      <c r="J32" s="35"/>
      <c r="K32" s="8"/>
      <c r="L32" s="8"/>
    </row>
    <row r="33" spans="1:12">
      <c r="A33" s="8"/>
      <c r="B33" s="36"/>
      <c r="C33" s="37"/>
      <c r="D33" s="37"/>
      <c r="E33" s="37"/>
      <c r="F33" s="37"/>
      <c r="G33" s="37"/>
      <c r="H33" s="37"/>
      <c r="I33" s="37"/>
      <c r="J33" s="38"/>
      <c r="K33" s="8"/>
      <c r="L33" s="8"/>
    </row>
    <row r="34" spans="1:12">
      <c r="A34" s="8"/>
      <c r="B34" s="36"/>
      <c r="C34" s="37"/>
      <c r="D34" s="37"/>
      <c r="E34" s="37"/>
      <c r="F34" s="37"/>
      <c r="G34" s="37"/>
      <c r="H34" s="37"/>
      <c r="I34" s="37"/>
      <c r="J34" s="38"/>
      <c r="K34" s="8"/>
      <c r="L34" s="8"/>
    </row>
    <row r="35" spans="1:12">
      <c r="A35" s="2"/>
      <c r="B35" s="39"/>
      <c r="C35" s="40"/>
      <c r="D35" s="40"/>
      <c r="E35" s="40"/>
      <c r="F35" s="40"/>
      <c r="G35" s="40"/>
      <c r="H35" s="40"/>
      <c r="I35" s="40"/>
      <c r="J35" s="41"/>
      <c r="K35" s="2"/>
      <c r="L35" s="2"/>
    </row>
    <row r="36" spans="1:12">
      <c r="A36" s="1"/>
      <c r="B36" s="42"/>
      <c r="C36" s="43"/>
      <c r="D36" s="43"/>
      <c r="E36" s="43"/>
      <c r="F36" s="43"/>
      <c r="G36" s="43"/>
      <c r="H36" s="43"/>
      <c r="I36" s="43"/>
      <c r="J36" s="44"/>
      <c r="K36" s="1"/>
      <c r="L36" s="1"/>
    </row>
    <row r="37" spans="1:12">
      <c r="A37" s="8"/>
      <c r="B37" s="36"/>
      <c r="C37" s="37"/>
      <c r="D37" s="37"/>
      <c r="E37" s="37"/>
      <c r="F37" s="37"/>
      <c r="G37" s="37"/>
      <c r="H37" s="37"/>
      <c r="I37" s="37"/>
      <c r="J37" s="38"/>
      <c r="K37" s="8"/>
      <c r="L37" s="8"/>
    </row>
    <row r="38" spans="1:12">
      <c r="A38" s="8"/>
      <c r="B38" s="36"/>
      <c r="C38" s="37"/>
      <c r="D38" s="37"/>
      <c r="E38" s="37"/>
      <c r="F38" s="37"/>
      <c r="G38" s="37"/>
      <c r="H38" s="37"/>
      <c r="I38" s="37"/>
      <c r="J38" s="38"/>
      <c r="K38" s="8"/>
      <c r="L38" s="8"/>
    </row>
    <row r="39" spans="1:12">
      <c r="A39" s="8"/>
      <c r="B39" s="45"/>
      <c r="C39" s="46"/>
      <c r="D39" s="46"/>
      <c r="E39" s="46"/>
      <c r="F39" s="46"/>
      <c r="G39" s="46"/>
      <c r="H39" s="46"/>
      <c r="I39" s="46"/>
      <c r="J39" s="47"/>
      <c r="K39" s="8"/>
      <c r="L39" s="8"/>
    </row>
    <row r="40" spans="1:12">
      <c r="A40" s="2"/>
      <c r="B40" s="2"/>
      <c r="C40" s="2"/>
      <c r="D40" s="2"/>
      <c r="E40" s="2"/>
      <c r="F40" s="2"/>
      <c r="G40" s="2"/>
      <c r="H40" s="2"/>
      <c r="I40" s="2"/>
      <c r="J40" s="2"/>
      <c r="K40" s="2"/>
      <c r="L40" s="2"/>
    </row>
    <row r="41" spans="1:12">
      <c r="A41" s="1"/>
      <c r="B41" s="1"/>
      <c r="C41" s="1"/>
      <c r="D41" s="1"/>
      <c r="E41" s="1"/>
      <c r="F41" s="1"/>
      <c r="G41" s="1"/>
      <c r="H41" s="1"/>
      <c r="I41" s="1"/>
      <c r="J41" s="1"/>
      <c r="K41" s="2" t="s">
        <v>28</v>
      </c>
      <c r="L41" s="1"/>
    </row>
    <row r="42" spans="1:12">
      <c r="A42" s="8"/>
      <c r="B42" s="8"/>
      <c r="C42" s="8"/>
      <c r="D42" s="8"/>
      <c r="E42" s="8"/>
      <c r="F42" s="8"/>
      <c r="G42" s="8"/>
      <c r="H42" s="8"/>
      <c r="I42" s="8"/>
      <c r="J42" s="8"/>
      <c r="K42" s="109" t="s">
        <v>64</v>
      </c>
      <c r="L42" s="8"/>
    </row>
    <row r="47" spans="1:12" hidden="1" outlineLevel="1">
      <c r="A47" t="s">
        <v>350</v>
      </c>
    </row>
    <row r="48" spans="1:12" hidden="1" outlineLevel="1">
      <c r="A48" t="s">
        <v>359</v>
      </c>
    </row>
    <row r="49" spans="1:1" hidden="1" outlineLevel="1">
      <c r="A49" t="s">
        <v>360</v>
      </c>
    </row>
    <row r="50" spans="1:1" hidden="1" outlineLevel="1">
      <c r="A50" t="s">
        <v>361</v>
      </c>
    </row>
    <row r="51" spans="1:1" hidden="1" outlineLevel="1"/>
    <row r="52" spans="1:1" collapsed="1"/>
  </sheetData>
  <sheetProtection algorithmName="SHA-512" hashValue="61L/xO9sAJ/XPgcUTsQhEPiirhWTiFNielHtPHbxv6XTzeLqHwN4XuPwT8dgLjQ/9i39OjTUQQOY5Q0zrTQ8bA==" saltValue="qesTWA62lHh2FR/H4gK5kA==" spinCount="100000" sheet="1" objects="1" scenarios="1"/>
  <mergeCells count="3">
    <mergeCell ref="G17:H17"/>
    <mergeCell ref="G18:H18"/>
    <mergeCell ref="B22:D24"/>
  </mergeCells>
  <hyperlinks>
    <hyperlink ref="K42" display="Back to Contents" xr:uid="{00000000-0004-0000-1000-000000000000}"/>
  </hyperlinks>
  <pageMargins left="0.7" right="0.7" top="0.75" bottom="0.75" header="0.3" footer="0.3"/>
  <pageSetup paperSize="8" orientation="landscape" r:id="rId1"/>
  <headerFooter>
    <oddHeader>&amp;C&amp;"Calibri"&amp;10&amp;K000000Confidential&amp;1#</oddHeader>
    <oddFooter>&amp;R&amp;1#&amp;"Calibri"&amp;10&amp;K000000Confidential</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7"/>
  <dimension ref="A1"/>
  <sheetViews>
    <sheetView workbookViewId="0">
      <selection activeCell="H17" sqref="H17"/>
    </sheetView>
  </sheetViews>
  <sheetFormatPr defaultRowHeight="15"/>
  <sheetData/>
  <pageMargins left="0.7" right="0.7" top="0.75" bottom="0.75" header="0.3" footer="0.3"/>
  <pageSetup paperSize="9" orientation="portrait" r:id="rId1"/>
  <headerFooter>
    <oddHeader>&amp;C&amp;"Calibri"&amp;10&amp;K000000Confidential&amp;1#</oddHeader>
    <oddFooter>&amp;R&amp;1#&amp;"Calibri"&amp;10&amp;K000000Confidential</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9">
    <tabColor rgb="FFFF0000"/>
  </sheetPr>
  <dimension ref="A1:L50"/>
  <sheetViews>
    <sheetView topLeftCell="A22" workbookViewId="0">
      <selection activeCell="F37" sqref="F37"/>
    </sheetView>
  </sheetViews>
  <sheetFormatPr defaultRowHeight="15"/>
  <cols>
    <col min="1" max="1" width="16.85546875" customWidth="1"/>
    <col min="2" max="2" width="33.28515625" customWidth="1"/>
    <col min="3" max="3" width="22.5703125" customWidth="1"/>
    <col min="4" max="4" width="18.85546875" customWidth="1"/>
    <col min="5" max="5" width="13.7109375" customWidth="1"/>
    <col min="6" max="6" width="11.28515625" bestFit="1" customWidth="1"/>
    <col min="10" max="10" width="20.7109375" customWidth="1"/>
  </cols>
  <sheetData>
    <row r="1" spans="1:12">
      <c r="A1" s="1"/>
      <c r="B1" s="1"/>
      <c r="C1" s="1"/>
      <c r="D1" s="1"/>
      <c r="E1" s="1"/>
      <c r="F1" s="1"/>
      <c r="G1" s="1"/>
      <c r="H1" s="1"/>
      <c r="I1" s="1"/>
      <c r="J1" s="1"/>
      <c r="K1" s="1"/>
      <c r="L1" s="1"/>
    </row>
    <row r="2" spans="1:12">
      <c r="A2" s="1"/>
      <c r="B2" s="1"/>
      <c r="C2" s="1"/>
      <c r="D2" s="1"/>
      <c r="E2" s="1"/>
      <c r="F2" s="1"/>
      <c r="G2" s="1"/>
      <c r="H2" s="1"/>
      <c r="I2" s="1"/>
      <c r="J2" s="1"/>
      <c r="K2" s="1"/>
      <c r="L2" s="1"/>
    </row>
    <row r="3" spans="1:12">
      <c r="A3" s="1"/>
      <c r="B3" s="1"/>
      <c r="C3" s="1"/>
      <c r="D3" s="1"/>
      <c r="E3" s="1"/>
      <c r="F3" s="1"/>
      <c r="G3" s="1"/>
      <c r="H3" s="1"/>
      <c r="I3" s="1"/>
      <c r="J3" s="1"/>
      <c r="K3" s="1"/>
      <c r="L3" s="1"/>
    </row>
    <row r="4" spans="1:12">
      <c r="A4" s="1"/>
      <c r="B4" s="1"/>
      <c r="C4" s="1"/>
      <c r="D4" s="1"/>
      <c r="E4" s="1"/>
      <c r="F4" s="1"/>
      <c r="G4" s="1"/>
      <c r="H4" s="1"/>
      <c r="I4" s="1"/>
      <c r="J4" s="1"/>
      <c r="K4" s="1"/>
      <c r="L4" s="1"/>
    </row>
    <row r="5" spans="1:12">
      <c r="A5" s="1"/>
      <c r="B5" s="1"/>
      <c r="C5" s="1"/>
      <c r="D5" s="1"/>
      <c r="E5" s="1"/>
      <c r="F5" s="1"/>
      <c r="G5" s="1"/>
      <c r="H5" s="1"/>
      <c r="I5" s="1"/>
      <c r="J5" s="1"/>
      <c r="K5" s="1"/>
      <c r="L5" s="1"/>
    </row>
    <row r="6" spans="1:12">
      <c r="A6" s="1"/>
      <c r="B6" s="1"/>
      <c r="C6" s="1"/>
      <c r="D6" s="1"/>
      <c r="E6" s="1"/>
      <c r="F6" s="1"/>
      <c r="G6" s="1"/>
      <c r="H6" s="1"/>
      <c r="I6" s="1"/>
      <c r="J6" s="1"/>
      <c r="K6" s="1"/>
      <c r="L6" s="1"/>
    </row>
    <row r="7" spans="1:12">
      <c r="A7" s="1"/>
      <c r="B7" s="1"/>
      <c r="C7" s="1"/>
      <c r="D7" s="1"/>
      <c r="E7" s="1"/>
      <c r="F7" s="1"/>
      <c r="G7" s="1"/>
      <c r="H7" s="1"/>
      <c r="I7" s="1"/>
      <c r="J7" s="1"/>
      <c r="K7" s="1"/>
      <c r="L7" s="1"/>
    </row>
    <row r="8" spans="1:12">
      <c r="A8" s="1"/>
      <c r="B8" s="1"/>
      <c r="C8" s="1"/>
      <c r="D8" s="1"/>
      <c r="E8" s="1"/>
      <c r="F8" s="1"/>
      <c r="G8" s="1"/>
      <c r="H8" s="1"/>
      <c r="I8" s="1"/>
      <c r="J8" s="1"/>
      <c r="K8" s="1"/>
      <c r="L8" s="1"/>
    </row>
    <row r="9" spans="1:12">
      <c r="A9" s="1"/>
      <c r="B9" s="1"/>
      <c r="C9" s="1"/>
      <c r="D9" s="1"/>
      <c r="E9" s="1"/>
      <c r="F9" s="1"/>
      <c r="G9" s="1"/>
      <c r="H9" s="1"/>
      <c r="I9" s="1"/>
      <c r="J9" s="1"/>
      <c r="K9" s="1"/>
      <c r="L9" s="1"/>
    </row>
    <row r="10" spans="1:12">
      <c r="A10" s="1"/>
      <c r="B10" s="1"/>
      <c r="C10" s="1"/>
      <c r="D10" s="1"/>
      <c r="E10" s="1"/>
      <c r="F10" s="1"/>
      <c r="G10" s="1"/>
      <c r="H10" s="1"/>
      <c r="I10" s="1"/>
      <c r="J10" s="1"/>
      <c r="K10" s="1"/>
      <c r="L10" s="1"/>
    </row>
    <row r="11" spans="1:12">
      <c r="A11" s="1"/>
      <c r="B11" s="1"/>
      <c r="C11" s="1"/>
      <c r="D11" s="1"/>
      <c r="E11" s="1"/>
      <c r="F11" s="1"/>
      <c r="G11" s="1"/>
      <c r="H11" s="1"/>
      <c r="I11" s="1"/>
      <c r="J11" s="1"/>
      <c r="K11" s="1"/>
      <c r="L11" s="1"/>
    </row>
    <row r="12" spans="1:12">
      <c r="A12" s="8"/>
      <c r="B12" s="9"/>
      <c r="C12" s="9"/>
      <c r="D12" s="2"/>
      <c r="E12" s="2"/>
      <c r="F12" s="2"/>
      <c r="G12" s="2"/>
      <c r="H12" s="2"/>
      <c r="I12" s="2"/>
      <c r="J12" s="2"/>
      <c r="K12" s="1"/>
      <c r="L12" s="1"/>
    </row>
    <row r="13" spans="1:12">
      <c r="A13" s="2"/>
      <c r="B13" s="3"/>
      <c r="C13" s="12"/>
      <c r="D13" s="3"/>
      <c r="E13" s="3"/>
      <c r="F13" s="3"/>
      <c r="G13" s="3"/>
      <c r="H13" s="3"/>
      <c r="I13" s="2"/>
      <c r="J13" s="5"/>
      <c r="K13" s="5"/>
      <c r="L13" s="5"/>
    </row>
    <row r="14" spans="1:12" ht="15.75">
      <c r="A14" s="2"/>
      <c r="B14" s="14" t="s">
        <v>464</v>
      </c>
      <c r="C14" s="129">
        <f>'Estimate Example'!I81</f>
        <v>5296713</v>
      </c>
      <c r="D14" s="120"/>
      <c r="E14" s="121"/>
      <c r="F14" s="121"/>
      <c r="G14" s="121"/>
      <c r="H14" s="3"/>
      <c r="I14" s="2"/>
      <c r="J14" s="2"/>
      <c r="K14" s="1"/>
      <c r="L14" s="1"/>
    </row>
    <row r="15" spans="1:12">
      <c r="A15" s="2"/>
      <c r="B15" s="14" t="s">
        <v>465</v>
      </c>
      <c r="C15" s="171">
        <f>E36*C14</f>
        <v>-34308.554559042794</v>
      </c>
      <c r="D15" s="3"/>
      <c r="E15" s="12"/>
      <c r="F15" s="3"/>
      <c r="G15" s="3"/>
      <c r="H15" s="3"/>
      <c r="I15" s="2"/>
      <c r="J15" s="2"/>
      <c r="K15" s="10"/>
      <c r="L15" s="2"/>
    </row>
    <row r="16" spans="1:12">
      <c r="A16" s="2"/>
      <c r="B16" s="14" t="s">
        <v>466</v>
      </c>
      <c r="C16" s="129">
        <f>(C14+C15)*E37 *0.6</f>
        <v>221613.41861968124</v>
      </c>
      <c r="D16" s="3"/>
      <c r="E16" s="3"/>
      <c r="F16" s="3"/>
      <c r="G16" s="3"/>
      <c r="H16" s="3"/>
      <c r="I16" s="2"/>
      <c r="J16" s="2"/>
      <c r="K16" s="10"/>
      <c r="L16" s="2"/>
    </row>
    <row r="17" spans="1:12">
      <c r="A17" s="2"/>
      <c r="B17" s="131" t="s">
        <v>467</v>
      </c>
      <c r="C17" s="130">
        <f>SUM(C14:C16)+'Estimate Example'!I62</f>
        <v>5484017.8640606385</v>
      </c>
      <c r="D17" s="3"/>
      <c r="E17" s="3"/>
      <c r="F17" s="132"/>
      <c r="G17" s="3"/>
      <c r="H17" s="3"/>
      <c r="I17" s="2"/>
      <c r="J17" s="2"/>
      <c r="K17" s="10"/>
      <c r="L17" s="2"/>
    </row>
    <row r="18" spans="1:12">
      <c r="A18" s="2"/>
      <c r="B18" s="4"/>
      <c r="C18" s="4"/>
      <c r="D18" s="3"/>
      <c r="E18" s="3"/>
      <c r="F18" s="3"/>
      <c r="G18" s="3"/>
      <c r="H18" s="3"/>
      <c r="I18" s="2"/>
      <c r="J18" s="2"/>
      <c r="K18" s="10"/>
      <c r="L18" s="2"/>
    </row>
    <row r="19" spans="1:12">
      <c r="A19" s="2"/>
      <c r="B19" s="138" t="s">
        <v>377</v>
      </c>
      <c r="C19" s="3"/>
      <c r="D19" s="3"/>
      <c r="E19" s="124"/>
      <c r="F19" s="124"/>
      <c r="G19" s="124"/>
      <c r="H19" s="124"/>
      <c r="I19" s="125"/>
      <c r="J19" s="3"/>
      <c r="K19" s="10"/>
      <c r="L19" s="2"/>
    </row>
    <row r="20" spans="1:12">
      <c r="A20" s="2"/>
      <c r="B20" s="14"/>
      <c r="C20" s="3"/>
      <c r="D20" s="3"/>
      <c r="E20" s="124"/>
      <c r="F20" s="124"/>
      <c r="G20" s="124"/>
      <c r="H20" s="124"/>
      <c r="I20" s="125"/>
      <c r="J20" s="3"/>
      <c r="K20" s="10"/>
      <c r="L20" s="2"/>
    </row>
    <row r="21" spans="1:12">
      <c r="A21" s="2"/>
      <c r="B21" s="14"/>
      <c r="C21" s="3"/>
      <c r="D21" s="3"/>
      <c r="E21" s="124"/>
      <c r="F21" s="124"/>
      <c r="G21" s="124"/>
      <c r="H21" s="124"/>
      <c r="I21" s="125"/>
      <c r="J21" s="3"/>
      <c r="K21" s="10"/>
      <c r="L21" s="2"/>
    </row>
    <row r="22" spans="1:12">
      <c r="A22" s="2"/>
      <c r="B22" s="14"/>
      <c r="C22" s="3"/>
      <c r="D22" s="3"/>
      <c r="E22" s="124"/>
      <c r="F22" s="124"/>
      <c r="G22" s="124"/>
      <c r="H22" s="124"/>
      <c r="I22" s="125"/>
      <c r="J22" s="3"/>
      <c r="K22" s="10"/>
      <c r="L22" s="2"/>
    </row>
    <row r="23" spans="1:12">
      <c r="A23" s="2"/>
      <c r="B23" s="14"/>
      <c r="C23" s="3"/>
      <c r="D23" s="3"/>
      <c r="E23" s="124"/>
      <c r="F23" s="124"/>
      <c r="G23" s="133"/>
      <c r="H23" s="133"/>
      <c r="I23" s="125"/>
      <c r="J23" s="124"/>
      <c r="K23" s="10"/>
      <c r="L23" s="2"/>
    </row>
    <row r="24" spans="1:12">
      <c r="A24" s="2"/>
      <c r="B24" s="3" t="s">
        <v>378</v>
      </c>
      <c r="C24" s="3"/>
      <c r="D24" s="1658">
        <f>'Estimate Example'!D36</f>
        <v>43862</v>
      </c>
      <c r="E24" s="1659"/>
      <c r="F24" s="1659"/>
      <c r="G24" s="1659"/>
      <c r="H24" s="1659"/>
      <c r="I24" s="1659"/>
      <c r="J24" s="124"/>
      <c r="K24" s="10"/>
      <c r="L24" s="2"/>
    </row>
    <row r="25" spans="1:12">
      <c r="A25" s="2"/>
      <c r="B25" s="3" t="s">
        <v>379</v>
      </c>
      <c r="C25" s="62">
        <f>'Estimate Example'!C37</f>
        <v>3</v>
      </c>
      <c r="D25" s="1655">
        <f>D24</f>
        <v>43862</v>
      </c>
      <c r="E25" s="1655"/>
      <c r="F25" s="1655"/>
      <c r="G25" s="1655">
        <f>EOMONTH(D25,C25-1)</f>
        <v>43951</v>
      </c>
      <c r="H25" s="1655"/>
      <c r="I25" s="1655"/>
      <c r="J25" s="124" t="s">
        <v>380</v>
      </c>
      <c r="K25" s="10"/>
      <c r="L25" s="2"/>
    </row>
    <row r="26" spans="1:12">
      <c r="A26" s="2"/>
      <c r="B26" s="3" t="s">
        <v>381</v>
      </c>
      <c r="C26" s="62">
        <f>'Estimate Example'!C38</f>
        <v>1</v>
      </c>
      <c r="D26" s="1660">
        <f>G25</f>
        <v>43951</v>
      </c>
      <c r="E26" s="1660"/>
      <c r="F26" s="1660"/>
      <c r="G26" s="1655">
        <f>EOMONTH(D26,C26-1)</f>
        <v>43951</v>
      </c>
      <c r="H26" s="1655"/>
      <c r="I26" s="1655"/>
      <c r="J26" s="124"/>
      <c r="K26" s="10"/>
      <c r="L26" s="2"/>
    </row>
    <row r="27" spans="1:12">
      <c r="A27" s="2"/>
      <c r="B27" s="3"/>
      <c r="C27" s="134"/>
      <c r="D27" s="135"/>
      <c r="E27" s="135"/>
      <c r="F27" s="135"/>
      <c r="G27" s="136"/>
      <c r="H27" s="136"/>
      <c r="I27" s="136"/>
      <c r="J27" s="124"/>
      <c r="K27" s="10"/>
      <c r="L27" s="2"/>
    </row>
    <row r="28" spans="1:12">
      <c r="A28" s="2"/>
      <c r="B28" s="3"/>
      <c r="C28" s="3"/>
      <c r="D28" s="3"/>
      <c r="E28" s="124"/>
      <c r="F28" s="124"/>
      <c r="G28" s="124"/>
      <c r="H28" s="124"/>
      <c r="I28" s="125"/>
      <c r="J28" s="3"/>
      <c r="K28" s="2"/>
      <c r="L28" s="2"/>
    </row>
    <row r="29" spans="1:12">
      <c r="A29" s="8"/>
      <c r="B29" s="3" t="s">
        <v>382</v>
      </c>
      <c r="C29" s="62">
        <f>'Estimate Example'!C41</f>
        <v>4</v>
      </c>
      <c r="D29" s="1655">
        <f>G25+1</f>
        <v>43952</v>
      </c>
      <c r="E29" s="1655"/>
      <c r="F29" s="1655"/>
      <c r="G29" s="1655">
        <f>EOMONTH(D29,C29-1)</f>
        <v>44074</v>
      </c>
      <c r="H29" s="1655"/>
      <c r="I29" s="1655"/>
      <c r="J29" s="124" t="s">
        <v>383</v>
      </c>
      <c r="K29" s="2"/>
      <c r="L29" s="2"/>
    </row>
    <row r="30" spans="1:12">
      <c r="A30" s="8"/>
      <c r="B30" s="3" t="s">
        <v>384</v>
      </c>
      <c r="C30" s="62">
        <f>'Estimate Example'!C42</f>
        <v>20</v>
      </c>
      <c r="D30" s="1655">
        <f>IF(G26&gt;=G29,G26,G29)+30</f>
        <v>44104</v>
      </c>
      <c r="E30" s="1655"/>
      <c r="F30" s="1655"/>
      <c r="G30" s="1655">
        <f>EOMONTH(D30,C30-1)</f>
        <v>44681</v>
      </c>
      <c r="H30" s="1655"/>
      <c r="I30" s="1655"/>
      <c r="J30" s="124"/>
      <c r="K30" s="1"/>
      <c r="L30" s="1"/>
    </row>
    <row r="31" spans="1:12">
      <c r="A31" s="8"/>
      <c r="B31" s="3"/>
      <c r="C31" s="3"/>
      <c r="D31" s="1656">
        <f>G30</f>
        <v>44681</v>
      </c>
      <c r="E31" s="1657"/>
      <c r="F31" s="1657"/>
      <c r="G31" s="1657"/>
      <c r="H31" s="1657"/>
      <c r="I31" s="1657"/>
      <c r="J31" s="124"/>
      <c r="K31" s="1"/>
      <c r="L31" s="1"/>
    </row>
    <row r="32" spans="1:12">
      <c r="A32" s="8"/>
      <c r="B32" s="14"/>
      <c r="C32" s="3"/>
      <c r="D32" s="3"/>
      <c r="E32" s="124"/>
      <c r="F32" s="124"/>
      <c r="G32" s="124"/>
      <c r="H32" s="124"/>
      <c r="I32" s="125"/>
      <c r="J32" s="124"/>
      <c r="K32" s="1"/>
      <c r="L32" s="1"/>
    </row>
    <row r="33" spans="1:12">
      <c r="A33" s="2"/>
      <c r="B33" s="14"/>
      <c r="C33" s="141" t="s">
        <v>385</v>
      </c>
      <c r="D33" s="141" t="s">
        <v>386</v>
      </c>
      <c r="E33" s="141" t="s">
        <v>387</v>
      </c>
      <c r="F33" s="141" t="s">
        <v>388</v>
      </c>
      <c r="G33" s="124"/>
      <c r="H33" s="124"/>
      <c r="I33" s="125"/>
      <c r="J33" s="124"/>
      <c r="K33" s="1"/>
      <c r="L33" s="2"/>
    </row>
    <row r="34" spans="1:12">
      <c r="A34" s="2" t="s">
        <v>468</v>
      </c>
      <c r="B34" s="139">
        <f>D24</f>
        <v>43862</v>
      </c>
      <c r="C34" s="137">
        <f>D24</f>
        <v>43862</v>
      </c>
      <c r="D34" s="122">
        <f>G29</f>
        <v>44074</v>
      </c>
      <c r="E34" s="123"/>
      <c r="F34" s="123"/>
      <c r="G34" s="124"/>
      <c r="H34" s="124"/>
      <c r="I34" s="125"/>
      <c r="J34" s="124"/>
      <c r="K34" s="1"/>
      <c r="L34" s="1"/>
    </row>
    <row r="35" spans="1:12">
      <c r="A35" s="1"/>
      <c r="B35" s="14"/>
      <c r="C35" s="122">
        <f>D30+30</f>
        <v>44134</v>
      </c>
      <c r="D35" s="122">
        <f>G30</f>
        <v>44681</v>
      </c>
      <c r="E35" s="123"/>
      <c r="F35" s="123"/>
      <c r="G35" s="124"/>
      <c r="H35" s="124"/>
      <c r="I35" s="125"/>
      <c r="J35" s="124"/>
      <c r="K35" s="1"/>
      <c r="L35" s="1"/>
    </row>
    <row r="36" spans="1:12">
      <c r="A36" s="1"/>
      <c r="B36" s="140" t="s">
        <v>389</v>
      </c>
      <c r="C36" s="126">
        <f>'Estimate Example'!C48</f>
        <v>200.7</v>
      </c>
      <c r="D36" s="126">
        <f>'Estimate Example'!D48</f>
        <v>199.4</v>
      </c>
      <c r="E36" s="127">
        <f>(D36/C36-1)</f>
        <v>-6.4773293472843996E-3</v>
      </c>
      <c r="F36" s="174">
        <f>'Estimate Example'!C41</f>
        <v>4</v>
      </c>
      <c r="G36" s="128"/>
      <c r="H36" s="128"/>
      <c r="I36" s="125"/>
      <c r="J36" s="124"/>
      <c r="K36" s="1"/>
      <c r="L36" s="1"/>
    </row>
    <row r="37" spans="1:12">
      <c r="A37" s="1"/>
      <c r="B37" s="140" t="s">
        <v>390</v>
      </c>
      <c r="C37" s="126">
        <f>'Estimate Example'!C49</f>
        <v>143.9</v>
      </c>
      <c r="D37" s="126">
        <f>'Estimate Example'!D49</f>
        <v>154</v>
      </c>
      <c r="E37" s="127">
        <f>(D37/C37-1)</f>
        <v>7.0187630298818471E-2</v>
      </c>
      <c r="F37" s="174">
        <f>'Estimate Example'!C42</f>
        <v>20</v>
      </c>
      <c r="G37" s="128"/>
      <c r="H37" s="128"/>
      <c r="I37" s="125"/>
      <c r="J37" s="124"/>
      <c r="K37" s="1"/>
      <c r="L37" s="1"/>
    </row>
    <row r="38" spans="1:12">
      <c r="A38" s="1"/>
      <c r="B38" s="140" t="s">
        <v>391</v>
      </c>
      <c r="C38" s="126"/>
      <c r="D38" s="126"/>
      <c r="E38" s="127"/>
      <c r="F38" s="173"/>
      <c r="G38" s="128"/>
      <c r="H38" s="128"/>
      <c r="I38" s="125"/>
      <c r="J38" s="124"/>
      <c r="K38" s="1"/>
      <c r="L38" s="1"/>
    </row>
    <row r="39" spans="1:12">
      <c r="A39" s="1"/>
      <c r="B39" s="1"/>
      <c r="C39" s="1"/>
      <c r="D39" s="1"/>
      <c r="E39" s="1"/>
      <c r="F39" s="1"/>
      <c r="G39" s="1"/>
      <c r="H39" s="1"/>
      <c r="I39" s="1"/>
      <c r="J39" s="1"/>
      <c r="K39" s="1"/>
      <c r="L39" s="1"/>
    </row>
    <row r="40" spans="1:12">
      <c r="A40" s="1"/>
      <c r="B40" s="1"/>
      <c r="C40" s="1"/>
      <c r="D40" s="1"/>
      <c r="E40" s="1"/>
      <c r="F40" s="1"/>
      <c r="G40" s="1"/>
      <c r="H40" s="1"/>
      <c r="I40" s="1"/>
      <c r="J40" s="1"/>
      <c r="K40" s="1"/>
      <c r="L40" s="1"/>
    </row>
    <row r="41" spans="1:12">
      <c r="A41" s="1"/>
      <c r="B41" s="1"/>
      <c r="C41" s="1"/>
      <c r="D41" s="1"/>
      <c r="E41" s="1"/>
      <c r="F41" s="1"/>
      <c r="G41" s="1"/>
      <c r="H41" s="1"/>
      <c r="I41" s="1"/>
      <c r="J41" s="1"/>
      <c r="K41" s="1"/>
      <c r="L41" s="1"/>
    </row>
    <row r="42" spans="1:12">
      <c r="A42" s="1"/>
      <c r="B42" s="1"/>
      <c r="C42" s="1"/>
      <c r="D42" s="1"/>
      <c r="E42" s="1"/>
      <c r="F42" s="1"/>
      <c r="G42" s="1"/>
      <c r="H42" s="1"/>
      <c r="I42" s="1"/>
      <c r="J42" s="1"/>
      <c r="K42" s="1"/>
      <c r="L42" s="2" t="s">
        <v>28</v>
      </c>
    </row>
    <row r="43" spans="1:12">
      <c r="A43" s="1"/>
      <c r="B43" s="1"/>
      <c r="C43" s="1"/>
      <c r="D43" s="1"/>
      <c r="E43" s="1"/>
      <c r="F43" s="1"/>
      <c r="G43" s="1"/>
      <c r="H43" s="1"/>
      <c r="I43" s="1"/>
      <c r="J43" s="1"/>
      <c r="K43" s="109" t="s">
        <v>64</v>
      </c>
      <c r="L43" s="1"/>
    </row>
    <row r="50" spans="3:3">
      <c r="C50" s="147"/>
    </row>
  </sheetData>
  <mergeCells count="10">
    <mergeCell ref="D30:F30"/>
    <mergeCell ref="G30:I30"/>
    <mergeCell ref="D31:I31"/>
    <mergeCell ref="D24:I24"/>
    <mergeCell ref="D25:F25"/>
    <mergeCell ref="G25:I25"/>
    <mergeCell ref="D26:F26"/>
    <mergeCell ref="G26:I26"/>
    <mergeCell ref="D29:F29"/>
    <mergeCell ref="G29:I29"/>
  </mergeCells>
  <hyperlinks>
    <hyperlink ref="K43" display="Back to Contents" xr:uid="{00000000-0004-0000-1500-000000000000}"/>
  </hyperlinks>
  <pageMargins left="0.7" right="0.7" top="0.75" bottom="0.75" header="0.3" footer="0.3"/>
  <pageSetup paperSize="9" orientation="portrait" r:id="rId1"/>
  <headerFooter>
    <oddHeader>&amp;C&amp;"Calibri"&amp;10&amp;K000000Confidential&amp;1#</oddHeader>
    <oddFooter>&amp;R&amp;1#&amp;"Calibri"&amp;10&amp;K000000Confidential</odd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8">
    <tabColor rgb="FF00B0F0"/>
  </sheetPr>
  <dimension ref="A1:G211"/>
  <sheetViews>
    <sheetView zoomScale="90" zoomScaleNormal="90" workbookViewId="0">
      <pane ySplit="7" topLeftCell="A148" activePane="bottomLeft" state="frozen"/>
      <selection activeCell="L110" sqref="L110"/>
      <selection pane="bottomLeft" activeCell="G160" sqref="G160"/>
    </sheetView>
  </sheetViews>
  <sheetFormatPr defaultColWidth="8.85546875" defaultRowHeight="15"/>
  <cols>
    <col min="1" max="1" width="13.5703125" customWidth="1"/>
    <col min="2" max="2" width="14.42578125" customWidth="1"/>
    <col min="4" max="4" width="8.7109375" customWidth="1"/>
    <col min="5" max="5" width="9.140625" hidden="1" customWidth="1"/>
    <col min="6" max="6" width="24.5703125" customWidth="1"/>
    <col min="7" max="7" width="32.140625" bestFit="1" customWidth="1"/>
  </cols>
  <sheetData>
    <row r="1" spans="1:7" ht="20.25">
      <c r="A1" s="65" t="s">
        <v>469</v>
      </c>
      <c r="B1" s="80"/>
      <c r="C1" s="80"/>
      <c r="D1" s="80"/>
      <c r="E1" s="80"/>
      <c r="F1" s="80"/>
      <c r="G1" s="80"/>
    </row>
    <row r="2" spans="1:7" ht="20.25">
      <c r="A2" s="63" t="s">
        <v>470</v>
      </c>
      <c r="B2" s="4"/>
      <c r="C2" s="4"/>
      <c r="D2" s="4"/>
      <c r="E2" s="4"/>
      <c r="F2" s="4"/>
      <c r="G2" s="4"/>
    </row>
    <row r="3" spans="1:7" ht="20.25">
      <c r="A3" s="81" t="s">
        <v>471</v>
      </c>
      <c r="B3" s="82"/>
      <c r="C3" s="82"/>
      <c r="D3" s="82"/>
      <c r="E3" s="82"/>
      <c r="F3" s="82"/>
      <c r="G3" s="1212" t="s">
        <v>3458</v>
      </c>
    </row>
    <row r="4" spans="1:7">
      <c r="A4" s="68"/>
      <c r="B4" s="30"/>
      <c r="C4" s="30"/>
      <c r="D4" s="30"/>
      <c r="E4" s="30"/>
      <c r="F4" s="30"/>
      <c r="G4" s="30"/>
    </row>
    <row r="5" spans="1:7">
      <c r="A5" s="68"/>
      <c r="B5" s="30"/>
      <c r="C5" s="30"/>
      <c r="D5" s="30"/>
      <c r="E5" s="30"/>
      <c r="F5" s="30"/>
      <c r="G5" s="30"/>
    </row>
    <row r="6" spans="1:7">
      <c r="A6" s="1661" t="s">
        <v>472</v>
      </c>
      <c r="B6" s="1661" t="s">
        <v>473</v>
      </c>
      <c r="C6" s="1663" t="s">
        <v>474</v>
      </c>
      <c r="D6" s="1664"/>
      <c r="E6" s="1665"/>
      <c r="F6" s="1669" t="s">
        <v>475</v>
      </c>
      <c r="G6" s="1669" t="s">
        <v>476</v>
      </c>
    </row>
    <row r="7" spans="1:7" ht="46.5" customHeight="1">
      <c r="A7" s="1662"/>
      <c r="B7" s="1662"/>
      <c r="C7" s="1666"/>
      <c r="D7" s="1667"/>
      <c r="E7" s="1668"/>
      <c r="F7" s="1670"/>
      <c r="G7" s="1670"/>
    </row>
    <row r="8" spans="1:7">
      <c r="A8" s="77">
        <v>2009</v>
      </c>
      <c r="B8" s="69">
        <v>39844</v>
      </c>
      <c r="C8" s="1671">
        <v>39844</v>
      </c>
      <c r="D8" s="1672"/>
      <c r="E8" s="1673"/>
      <c r="F8" s="72">
        <v>145</v>
      </c>
      <c r="G8" s="1213">
        <v>375.7</v>
      </c>
    </row>
    <row r="9" spans="1:7">
      <c r="A9" s="78"/>
      <c r="B9" s="69">
        <v>39872</v>
      </c>
      <c r="C9" s="1671">
        <v>39872</v>
      </c>
      <c r="D9" s="1672"/>
      <c r="E9" s="1673"/>
      <c r="F9" s="70">
        <v>138.69999999999999</v>
      </c>
      <c r="G9" s="1214">
        <v>377.4</v>
      </c>
    </row>
    <row r="10" spans="1:7">
      <c r="A10" s="78"/>
      <c r="B10" s="69">
        <v>39903</v>
      </c>
      <c r="C10" s="1671">
        <v>39903</v>
      </c>
      <c r="D10" s="1672"/>
      <c r="E10" s="1673"/>
      <c r="F10" s="70">
        <v>142.80000000000001</v>
      </c>
      <c r="G10" s="1214">
        <v>379.2</v>
      </c>
    </row>
    <row r="11" spans="1:7">
      <c r="A11" s="78"/>
      <c r="B11" s="69">
        <v>39933</v>
      </c>
      <c r="C11" s="1671">
        <v>39933</v>
      </c>
      <c r="D11" s="1672"/>
      <c r="E11" s="1673"/>
      <c r="F11" s="70">
        <v>146.9</v>
      </c>
      <c r="G11" s="1214">
        <v>378.3</v>
      </c>
    </row>
    <row r="12" spans="1:7">
      <c r="A12" s="78"/>
      <c r="B12" s="69">
        <v>39964</v>
      </c>
      <c r="C12" s="1671">
        <v>39964</v>
      </c>
      <c r="D12" s="1672"/>
      <c r="E12" s="1673"/>
      <c r="F12" s="70">
        <v>151</v>
      </c>
      <c r="G12" s="1214">
        <v>375.8</v>
      </c>
    </row>
    <row r="13" spans="1:7">
      <c r="A13" s="78"/>
      <c r="B13" s="69">
        <v>39994</v>
      </c>
      <c r="C13" s="1671">
        <v>39994</v>
      </c>
      <c r="D13" s="1672"/>
      <c r="E13" s="1673"/>
      <c r="F13" s="70">
        <v>147.6</v>
      </c>
      <c r="G13" s="1214">
        <v>376</v>
      </c>
    </row>
    <row r="14" spans="1:7">
      <c r="A14" s="78"/>
      <c r="B14" s="69">
        <v>40025</v>
      </c>
      <c r="C14" s="1671">
        <v>40025</v>
      </c>
      <c r="D14" s="1672"/>
      <c r="E14" s="1673"/>
      <c r="F14" s="70">
        <v>144.30000000000001</v>
      </c>
      <c r="G14" s="1214">
        <v>381.4</v>
      </c>
    </row>
    <row r="15" spans="1:7">
      <c r="A15" s="78"/>
      <c r="B15" s="69">
        <v>40056</v>
      </c>
      <c r="C15" s="1671">
        <v>40056</v>
      </c>
      <c r="D15" s="1672"/>
      <c r="E15" s="1673"/>
      <c r="F15" s="70">
        <v>140.9</v>
      </c>
      <c r="G15" s="1214">
        <v>382.4</v>
      </c>
    </row>
    <row r="16" spans="1:7">
      <c r="A16" s="78"/>
      <c r="B16" s="69">
        <v>40086</v>
      </c>
      <c r="C16" s="1671">
        <v>40086</v>
      </c>
      <c r="D16" s="1672"/>
      <c r="E16" s="1673"/>
      <c r="F16" s="70">
        <v>142.5</v>
      </c>
      <c r="G16" s="1214">
        <v>384.1</v>
      </c>
    </row>
    <row r="17" spans="1:7">
      <c r="A17" s="78"/>
      <c r="B17" s="69">
        <v>40117</v>
      </c>
      <c r="C17" s="1671">
        <v>40117</v>
      </c>
      <c r="D17" s="1672"/>
      <c r="E17" s="1673"/>
      <c r="F17" s="70">
        <v>144</v>
      </c>
      <c r="G17" s="1214">
        <v>382.8</v>
      </c>
    </row>
    <row r="18" spans="1:7">
      <c r="A18" s="78"/>
      <c r="B18" s="69">
        <v>40147</v>
      </c>
      <c r="C18" s="1671">
        <v>40147</v>
      </c>
      <c r="D18" s="1672"/>
      <c r="E18" s="1673"/>
      <c r="F18" s="70">
        <v>145.6</v>
      </c>
      <c r="G18" s="1214">
        <v>382.9</v>
      </c>
    </row>
    <row r="19" spans="1:7">
      <c r="A19" s="79"/>
      <c r="B19" s="1155">
        <v>40178</v>
      </c>
      <c r="C19" s="1671">
        <v>40178</v>
      </c>
      <c r="D19" s="1672"/>
      <c r="E19" s="1673"/>
      <c r="F19" s="71">
        <v>145.6</v>
      </c>
      <c r="G19" s="1215">
        <v>383.5</v>
      </c>
    </row>
    <row r="20" spans="1:7">
      <c r="A20" s="77">
        <v>2010</v>
      </c>
      <c r="B20" s="69">
        <v>40209</v>
      </c>
      <c r="C20" s="1671">
        <v>40209</v>
      </c>
      <c r="D20" s="1672"/>
      <c r="E20" s="1673"/>
      <c r="F20" s="70">
        <v>145.69999999999999</v>
      </c>
      <c r="G20" s="1214">
        <v>386</v>
      </c>
    </row>
    <row r="21" spans="1:7">
      <c r="A21" s="78"/>
      <c r="B21" s="69">
        <v>40237</v>
      </c>
      <c r="C21" s="1671">
        <v>40237</v>
      </c>
      <c r="D21" s="1672"/>
      <c r="E21" s="1673"/>
      <c r="F21" s="70">
        <v>145.69999999999999</v>
      </c>
      <c r="G21" s="1214">
        <v>388.2</v>
      </c>
    </row>
    <row r="22" spans="1:7">
      <c r="A22" s="78"/>
      <c r="B22" s="69">
        <v>40268</v>
      </c>
      <c r="C22" s="1671">
        <v>40268</v>
      </c>
      <c r="D22" s="1672"/>
      <c r="E22" s="1673"/>
      <c r="F22" s="70">
        <v>145.4</v>
      </c>
      <c r="G22" s="1214">
        <v>389.5</v>
      </c>
    </row>
    <row r="23" spans="1:7">
      <c r="A23" s="78"/>
      <c r="B23" s="69">
        <v>40298</v>
      </c>
      <c r="C23" s="1671">
        <v>40298</v>
      </c>
      <c r="D23" s="1672"/>
      <c r="E23" s="1673"/>
      <c r="F23" s="70">
        <v>145.1</v>
      </c>
      <c r="G23" s="1214">
        <v>390.8</v>
      </c>
    </row>
    <row r="24" spans="1:7">
      <c r="A24" s="78"/>
      <c r="B24" s="69">
        <v>40329</v>
      </c>
      <c r="C24" s="1671">
        <v>40329</v>
      </c>
      <c r="D24" s="1672"/>
      <c r="E24" s="1673"/>
      <c r="F24" s="70">
        <v>144.80000000000001</v>
      </c>
      <c r="G24" s="1214">
        <v>395.1</v>
      </c>
    </row>
    <row r="25" spans="1:7">
      <c r="A25" s="78"/>
      <c r="B25" s="69">
        <v>40359</v>
      </c>
      <c r="C25" s="1671">
        <v>40359</v>
      </c>
      <c r="D25" s="1672"/>
      <c r="E25" s="1673"/>
      <c r="F25" s="70">
        <v>143.9</v>
      </c>
      <c r="G25" s="1214">
        <v>396.1</v>
      </c>
    </row>
    <row r="26" spans="1:7">
      <c r="A26" s="78"/>
      <c r="B26" s="69">
        <v>40390</v>
      </c>
      <c r="C26" s="1671">
        <v>40390</v>
      </c>
      <c r="D26" s="1672"/>
      <c r="E26" s="1673"/>
      <c r="F26" s="70">
        <v>142.9</v>
      </c>
      <c r="G26" s="1214">
        <v>395.4</v>
      </c>
    </row>
    <row r="27" spans="1:7">
      <c r="A27" s="78"/>
      <c r="B27" s="69">
        <v>40421</v>
      </c>
      <c r="C27" s="1671">
        <v>40421</v>
      </c>
      <c r="D27" s="1672"/>
      <c r="E27" s="1673"/>
      <c r="F27" s="70">
        <v>142</v>
      </c>
      <c r="G27" s="1214">
        <v>394.2</v>
      </c>
    </row>
    <row r="28" spans="1:7">
      <c r="A28" s="78"/>
      <c r="B28" s="69">
        <v>40451</v>
      </c>
      <c r="C28" s="1671">
        <v>40451</v>
      </c>
      <c r="D28" s="1672"/>
      <c r="E28" s="1673"/>
      <c r="F28" s="70">
        <v>142.1</v>
      </c>
      <c r="G28" s="1214">
        <v>394.5</v>
      </c>
    </row>
    <row r="29" spans="1:7">
      <c r="A29" s="78"/>
      <c r="B29" s="69">
        <v>40482</v>
      </c>
      <c r="C29" s="1671">
        <v>40482</v>
      </c>
      <c r="D29" s="1672"/>
      <c r="E29" s="1673"/>
      <c r="F29" s="70">
        <v>142.30000000000001</v>
      </c>
      <c r="G29" s="1214">
        <v>395.7</v>
      </c>
    </row>
    <row r="30" spans="1:7">
      <c r="A30" s="78"/>
      <c r="B30" s="69">
        <v>40512</v>
      </c>
      <c r="C30" s="1671">
        <v>40512</v>
      </c>
      <c r="D30" s="1672"/>
      <c r="E30" s="1673"/>
      <c r="F30" s="70">
        <v>142.4</v>
      </c>
      <c r="G30" s="1214">
        <v>396.5</v>
      </c>
    </row>
    <row r="31" spans="1:7">
      <c r="A31" s="79"/>
      <c r="B31" s="1155">
        <v>40543</v>
      </c>
      <c r="C31" s="1671">
        <v>40543</v>
      </c>
      <c r="D31" s="1672"/>
      <c r="E31" s="1673"/>
      <c r="F31" s="71">
        <v>141.9</v>
      </c>
      <c r="G31" s="1215">
        <v>397.5</v>
      </c>
    </row>
    <row r="32" spans="1:7">
      <c r="A32" s="77">
        <v>2011</v>
      </c>
      <c r="B32" s="69">
        <v>40574</v>
      </c>
      <c r="C32" s="1671">
        <v>40574</v>
      </c>
      <c r="D32" s="1672"/>
      <c r="E32" s="1673"/>
      <c r="F32" s="70">
        <v>141.30000000000001</v>
      </c>
      <c r="G32" s="1214">
        <v>400.5</v>
      </c>
    </row>
    <row r="33" spans="1:7">
      <c r="A33" s="78"/>
      <c r="B33" s="69">
        <v>40602</v>
      </c>
      <c r="C33" s="1671">
        <v>40602</v>
      </c>
      <c r="D33" s="1672"/>
      <c r="E33" s="1673"/>
      <c r="F33" s="70">
        <v>140.80000000000001</v>
      </c>
      <c r="G33" s="1214">
        <v>405.5</v>
      </c>
    </row>
    <row r="34" spans="1:7">
      <c r="A34" s="78"/>
      <c r="B34" s="69">
        <v>40633</v>
      </c>
      <c r="C34" s="1671">
        <v>40633</v>
      </c>
      <c r="D34" s="1672"/>
      <c r="E34" s="1673"/>
      <c r="F34" s="70">
        <v>143.6</v>
      </c>
      <c r="G34" s="1214">
        <v>410.8</v>
      </c>
    </row>
    <row r="35" spans="1:7">
      <c r="A35" s="78"/>
      <c r="B35" s="69">
        <v>40663</v>
      </c>
      <c r="C35" s="1671">
        <v>40663</v>
      </c>
      <c r="D35" s="1672"/>
      <c r="E35" s="1673"/>
      <c r="F35" s="70">
        <v>146.4</v>
      </c>
      <c r="G35" s="1214">
        <v>412.3</v>
      </c>
    </row>
    <row r="36" spans="1:7">
      <c r="A36" s="78"/>
      <c r="B36" s="69">
        <v>40694</v>
      </c>
      <c r="C36" s="1671">
        <v>40694</v>
      </c>
      <c r="D36" s="1672"/>
      <c r="E36" s="1673"/>
      <c r="F36" s="70">
        <v>149.19999999999999</v>
      </c>
      <c r="G36" s="1214">
        <v>412</v>
      </c>
    </row>
    <row r="37" spans="1:7">
      <c r="A37" s="78"/>
      <c r="B37" s="69">
        <v>40724</v>
      </c>
      <c r="C37" s="1671">
        <v>40724</v>
      </c>
      <c r="D37" s="1672"/>
      <c r="E37" s="1673"/>
      <c r="F37" s="70">
        <v>148.69999999999999</v>
      </c>
      <c r="G37" s="1214">
        <v>413.4</v>
      </c>
    </row>
    <row r="38" spans="1:7">
      <c r="A38" s="78"/>
      <c r="B38" s="69">
        <v>40755</v>
      </c>
      <c r="C38" s="1671">
        <v>40755</v>
      </c>
      <c r="D38" s="1672"/>
      <c r="E38" s="1673"/>
      <c r="F38" s="70">
        <v>148.30000000000001</v>
      </c>
      <c r="G38" s="1214">
        <v>419.2</v>
      </c>
    </row>
    <row r="39" spans="1:7">
      <c r="A39" s="78"/>
      <c r="B39" s="69">
        <v>40786</v>
      </c>
      <c r="C39" s="1671">
        <v>40786</v>
      </c>
      <c r="D39" s="1672"/>
      <c r="E39" s="1673"/>
      <c r="F39" s="70">
        <v>147.80000000000001</v>
      </c>
      <c r="G39" s="1214">
        <v>420.7</v>
      </c>
    </row>
    <row r="40" spans="1:7">
      <c r="A40" s="78"/>
      <c r="B40" s="69">
        <v>40816</v>
      </c>
      <c r="C40" s="1671">
        <v>40816</v>
      </c>
      <c r="D40" s="1672"/>
      <c r="E40" s="1673"/>
      <c r="F40" s="70">
        <v>150.80000000000001</v>
      </c>
      <c r="G40" s="1214">
        <v>422.6</v>
      </c>
    </row>
    <row r="41" spans="1:7">
      <c r="A41" s="78"/>
      <c r="B41" s="69">
        <v>40847</v>
      </c>
      <c r="C41" s="1671">
        <v>40847</v>
      </c>
      <c r="D41" s="1672"/>
      <c r="E41" s="1673"/>
      <c r="F41" s="70">
        <v>153.69999999999999</v>
      </c>
      <c r="G41" s="1214">
        <v>424.3</v>
      </c>
    </row>
    <row r="42" spans="1:7">
      <c r="A42" s="78"/>
      <c r="B42" s="69">
        <v>40877</v>
      </c>
      <c r="C42" s="1671">
        <v>40877</v>
      </c>
      <c r="D42" s="1672"/>
      <c r="E42" s="1673"/>
      <c r="F42" s="70">
        <v>156.69999999999999</v>
      </c>
      <c r="G42" s="1214">
        <v>427</v>
      </c>
    </row>
    <row r="43" spans="1:7">
      <c r="A43" s="79"/>
      <c r="B43" s="1155">
        <v>40908</v>
      </c>
      <c r="C43" s="1671">
        <v>40908</v>
      </c>
      <c r="D43" s="1672"/>
      <c r="E43" s="1673"/>
      <c r="F43" s="70">
        <v>156.19999999999999</v>
      </c>
      <c r="G43" s="1214">
        <v>428</v>
      </c>
    </row>
    <row r="44" spans="1:7">
      <c r="A44" s="77">
        <v>2012</v>
      </c>
      <c r="B44" s="69">
        <v>40939</v>
      </c>
      <c r="C44" s="1671">
        <v>40939</v>
      </c>
      <c r="D44" s="1672"/>
      <c r="E44" s="1673"/>
      <c r="F44" s="73">
        <v>154.4</v>
      </c>
      <c r="G44" s="1213">
        <v>429.3</v>
      </c>
    </row>
    <row r="45" spans="1:7">
      <c r="A45" s="78"/>
      <c r="B45" s="69">
        <v>40968</v>
      </c>
      <c r="C45" s="1671">
        <v>40968</v>
      </c>
      <c r="D45" s="1672"/>
      <c r="E45" s="1673"/>
      <c r="F45" s="74">
        <v>153.30000000000001</v>
      </c>
      <c r="G45" s="1214">
        <v>433.7</v>
      </c>
    </row>
    <row r="46" spans="1:7">
      <c r="A46" s="78"/>
      <c r="B46" s="69">
        <v>40999</v>
      </c>
      <c r="C46" s="1671">
        <v>40999</v>
      </c>
      <c r="D46" s="1672"/>
      <c r="E46" s="1673"/>
      <c r="F46" s="74">
        <v>154.19999999999999</v>
      </c>
      <c r="G46" s="1214">
        <v>435.7</v>
      </c>
    </row>
    <row r="47" spans="1:7">
      <c r="A47" s="78"/>
      <c r="B47" s="69">
        <v>41029</v>
      </c>
      <c r="C47" s="1671">
        <v>41029</v>
      </c>
      <c r="D47" s="1672"/>
      <c r="E47" s="1673"/>
      <c r="F47" s="74">
        <v>155.19999999999999</v>
      </c>
      <c r="G47" s="1214">
        <v>437.5</v>
      </c>
    </row>
    <row r="48" spans="1:7">
      <c r="A48" s="78"/>
      <c r="B48" s="69">
        <v>41060</v>
      </c>
      <c r="C48" s="1671">
        <v>41060</v>
      </c>
      <c r="D48" s="1672"/>
      <c r="E48" s="1673"/>
      <c r="F48" s="74">
        <v>156.1</v>
      </c>
      <c r="G48" s="1214">
        <v>438.6</v>
      </c>
    </row>
    <row r="49" spans="1:7">
      <c r="A49" s="78"/>
      <c r="B49" s="69">
        <v>41090</v>
      </c>
      <c r="C49" s="1671">
        <v>41090</v>
      </c>
      <c r="D49" s="1672"/>
      <c r="E49" s="1673"/>
      <c r="F49" s="74">
        <v>157.9</v>
      </c>
      <c r="G49" s="1214">
        <v>439.5</v>
      </c>
    </row>
    <row r="50" spans="1:7">
      <c r="A50" s="78"/>
      <c r="B50" s="69">
        <v>41121</v>
      </c>
      <c r="C50" s="1671">
        <v>41121</v>
      </c>
      <c r="D50" s="1672"/>
      <c r="E50" s="1673"/>
      <c r="F50" s="74">
        <v>159.6</v>
      </c>
      <c r="G50" s="1214">
        <v>443.4</v>
      </c>
    </row>
    <row r="51" spans="1:7">
      <c r="A51" s="78"/>
      <c r="B51" s="69">
        <v>41152</v>
      </c>
      <c r="C51" s="1671">
        <v>41152</v>
      </c>
      <c r="D51" s="1672"/>
      <c r="E51" s="1673"/>
      <c r="F51" s="74">
        <v>161.4</v>
      </c>
      <c r="G51" s="1214">
        <v>443</v>
      </c>
    </row>
    <row r="52" spans="1:7">
      <c r="A52" s="78"/>
      <c r="B52" s="69">
        <v>41182</v>
      </c>
      <c r="C52" s="1671">
        <v>41182</v>
      </c>
      <c r="D52" s="1672"/>
      <c r="E52" s="1673"/>
      <c r="F52" s="74">
        <v>162.6</v>
      </c>
      <c r="G52" s="1214">
        <v>444.3</v>
      </c>
    </row>
    <row r="53" spans="1:7">
      <c r="A53" s="78"/>
      <c r="B53" s="69">
        <v>41213</v>
      </c>
      <c r="C53" s="1671">
        <v>41213</v>
      </c>
      <c r="D53" s="1672"/>
      <c r="E53" s="1673"/>
      <c r="F53" s="74">
        <v>163.69999999999999</v>
      </c>
      <c r="G53" s="1214">
        <v>445.2</v>
      </c>
    </row>
    <row r="54" spans="1:7">
      <c r="A54" s="78"/>
      <c r="B54" s="69">
        <v>41243</v>
      </c>
      <c r="C54" s="1671">
        <v>41243</v>
      </c>
      <c r="D54" s="1672"/>
      <c r="E54" s="1673"/>
      <c r="F54" s="142">
        <v>164.9</v>
      </c>
      <c r="G54" s="1214">
        <v>446.8</v>
      </c>
    </row>
    <row r="55" spans="1:7">
      <c r="A55" s="79"/>
      <c r="B55" s="1155">
        <v>41274</v>
      </c>
      <c r="C55" s="1671">
        <v>41274</v>
      </c>
      <c r="D55" s="1672"/>
      <c r="E55" s="1673"/>
      <c r="F55" s="75">
        <v>166.6</v>
      </c>
      <c r="G55" s="1215">
        <v>448.1</v>
      </c>
    </row>
    <row r="56" spans="1:7">
      <c r="A56" s="77">
        <v>2013</v>
      </c>
      <c r="B56" s="69">
        <v>41305</v>
      </c>
      <c r="C56" s="1671">
        <v>41305</v>
      </c>
      <c r="D56" s="1672"/>
      <c r="E56" s="1672"/>
      <c r="F56" s="73">
        <v>169</v>
      </c>
      <c r="G56" s="1216">
        <v>452.4</v>
      </c>
    </row>
    <row r="57" spans="1:7">
      <c r="A57" s="78"/>
      <c r="B57" s="69">
        <v>41333</v>
      </c>
      <c r="C57" s="1671">
        <v>41333</v>
      </c>
      <c r="D57" s="1672"/>
      <c r="E57" s="1672"/>
      <c r="F57" s="74">
        <v>171</v>
      </c>
      <c r="G57" s="1217">
        <v>456</v>
      </c>
    </row>
    <row r="58" spans="1:7">
      <c r="A58" s="78"/>
      <c r="B58" s="69">
        <v>41364</v>
      </c>
      <c r="C58" s="1671">
        <v>41364</v>
      </c>
      <c r="D58" s="1672"/>
      <c r="E58" s="1672"/>
      <c r="F58" s="74">
        <v>169.2</v>
      </c>
      <c r="G58" s="1217">
        <v>460.9</v>
      </c>
    </row>
    <row r="59" spans="1:7">
      <c r="A59" s="78"/>
      <c r="B59" s="69">
        <v>41394</v>
      </c>
      <c r="C59" s="1671">
        <v>41394</v>
      </c>
      <c r="D59" s="1672"/>
      <c r="E59" s="1672"/>
      <c r="F59" s="74">
        <v>167.5</v>
      </c>
      <c r="G59" s="1217">
        <v>464.1</v>
      </c>
    </row>
    <row r="60" spans="1:7">
      <c r="A60" s="78"/>
      <c r="B60" s="69">
        <v>41425</v>
      </c>
      <c r="C60" s="1671">
        <v>41425</v>
      </c>
      <c r="D60" s="1672"/>
      <c r="E60" s="1672"/>
      <c r="F60" s="74">
        <v>165.7</v>
      </c>
      <c r="G60" s="1217">
        <v>463.3</v>
      </c>
    </row>
    <row r="61" spans="1:7">
      <c r="A61" s="78"/>
      <c r="B61" s="69">
        <v>41455</v>
      </c>
      <c r="C61" s="1671">
        <v>41455</v>
      </c>
      <c r="D61" s="1672"/>
      <c r="E61" s="1672"/>
      <c r="F61" s="74">
        <v>168.2</v>
      </c>
      <c r="G61" s="1217">
        <v>465.2</v>
      </c>
    </row>
    <row r="62" spans="1:7">
      <c r="A62" s="78"/>
      <c r="B62" s="69">
        <v>41486</v>
      </c>
      <c r="C62" s="1671">
        <v>41486</v>
      </c>
      <c r="D62" s="1672"/>
      <c r="E62" s="1672"/>
      <c r="F62" s="74">
        <v>170.8</v>
      </c>
      <c r="G62" s="1217">
        <v>471.5</v>
      </c>
    </row>
    <row r="63" spans="1:7">
      <c r="A63" s="78"/>
      <c r="B63" s="69">
        <v>41517</v>
      </c>
      <c r="C63" s="1671">
        <v>41517</v>
      </c>
      <c r="D63" s="1672"/>
      <c r="E63" s="1672"/>
      <c r="F63" s="74">
        <v>173.3</v>
      </c>
      <c r="G63" s="1217">
        <v>472.9</v>
      </c>
    </row>
    <row r="64" spans="1:7">
      <c r="A64" s="78"/>
      <c r="B64" s="69">
        <v>41547</v>
      </c>
      <c r="C64" s="1671">
        <v>41547</v>
      </c>
      <c r="D64" s="1672"/>
      <c r="E64" s="1672"/>
      <c r="F64" s="74">
        <v>172.8</v>
      </c>
      <c r="G64" s="1217">
        <v>475.5</v>
      </c>
    </row>
    <row r="65" spans="1:7">
      <c r="A65" s="78"/>
      <c r="B65" s="69">
        <v>41578</v>
      </c>
      <c r="C65" s="1671">
        <v>41578</v>
      </c>
      <c r="D65" s="1672"/>
      <c r="E65" s="1672"/>
      <c r="F65" s="74">
        <v>172.3</v>
      </c>
      <c r="G65" s="1217">
        <v>476.8</v>
      </c>
    </row>
    <row r="66" spans="1:7">
      <c r="A66" s="78"/>
      <c r="B66" s="69">
        <v>41608</v>
      </c>
      <c r="C66" s="1671">
        <v>41608</v>
      </c>
      <c r="D66" s="1672"/>
      <c r="E66" s="1672"/>
      <c r="F66" s="74">
        <v>171.8</v>
      </c>
      <c r="G66" s="1217">
        <v>477.2</v>
      </c>
    </row>
    <row r="67" spans="1:7">
      <c r="A67" s="79"/>
      <c r="B67" s="1155">
        <v>41639</v>
      </c>
      <c r="C67" s="1671">
        <v>41639</v>
      </c>
      <c r="D67" s="1672"/>
      <c r="E67" s="1672"/>
      <c r="F67" s="75">
        <v>174.3</v>
      </c>
      <c r="G67" s="1218">
        <v>478.2</v>
      </c>
    </row>
    <row r="68" spans="1:7">
      <c r="A68" s="77">
        <v>2014</v>
      </c>
      <c r="B68" s="69">
        <v>41670</v>
      </c>
      <c r="C68" s="1671">
        <v>41670</v>
      </c>
      <c r="D68" s="1672"/>
      <c r="E68" s="1673"/>
      <c r="F68" s="74">
        <v>176.7</v>
      </c>
      <c r="G68" s="1217">
        <v>482.5</v>
      </c>
    </row>
    <row r="69" spans="1:7">
      <c r="A69" s="78"/>
      <c r="B69" s="69">
        <v>41698</v>
      </c>
      <c r="C69" s="1671">
        <v>41698</v>
      </c>
      <c r="D69" s="1672"/>
      <c r="E69" s="1673"/>
      <c r="F69" s="74" t="s">
        <v>477</v>
      </c>
      <c r="G69" s="1217">
        <v>490.6</v>
      </c>
    </row>
    <row r="70" spans="1:7">
      <c r="A70" s="78"/>
      <c r="B70" s="69">
        <v>41729</v>
      </c>
      <c r="C70" s="1671">
        <v>41729</v>
      </c>
      <c r="D70" s="1672"/>
      <c r="E70" s="1673"/>
      <c r="F70" s="74">
        <v>181.7</v>
      </c>
      <c r="G70" s="1217">
        <v>495.4</v>
      </c>
    </row>
    <row r="71" spans="1:7">
      <c r="A71" s="78"/>
      <c r="B71" s="69">
        <v>41759</v>
      </c>
      <c r="C71" s="1671">
        <v>41759</v>
      </c>
      <c r="D71" s="1672"/>
      <c r="E71" s="1673"/>
      <c r="F71" s="74">
        <v>184.1</v>
      </c>
      <c r="G71" s="1217">
        <v>495.1</v>
      </c>
    </row>
    <row r="72" spans="1:7">
      <c r="A72" s="78"/>
      <c r="B72" s="69">
        <v>41790</v>
      </c>
      <c r="C72" s="1671">
        <v>41790</v>
      </c>
      <c r="D72" s="1672"/>
      <c r="E72" s="1673"/>
      <c r="F72" s="74">
        <v>186.6</v>
      </c>
      <c r="G72" s="1217">
        <v>495.7</v>
      </c>
    </row>
    <row r="73" spans="1:7">
      <c r="A73" s="78"/>
      <c r="B73" s="69">
        <v>41820</v>
      </c>
      <c r="C73" s="1671">
        <v>41820</v>
      </c>
      <c r="D73" s="1672"/>
      <c r="E73" s="1673"/>
      <c r="F73" s="74">
        <v>188.1</v>
      </c>
      <c r="G73" s="1217">
        <v>497.3</v>
      </c>
    </row>
    <row r="74" spans="1:7">
      <c r="A74" s="78"/>
      <c r="B74" s="69">
        <v>41851</v>
      </c>
      <c r="C74" s="1671">
        <v>41851</v>
      </c>
      <c r="D74" s="1672"/>
      <c r="E74" s="1673"/>
      <c r="F74" s="74">
        <v>189.7</v>
      </c>
      <c r="G74" s="1217">
        <v>502.5</v>
      </c>
    </row>
    <row r="75" spans="1:7">
      <c r="A75" s="78"/>
      <c r="B75" s="69">
        <v>41882</v>
      </c>
      <c r="C75" s="1671">
        <v>41882</v>
      </c>
      <c r="D75" s="1672"/>
      <c r="E75" s="1673"/>
      <c r="F75" s="74">
        <v>191.2</v>
      </c>
      <c r="G75" s="1217">
        <v>504.6</v>
      </c>
    </row>
    <row r="76" spans="1:7">
      <c r="A76" s="78"/>
      <c r="B76" s="69">
        <v>41912</v>
      </c>
      <c r="C76" s="1671">
        <v>41912</v>
      </c>
      <c r="D76" s="1672"/>
      <c r="E76" s="1673"/>
      <c r="F76" s="74">
        <v>192.2</v>
      </c>
      <c r="G76" s="1217">
        <v>505.5</v>
      </c>
    </row>
    <row r="77" spans="1:7">
      <c r="A77" s="78"/>
      <c r="B77" s="69">
        <v>41943</v>
      </c>
      <c r="C77" s="1671">
        <v>41943</v>
      </c>
      <c r="D77" s="1672"/>
      <c r="E77" s="1673"/>
      <c r="F77" s="74">
        <v>193.1</v>
      </c>
      <c r="G77" s="1217">
        <v>507.6</v>
      </c>
    </row>
    <row r="78" spans="1:7">
      <c r="A78" s="78"/>
      <c r="B78" s="69">
        <v>41973</v>
      </c>
      <c r="C78" s="1671">
        <v>41973</v>
      </c>
      <c r="D78" s="1672"/>
      <c r="E78" s="1673"/>
      <c r="F78" s="74">
        <v>194.1</v>
      </c>
      <c r="G78" s="1217">
        <v>507.3</v>
      </c>
    </row>
    <row r="79" spans="1:7">
      <c r="A79" s="79"/>
      <c r="B79" s="1155">
        <v>42004</v>
      </c>
      <c r="C79" s="1671">
        <v>42004</v>
      </c>
      <c r="D79" s="1672"/>
      <c r="E79" s="1673"/>
      <c r="F79" s="75">
        <v>195.6</v>
      </c>
      <c r="G79" s="1218">
        <v>506.6</v>
      </c>
    </row>
    <row r="80" spans="1:7">
      <c r="A80" s="77">
        <v>2015</v>
      </c>
      <c r="B80" s="69">
        <v>42035</v>
      </c>
      <c r="C80" s="1671">
        <v>42035</v>
      </c>
      <c r="D80" s="1672"/>
      <c r="E80" s="1673"/>
      <c r="F80" s="74">
        <v>196.9</v>
      </c>
      <c r="G80" s="1217">
        <v>506.7</v>
      </c>
    </row>
    <row r="81" spans="1:7">
      <c r="A81" s="78"/>
      <c r="B81" s="69">
        <v>42063</v>
      </c>
      <c r="C81" s="1671">
        <v>42063</v>
      </c>
      <c r="D81" s="1672"/>
      <c r="E81" s="1673"/>
      <c r="F81" s="74">
        <v>198.2</v>
      </c>
      <c r="G81" s="1217">
        <v>505.6</v>
      </c>
    </row>
    <row r="82" spans="1:7">
      <c r="A82" s="78"/>
      <c r="B82" s="69">
        <v>42094</v>
      </c>
      <c r="C82" s="1671">
        <v>42094</v>
      </c>
      <c r="D82" s="1672"/>
      <c r="E82" s="1673"/>
      <c r="F82" s="74">
        <v>195.9</v>
      </c>
      <c r="G82" s="1217">
        <v>508.2</v>
      </c>
    </row>
    <row r="83" spans="1:7">
      <c r="A83" s="78"/>
      <c r="B83" s="69">
        <v>42124</v>
      </c>
      <c r="C83" s="1671">
        <v>42124</v>
      </c>
      <c r="D83" s="1672"/>
      <c r="E83" s="1673"/>
      <c r="F83" s="74">
        <v>193.5</v>
      </c>
      <c r="G83" s="1217">
        <v>510.3</v>
      </c>
    </row>
    <row r="84" spans="1:7">
      <c r="A84" s="78"/>
      <c r="B84" s="69">
        <v>42155</v>
      </c>
      <c r="C84" s="1671">
        <v>42155</v>
      </c>
      <c r="D84" s="1672"/>
      <c r="E84" s="1673"/>
      <c r="F84" s="74">
        <v>191.2</v>
      </c>
      <c r="G84" s="1217">
        <v>510.3</v>
      </c>
    </row>
    <row r="85" spans="1:7">
      <c r="A85" s="78"/>
      <c r="B85" s="69">
        <v>42185</v>
      </c>
      <c r="C85" s="1671">
        <v>42185</v>
      </c>
      <c r="D85" s="1672"/>
      <c r="E85" s="1673"/>
      <c r="F85" s="74">
        <v>192.4</v>
      </c>
      <c r="G85" s="1217">
        <v>511.7</v>
      </c>
    </row>
    <row r="86" spans="1:7">
      <c r="A86" s="78"/>
      <c r="B86" s="69">
        <v>42216</v>
      </c>
      <c r="C86" s="1671">
        <v>42216</v>
      </c>
      <c r="D86" s="1672"/>
      <c r="E86" s="1673"/>
      <c r="F86" s="74">
        <v>193.6</v>
      </c>
      <c r="G86" s="1217">
        <v>514.9</v>
      </c>
    </row>
    <row r="87" spans="1:7">
      <c r="A87" s="78"/>
      <c r="B87" s="69">
        <v>42247</v>
      </c>
      <c r="C87" s="1671">
        <v>42247</v>
      </c>
      <c r="D87" s="1672"/>
      <c r="E87" s="1673"/>
      <c r="F87" s="74">
        <v>194.8</v>
      </c>
      <c r="G87" s="1217">
        <v>512.79999999999995</v>
      </c>
    </row>
    <row r="88" spans="1:7">
      <c r="A88" s="78"/>
      <c r="B88" s="69">
        <v>42277</v>
      </c>
      <c r="C88" s="1671">
        <v>42277</v>
      </c>
      <c r="D88" s="1672"/>
      <c r="E88" s="1673"/>
      <c r="F88" s="74">
        <v>194.4</v>
      </c>
      <c r="G88" s="1217">
        <v>512.29999999999995</v>
      </c>
    </row>
    <row r="89" spans="1:7">
      <c r="A89" s="78"/>
      <c r="B89" s="69">
        <v>42308</v>
      </c>
      <c r="C89" s="1671">
        <v>42308</v>
      </c>
      <c r="D89" s="1672"/>
      <c r="E89" s="1673"/>
      <c r="F89" s="74">
        <v>194.1</v>
      </c>
      <c r="G89" s="1217">
        <v>515.29999999999995</v>
      </c>
    </row>
    <row r="90" spans="1:7">
      <c r="A90" s="78"/>
      <c r="B90" s="69">
        <v>42338</v>
      </c>
      <c r="C90" s="1671">
        <v>42338</v>
      </c>
      <c r="D90" s="1672"/>
      <c r="E90" s="1673"/>
      <c r="F90" s="74">
        <v>193.7</v>
      </c>
      <c r="G90" s="1217">
        <v>515.5</v>
      </c>
    </row>
    <row r="91" spans="1:7">
      <c r="A91" s="79"/>
      <c r="B91" s="1155">
        <v>42369</v>
      </c>
      <c r="C91" s="1671">
        <v>42369</v>
      </c>
      <c r="D91" s="1672"/>
      <c r="E91" s="1673"/>
      <c r="F91" s="75">
        <v>196</v>
      </c>
      <c r="G91" s="1218">
        <v>515.9</v>
      </c>
    </row>
    <row r="92" spans="1:7">
      <c r="A92" s="77">
        <v>2016</v>
      </c>
      <c r="B92" s="69">
        <v>42400</v>
      </c>
      <c r="C92" s="1671">
        <v>42400</v>
      </c>
      <c r="D92" s="1672"/>
      <c r="E92" s="1673"/>
      <c r="F92" s="74">
        <v>198.4</v>
      </c>
      <c r="G92" s="1217">
        <v>521.5</v>
      </c>
    </row>
    <row r="93" spans="1:7">
      <c r="A93" s="78"/>
      <c r="B93" s="69">
        <v>42429</v>
      </c>
      <c r="C93" s="1671">
        <v>42429</v>
      </c>
      <c r="D93" s="1672"/>
      <c r="E93" s="1673"/>
      <c r="F93" s="74">
        <v>200.7</v>
      </c>
      <c r="G93" s="1217">
        <v>531.79999999999995</v>
      </c>
    </row>
    <row r="94" spans="1:7">
      <c r="A94" s="78"/>
      <c r="B94" s="69">
        <v>42460</v>
      </c>
      <c r="C94" s="1671">
        <v>42460</v>
      </c>
      <c r="D94" s="1672"/>
      <c r="E94" s="1673"/>
      <c r="F94" s="74">
        <v>200.3</v>
      </c>
      <c r="G94" s="1217">
        <v>533</v>
      </c>
    </row>
    <row r="95" spans="1:7">
      <c r="A95" s="78"/>
      <c r="B95" s="69">
        <v>42490</v>
      </c>
      <c r="C95" s="1671">
        <v>42490</v>
      </c>
      <c r="D95" s="1672"/>
      <c r="E95" s="1673"/>
      <c r="F95" s="74">
        <v>199.8</v>
      </c>
      <c r="G95" s="1217">
        <v>538.5</v>
      </c>
    </row>
    <row r="96" spans="1:7">
      <c r="A96" s="78"/>
      <c r="B96" s="69">
        <v>42521</v>
      </c>
      <c r="C96" s="1671">
        <v>42521</v>
      </c>
      <c r="D96" s="1672"/>
      <c r="E96" s="1673"/>
      <c r="F96" s="74">
        <v>199.4</v>
      </c>
      <c r="G96" s="1217">
        <v>544.70000000000005</v>
      </c>
    </row>
    <row r="97" spans="1:7">
      <c r="A97" s="78"/>
      <c r="B97" s="69">
        <v>42551</v>
      </c>
      <c r="C97" s="1671">
        <v>42551</v>
      </c>
      <c r="D97" s="1672"/>
      <c r="E97" s="1673"/>
      <c r="F97" s="74">
        <v>200.9</v>
      </c>
      <c r="G97" s="1217">
        <v>546.9</v>
      </c>
    </row>
    <row r="98" spans="1:7">
      <c r="A98" s="78"/>
      <c r="B98" s="69">
        <v>42582</v>
      </c>
      <c r="C98" s="1671">
        <v>42582</v>
      </c>
      <c r="D98" s="1672"/>
      <c r="E98" s="1673"/>
      <c r="F98" s="74">
        <v>202.5</v>
      </c>
      <c r="G98" s="1217">
        <v>551.9</v>
      </c>
    </row>
    <row r="99" spans="1:7">
      <c r="A99" s="78"/>
      <c r="B99" s="69">
        <v>42613</v>
      </c>
      <c r="C99" s="1671">
        <v>42613</v>
      </c>
      <c r="D99" s="1672"/>
      <c r="E99" s="1673"/>
      <c r="F99" s="74">
        <v>4</v>
      </c>
      <c r="G99" s="1217">
        <v>553.29999999999995</v>
      </c>
    </row>
    <row r="100" spans="1:7">
      <c r="A100" s="78"/>
      <c r="B100" s="69">
        <v>42643</v>
      </c>
      <c r="C100" s="1671">
        <v>42643</v>
      </c>
      <c r="D100" s="1672"/>
      <c r="E100" s="1673"/>
      <c r="F100" s="74">
        <v>205.7</v>
      </c>
      <c r="G100" s="1217">
        <v>557.29999999999995</v>
      </c>
    </row>
    <row r="101" spans="1:7">
      <c r="A101" s="78"/>
      <c r="B101" s="69">
        <v>42674</v>
      </c>
      <c r="C101" s="1671">
        <v>42674</v>
      </c>
      <c r="D101" s="1672"/>
      <c r="E101" s="1673"/>
      <c r="F101" s="74">
        <v>207.3</v>
      </c>
      <c r="G101" s="1217">
        <v>559.1</v>
      </c>
    </row>
    <row r="102" spans="1:7">
      <c r="A102" s="78"/>
      <c r="B102" s="69">
        <v>42704</v>
      </c>
      <c r="C102" s="1671">
        <v>42704</v>
      </c>
      <c r="D102" s="1672"/>
      <c r="E102" s="1673"/>
      <c r="F102" s="74">
        <v>209</v>
      </c>
      <c r="G102" s="1217">
        <v>560.4</v>
      </c>
    </row>
    <row r="103" spans="1:7">
      <c r="A103" s="79"/>
      <c r="B103" s="1155">
        <v>42735</v>
      </c>
      <c r="C103" s="1671">
        <v>42735</v>
      </c>
      <c r="D103" s="1672"/>
      <c r="E103" s="1673"/>
      <c r="F103" s="75">
        <v>210.3</v>
      </c>
      <c r="G103" s="1218">
        <v>561.20000000000005</v>
      </c>
    </row>
    <row r="104" spans="1:7">
      <c r="A104" s="77">
        <v>2017</v>
      </c>
      <c r="B104" s="69">
        <v>42766</v>
      </c>
      <c r="C104" s="1671">
        <v>42766</v>
      </c>
      <c r="D104" s="1672"/>
      <c r="E104" s="1673"/>
      <c r="F104" s="74">
        <v>211.7</v>
      </c>
      <c r="G104" s="1217">
        <v>566.20000000000005</v>
      </c>
    </row>
    <row r="105" spans="1:7">
      <c r="A105" s="78"/>
      <c r="B105" s="69">
        <v>42794</v>
      </c>
      <c r="C105" s="1671">
        <v>42794</v>
      </c>
      <c r="D105" s="1672"/>
      <c r="E105" s="1673"/>
      <c r="F105" s="74">
        <v>213</v>
      </c>
      <c r="G105" s="1217">
        <v>569.1</v>
      </c>
    </row>
    <row r="106" spans="1:7">
      <c r="A106" s="78"/>
      <c r="B106" s="69">
        <v>42825</v>
      </c>
      <c r="C106" s="1671">
        <v>42825</v>
      </c>
      <c r="D106" s="1672"/>
      <c r="E106" s="1673"/>
      <c r="F106" s="74">
        <v>215</v>
      </c>
      <c r="G106" s="1217">
        <v>572.20000000000005</v>
      </c>
    </row>
    <row r="107" spans="1:7">
      <c r="A107" s="78"/>
      <c r="B107" s="69">
        <v>42855</v>
      </c>
      <c r="C107" s="1671">
        <v>42855</v>
      </c>
      <c r="D107" s="1672"/>
      <c r="E107" s="1673"/>
      <c r="F107" s="74">
        <v>217</v>
      </c>
      <c r="G107" s="1217">
        <v>575.6</v>
      </c>
    </row>
    <row r="108" spans="1:7">
      <c r="A108" s="78"/>
      <c r="B108" s="69">
        <v>42886</v>
      </c>
      <c r="C108" s="1671">
        <v>42886</v>
      </c>
      <c r="D108" s="1672"/>
      <c r="E108" s="1673"/>
      <c r="F108" s="74">
        <v>219</v>
      </c>
      <c r="G108" s="1217">
        <v>579.20000000000005</v>
      </c>
    </row>
    <row r="109" spans="1:7">
      <c r="A109" s="78"/>
      <c r="B109" s="69">
        <v>42916</v>
      </c>
      <c r="C109" s="1671">
        <v>42916</v>
      </c>
      <c r="D109" s="1672"/>
      <c r="E109" s="1673"/>
      <c r="F109" s="74">
        <v>220</v>
      </c>
      <c r="G109" s="1217">
        <v>581.29999999999995</v>
      </c>
    </row>
    <row r="110" spans="1:7">
      <c r="A110" s="78"/>
      <c r="B110" s="69">
        <v>42947</v>
      </c>
      <c r="C110" s="1671">
        <v>42947</v>
      </c>
      <c r="D110" s="1672"/>
      <c r="E110" s="1673"/>
      <c r="F110" s="74">
        <v>221</v>
      </c>
      <c r="G110" s="1217">
        <v>584.5</v>
      </c>
    </row>
    <row r="111" spans="1:7">
      <c r="A111" s="78"/>
      <c r="B111" s="69">
        <v>42978</v>
      </c>
      <c r="C111" s="1671">
        <v>42978</v>
      </c>
      <c r="D111" s="1672"/>
      <c r="E111" s="1673"/>
      <c r="F111" s="74">
        <v>222</v>
      </c>
      <c r="G111" s="1217">
        <v>585.29999999999995</v>
      </c>
    </row>
    <row r="112" spans="1:7">
      <c r="A112" s="78"/>
      <c r="B112" s="69">
        <v>43008</v>
      </c>
      <c r="C112" s="1671">
        <v>43008</v>
      </c>
      <c r="D112" s="1672"/>
      <c r="E112" s="1673"/>
      <c r="F112" s="74">
        <v>224</v>
      </c>
      <c r="G112" s="1217">
        <v>587.29999999999995</v>
      </c>
    </row>
    <row r="113" spans="1:7">
      <c r="A113" s="78"/>
      <c r="B113" s="69">
        <v>43039</v>
      </c>
      <c r="C113" s="1671">
        <v>43039</v>
      </c>
      <c r="D113" s="1672"/>
      <c r="E113" s="1673"/>
      <c r="F113" s="74">
        <v>226</v>
      </c>
      <c r="G113" s="1217">
        <v>589.29999999999995</v>
      </c>
    </row>
    <row r="114" spans="1:7">
      <c r="A114" s="78"/>
      <c r="B114" s="69">
        <v>43069</v>
      </c>
      <c r="C114" s="1671">
        <v>43069</v>
      </c>
      <c r="D114" s="1672"/>
      <c r="E114" s="1673"/>
      <c r="F114" s="74">
        <v>228</v>
      </c>
      <c r="G114" s="1217">
        <v>591.4</v>
      </c>
    </row>
    <row r="115" spans="1:7">
      <c r="A115" s="79"/>
      <c r="B115" s="1155">
        <v>43100</v>
      </c>
      <c r="C115" s="1671">
        <v>43100</v>
      </c>
      <c r="D115" s="1672"/>
      <c r="E115" s="1673"/>
      <c r="F115" s="74">
        <v>229.3</v>
      </c>
      <c r="G115" s="1217">
        <v>592.20000000000005</v>
      </c>
    </row>
    <row r="116" spans="1:7">
      <c r="A116" s="77">
        <v>2018</v>
      </c>
      <c r="B116" s="69">
        <v>43131</v>
      </c>
      <c r="C116" s="1671">
        <v>43131</v>
      </c>
      <c r="D116" s="1672"/>
      <c r="E116" s="1672"/>
      <c r="F116" s="73">
        <v>226.9</v>
      </c>
      <c r="G116" s="1216">
        <v>594.1</v>
      </c>
    </row>
    <row r="117" spans="1:7">
      <c r="A117" s="78"/>
      <c r="B117" s="69">
        <v>43159</v>
      </c>
      <c r="C117" s="1671">
        <v>43159</v>
      </c>
      <c r="D117" s="1672"/>
      <c r="E117" s="1672"/>
      <c r="F117" s="74">
        <v>230.8</v>
      </c>
      <c r="G117" s="1217">
        <v>595.70000000000005</v>
      </c>
    </row>
    <row r="118" spans="1:7">
      <c r="A118" s="78"/>
      <c r="B118" s="69">
        <v>43190</v>
      </c>
      <c r="C118" s="1671">
        <v>43190</v>
      </c>
      <c r="D118" s="1672"/>
      <c r="E118" s="1672"/>
      <c r="F118" s="74">
        <v>230</v>
      </c>
      <c r="G118" s="1217">
        <v>598.6</v>
      </c>
    </row>
    <row r="119" spans="1:7">
      <c r="A119" s="78"/>
      <c r="B119" s="69">
        <v>43220</v>
      </c>
      <c r="C119" s="1671">
        <v>43220</v>
      </c>
      <c r="D119" s="1672"/>
      <c r="E119" s="1672"/>
      <c r="F119" s="74">
        <v>229.2</v>
      </c>
      <c r="G119" s="1217">
        <v>601.6</v>
      </c>
    </row>
    <row r="120" spans="1:7">
      <c r="A120" s="78"/>
      <c r="B120" s="69">
        <v>43251</v>
      </c>
      <c r="C120" s="1671">
        <v>43251</v>
      </c>
      <c r="D120" s="1672"/>
      <c r="E120" s="1672"/>
      <c r="F120" s="74">
        <v>228.4</v>
      </c>
      <c r="G120" s="1217">
        <v>605.70000000000005</v>
      </c>
    </row>
    <row r="121" spans="1:7">
      <c r="A121" s="78"/>
      <c r="B121" s="69">
        <v>43281</v>
      </c>
      <c r="C121" s="1671">
        <v>43281</v>
      </c>
      <c r="D121" s="1672"/>
      <c r="E121" s="1672"/>
      <c r="F121" s="74">
        <v>230.9</v>
      </c>
      <c r="G121" s="1217">
        <v>608.6</v>
      </c>
    </row>
    <row r="122" spans="1:7">
      <c r="A122" s="78"/>
      <c r="B122" s="69">
        <v>43312</v>
      </c>
      <c r="C122" s="1671">
        <v>43312</v>
      </c>
      <c r="D122" s="1672"/>
      <c r="E122" s="1672"/>
      <c r="F122" s="74">
        <v>233.4</v>
      </c>
      <c r="G122" s="1217">
        <v>612.20000000000005</v>
      </c>
    </row>
    <row r="123" spans="1:7">
      <c r="A123" s="78"/>
      <c r="B123" s="69">
        <v>43343</v>
      </c>
      <c r="C123" s="1671">
        <v>43343</v>
      </c>
      <c r="D123" s="1672"/>
      <c r="E123" s="1672"/>
      <c r="F123" s="74">
        <v>235.9</v>
      </c>
      <c r="G123" s="1217">
        <v>613.5</v>
      </c>
    </row>
    <row r="124" spans="1:7">
      <c r="A124" s="78"/>
      <c r="B124" s="69">
        <v>43373</v>
      </c>
      <c r="C124" s="1671">
        <v>43373</v>
      </c>
      <c r="D124" s="1672"/>
      <c r="E124" s="1672"/>
      <c r="F124" s="74">
        <v>233.8</v>
      </c>
      <c r="G124" s="1217">
        <v>616.20000000000005</v>
      </c>
    </row>
    <row r="125" spans="1:7">
      <c r="A125" s="78"/>
      <c r="B125" s="69">
        <v>43404</v>
      </c>
      <c r="C125" s="1671">
        <v>43404</v>
      </c>
      <c r="D125" s="1672"/>
      <c r="E125" s="1672"/>
      <c r="F125" s="74">
        <v>231.8</v>
      </c>
      <c r="G125" s="1217">
        <v>619</v>
      </c>
    </row>
    <row r="126" spans="1:7">
      <c r="A126" s="78"/>
      <c r="B126" s="69">
        <v>43434</v>
      </c>
      <c r="C126" s="1671">
        <v>43434</v>
      </c>
      <c r="D126" s="1672"/>
      <c r="E126" s="1672"/>
      <c r="F126" s="74">
        <v>229.7</v>
      </c>
      <c r="G126" s="1217">
        <v>621.9</v>
      </c>
    </row>
    <row r="127" spans="1:7">
      <c r="A127" s="79"/>
      <c r="B127" s="1155">
        <v>43465</v>
      </c>
      <c r="C127" s="1671">
        <v>43465</v>
      </c>
      <c r="D127" s="1672"/>
      <c r="E127" s="1672"/>
      <c r="F127" s="75">
        <v>236.1</v>
      </c>
      <c r="G127" s="1218">
        <v>622.70000000000005</v>
      </c>
    </row>
    <row r="128" spans="1:7">
      <c r="A128" s="77">
        <v>2019</v>
      </c>
      <c r="B128" s="69">
        <v>43496</v>
      </c>
      <c r="C128" s="1671">
        <v>43496</v>
      </c>
      <c r="D128" s="1672"/>
      <c r="E128" s="1672"/>
      <c r="F128" s="73">
        <v>113.4</v>
      </c>
      <c r="G128" s="1216">
        <v>110.2</v>
      </c>
    </row>
    <row r="129" spans="1:7">
      <c r="A129" s="78"/>
      <c r="B129" s="69">
        <v>43524</v>
      </c>
      <c r="C129" s="1671">
        <v>43524</v>
      </c>
      <c r="D129" s="1672"/>
      <c r="E129" s="1672"/>
      <c r="F129" s="74">
        <v>114.6</v>
      </c>
      <c r="G129" s="1217">
        <v>110.6</v>
      </c>
    </row>
    <row r="130" spans="1:7">
      <c r="A130" s="78"/>
      <c r="B130" s="69">
        <v>43555</v>
      </c>
      <c r="C130" s="1671">
        <v>43555</v>
      </c>
      <c r="D130" s="1672"/>
      <c r="E130" s="1672"/>
      <c r="F130" s="74">
        <v>115</v>
      </c>
      <c r="G130" s="1217">
        <v>111.8</v>
      </c>
    </row>
    <row r="131" spans="1:7">
      <c r="A131" s="78"/>
      <c r="B131" s="69">
        <v>43585</v>
      </c>
      <c r="C131" s="1671">
        <v>43585</v>
      </c>
      <c r="D131" s="1672"/>
      <c r="E131" s="1672"/>
      <c r="F131" s="74">
        <v>115.4</v>
      </c>
      <c r="G131" s="1217">
        <v>112.6</v>
      </c>
    </row>
    <row r="132" spans="1:7">
      <c r="A132" s="78"/>
      <c r="B132" s="69">
        <v>43616</v>
      </c>
      <c r="C132" s="1671">
        <v>43616</v>
      </c>
      <c r="D132" s="1672"/>
      <c r="E132" s="1672"/>
      <c r="F132" s="74">
        <v>115.9</v>
      </c>
      <c r="G132" s="1217">
        <v>112.9</v>
      </c>
    </row>
    <row r="133" spans="1:7">
      <c r="A133" s="78"/>
      <c r="B133" s="69">
        <v>43646</v>
      </c>
      <c r="C133" s="1671">
        <v>43646</v>
      </c>
      <c r="D133" s="1672"/>
      <c r="E133" s="1672"/>
      <c r="F133" s="74">
        <v>116</v>
      </c>
      <c r="G133" s="1217">
        <v>112.5</v>
      </c>
    </row>
    <row r="134" spans="1:7">
      <c r="A134" s="78"/>
      <c r="B134" s="69">
        <v>43677</v>
      </c>
      <c r="C134" s="1671">
        <v>43677</v>
      </c>
      <c r="D134" s="1672"/>
      <c r="E134" s="1672"/>
      <c r="F134" s="74">
        <v>116.1</v>
      </c>
      <c r="G134" s="1217">
        <v>112.9</v>
      </c>
    </row>
    <row r="135" spans="1:7">
      <c r="A135" s="78"/>
      <c r="B135" s="69">
        <v>43708</v>
      </c>
      <c r="C135" s="1671">
        <v>43708</v>
      </c>
      <c r="D135" s="1672"/>
      <c r="E135" s="1672"/>
      <c r="F135" s="74">
        <v>116.2</v>
      </c>
      <c r="G135" s="1217">
        <v>113.4</v>
      </c>
    </row>
    <row r="136" spans="1:7">
      <c r="A136" s="78"/>
      <c r="B136" s="69">
        <v>43738</v>
      </c>
      <c r="C136" s="1671">
        <v>43738</v>
      </c>
      <c r="D136" s="1672"/>
      <c r="E136" s="1672"/>
      <c r="F136" s="74">
        <v>116.1</v>
      </c>
      <c r="G136" s="1217">
        <v>113.9</v>
      </c>
    </row>
    <row r="137" spans="1:7">
      <c r="A137" s="78"/>
      <c r="B137" s="69">
        <v>43769</v>
      </c>
      <c r="C137" s="1671">
        <v>43769</v>
      </c>
      <c r="D137" s="1672"/>
      <c r="E137" s="1672"/>
      <c r="F137" s="74">
        <v>116.1</v>
      </c>
      <c r="G137" s="1217">
        <v>114.1</v>
      </c>
    </row>
    <row r="138" spans="1:7">
      <c r="A138" s="78"/>
      <c r="B138" s="69">
        <v>43799</v>
      </c>
      <c r="C138" s="1671">
        <v>43799</v>
      </c>
      <c r="D138" s="1672"/>
      <c r="E138" s="1672"/>
      <c r="F138" s="74">
        <v>116</v>
      </c>
      <c r="G138" s="1217">
        <v>113.9</v>
      </c>
    </row>
    <row r="139" spans="1:7">
      <c r="A139" s="79"/>
      <c r="B139" s="1155">
        <v>43830</v>
      </c>
      <c r="C139" s="1671">
        <v>43830</v>
      </c>
      <c r="D139" s="1672"/>
      <c r="E139" s="1672"/>
      <c r="F139" s="75">
        <v>117.1</v>
      </c>
      <c r="G139" s="1218">
        <v>113.9</v>
      </c>
    </row>
    <row r="140" spans="1:7">
      <c r="A140" s="77">
        <v>2020</v>
      </c>
      <c r="B140" s="69">
        <v>43861</v>
      </c>
      <c r="C140" s="1671">
        <v>43861</v>
      </c>
      <c r="D140" s="1672"/>
      <c r="E140" s="1672"/>
      <c r="F140" s="73">
        <v>116</v>
      </c>
      <c r="G140" s="1217">
        <v>114.2</v>
      </c>
    </row>
    <row r="141" spans="1:7">
      <c r="A141" s="78"/>
      <c r="B141" s="69">
        <v>43890</v>
      </c>
      <c r="C141" s="1671">
        <v>43890</v>
      </c>
      <c r="D141" s="1672"/>
      <c r="E141" s="1672"/>
      <c r="F141" s="74">
        <v>116.1</v>
      </c>
      <c r="G141" s="1217">
        <v>114.6</v>
      </c>
    </row>
    <row r="142" spans="1:7">
      <c r="A142" s="78"/>
      <c r="B142" s="69">
        <v>43921</v>
      </c>
      <c r="C142" s="1671">
        <v>43921</v>
      </c>
      <c r="D142" s="1672"/>
      <c r="E142" s="1672"/>
      <c r="F142" s="74">
        <v>116</v>
      </c>
      <c r="G142" s="1217">
        <v>114.2</v>
      </c>
    </row>
    <row r="143" spans="1:7">
      <c r="A143" s="78"/>
      <c r="B143" s="69">
        <v>43951</v>
      </c>
      <c r="C143" s="1671">
        <v>43951</v>
      </c>
      <c r="D143" s="1672"/>
      <c r="E143" s="1672"/>
      <c r="F143" s="74">
        <v>115.8</v>
      </c>
      <c r="G143" s="1217">
        <v>113.6</v>
      </c>
    </row>
    <row r="144" spans="1:7">
      <c r="A144" s="78"/>
      <c r="B144" s="69">
        <v>43982</v>
      </c>
      <c r="C144" s="1671">
        <v>43982</v>
      </c>
      <c r="D144" s="1672"/>
      <c r="E144" s="1672"/>
      <c r="F144" s="74">
        <v>115.6</v>
      </c>
      <c r="G144" s="1217">
        <v>113.8</v>
      </c>
    </row>
    <row r="145" spans="1:7">
      <c r="A145" s="78"/>
      <c r="B145" s="69">
        <v>44012</v>
      </c>
      <c r="C145" s="1671">
        <v>44012</v>
      </c>
      <c r="D145" s="1672"/>
      <c r="E145" s="1672"/>
      <c r="F145" s="74">
        <v>117.2</v>
      </c>
      <c r="G145" s="1217">
        <v>114.4</v>
      </c>
    </row>
    <row r="146" spans="1:7">
      <c r="A146" s="78"/>
      <c r="B146" s="69">
        <v>44043</v>
      </c>
      <c r="C146" s="1671">
        <v>44043</v>
      </c>
      <c r="D146" s="1672"/>
      <c r="E146" s="1672"/>
      <c r="F146" s="74">
        <v>118.8</v>
      </c>
      <c r="G146" s="1217">
        <v>115.9</v>
      </c>
    </row>
    <row r="147" spans="1:7">
      <c r="A147" s="78"/>
      <c r="B147" s="69">
        <v>44074</v>
      </c>
      <c r="C147" s="1671">
        <v>44074</v>
      </c>
      <c r="D147" s="1672"/>
      <c r="E147" s="1672"/>
      <c r="F147" s="74">
        <v>120.4</v>
      </c>
      <c r="G147" s="1217">
        <v>117</v>
      </c>
    </row>
    <row r="148" spans="1:7">
      <c r="A148" s="78"/>
      <c r="B148" s="69">
        <v>44104</v>
      </c>
      <c r="C148" s="1671">
        <v>44104</v>
      </c>
      <c r="D148" s="1672"/>
      <c r="E148" s="1672"/>
      <c r="F148" s="74">
        <v>119.5</v>
      </c>
      <c r="G148" s="1217">
        <v>118.2</v>
      </c>
    </row>
    <row r="149" spans="1:7">
      <c r="A149" s="78"/>
      <c r="B149" s="69">
        <v>44135</v>
      </c>
      <c r="C149" s="1671">
        <v>44135</v>
      </c>
      <c r="D149" s="1672"/>
      <c r="E149" s="1672"/>
      <c r="F149" s="74">
        <v>118.2</v>
      </c>
      <c r="G149" s="1217">
        <v>119.3</v>
      </c>
    </row>
    <row r="150" spans="1:7">
      <c r="A150" s="78"/>
      <c r="B150" s="69">
        <v>44165</v>
      </c>
      <c r="C150" s="1671">
        <v>44165</v>
      </c>
      <c r="D150" s="1672"/>
      <c r="E150" s="1672"/>
      <c r="F150" s="74">
        <v>117.7</v>
      </c>
      <c r="G150" s="1217">
        <v>119.5</v>
      </c>
    </row>
    <row r="151" spans="1:7">
      <c r="A151" s="79"/>
      <c r="B151" s="1155">
        <v>44196</v>
      </c>
      <c r="C151" s="1671">
        <v>44196</v>
      </c>
      <c r="D151" s="1672"/>
      <c r="E151" s="1672"/>
      <c r="F151" s="75">
        <v>118.2</v>
      </c>
      <c r="G151" s="1218">
        <v>120.1</v>
      </c>
    </row>
    <row r="152" spans="1:7">
      <c r="A152" s="77">
        <v>2021</v>
      </c>
      <c r="B152" s="69">
        <v>44227</v>
      </c>
      <c r="C152" s="1671">
        <v>44227</v>
      </c>
      <c r="D152" s="1672"/>
      <c r="E152" s="1672"/>
      <c r="F152" s="73">
        <v>118.8</v>
      </c>
      <c r="G152" s="1216">
        <v>121</v>
      </c>
    </row>
    <row r="153" spans="1:7">
      <c r="A153" s="78"/>
      <c r="B153" s="69">
        <v>44255</v>
      </c>
      <c r="C153" s="1671">
        <v>44255</v>
      </c>
      <c r="D153" s="1672"/>
      <c r="E153" s="1672"/>
      <c r="F153" s="74">
        <v>119.3</v>
      </c>
      <c r="G153" s="1217">
        <v>123.4</v>
      </c>
    </row>
    <row r="154" spans="1:7">
      <c r="A154" s="78"/>
      <c r="B154" s="69">
        <v>44286</v>
      </c>
      <c r="C154" s="1671">
        <v>44286</v>
      </c>
      <c r="D154" s="1672"/>
      <c r="E154" s="1672"/>
      <c r="F154" s="74">
        <v>119.5</v>
      </c>
      <c r="G154" s="1217">
        <v>124.9</v>
      </c>
    </row>
    <row r="155" spans="1:7">
      <c r="A155" s="78"/>
      <c r="B155" s="69">
        <v>44316</v>
      </c>
      <c r="C155" s="1671">
        <v>44316</v>
      </c>
      <c r="D155" s="1672"/>
      <c r="E155" s="1672"/>
      <c r="F155" s="74">
        <v>119.7</v>
      </c>
      <c r="G155" s="1217">
        <v>126.9</v>
      </c>
    </row>
    <row r="156" spans="1:7">
      <c r="A156" s="78"/>
      <c r="B156" s="69">
        <v>44347</v>
      </c>
      <c r="C156" s="1671">
        <v>44347</v>
      </c>
      <c r="D156" s="1672"/>
      <c r="E156" s="1672"/>
      <c r="F156" s="74">
        <v>119.9</v>
      </c>
      <c r="G156" s="1217">
        <v>128.4</v>
      </c>
    </row>
    <row r="157" spans="1:7">
      <c r="A157" s="78"/>
      <c r="B157" s="69">
        <v>44377</v>
      </c>
      <c r="C157" s="1671">
        <v>44377</v>
      </c>
      <c r="D157" s="1672"/>
      <c r="E157" s="1672"/>
      <c r="F157" s="74">
        <v>120.5</v>
      </c>
      <c r="G157" s="1217">
        <v>130.80000000000001</v>
      </c>
    </row>
    <row r="158" spans="1:7">
      <c r="A158" s="78"/>
      <c r="B158" s="69">
        <v>44408</v>
      </c>
      <c r="C158" s="1671">
        <v>44408</v>
      </c>
      <c r="D158" s="1672"/>
      <c r="E158" s="1672"/>
      <c r="F158" s="74">
        <v>121.1</v>
      </c>
      <c r="G158" s="1217">
        <v>131.9</v>
      </c>
    </row>
    <row r="159" spans="1:7">
      <c r="A159" s="78"/>
      <c r="B159" s="69">
        <v>44439</v>
      </c>
      <c r="C159" s="1671">
        <v>44439</v>
      </c>
      <c r="D159" s="1672"/>
      <c r="E159" s="1672"/>
      <c r="F159" s="74">
        <v>121.8</v>
      </c>
      <c r="G159" s="1217">
        <v>132.4</v>
      </c>
    </row>
    <row r="160" spans="1:7">
      <c r="A160" s="78"/>
      <c r="B160" s="69">
        <v>44469</v>
      </c>
      <c r="C160" s="1671">
        <v>44469</v>
      </c>
      <c r="D160" s="1672"/>
      <c r="E160" s="1672"/>
      <c r="F160" s="74">
        <v>122.9</v>
      </c>
      <c r="G160" s="1217">
        <v>133.80000000000001</v>
      </c>
    </row>
    <row r="161" spans="1:7">
      <c r="A161" s="78"/>
      <c r="B161" s="69">
        <v>44500</v>
      </c>
      <c r="C161" s="1671">
        <v>44500</v>
      </c>
      <c r="D161" s="1672"/>
      <c r="E161" s="1672"/>
      <c r="F161" s="74">
        <v>124</v>
      </c>
      <c r="G161" s="1217">
        <v>134.5</v>
      </c>
    </row>
    <row r="162" spans="1:7">
      <c r="A162" s="78"/>
      <c r="B162" s="69">
        <v>44530</v>
      </c>
      <c r="C162" s="1671">
        <v>44530</v>
      </c>
      <c r="D162" s="1672"/>
      <c r="E162" s="1672"/>
      <c r="F162" s="74">
        <v>125.2</v>
      </c>
      <c r="G162" s="1217">
        <v>134.6</v>
      </c>
    </row>
    <row r="163" spans="1:7">
      <c r="A163" s="79"/>
      <c r="B163" s="1155">
        <v>44561</v>
      </c>
      <c r="C163" s="1671">
        <v>44561</v>
      </c>
      <c r="D163" s="1672"/>
      <c r="E163" s="1672"/>
      <c r="F163" s="75">
        <v>125.7</v>
      </c>
      <c r="G163" s="1218">
        <v>135.1</v>
      </c>
    </row>
    <row r="164" spans="1:7">
      <c r="A164" s="77">
        <v>2022</v>
      </c>
      <c r="B164" s="69">
        <v>44592</v>
      </c>
      <c r="C164" s="1671">
        <v>44592</v>
      </c>
      <c r="D164" s="1672"/>
      <c r="E164" s="1672"/>
      <c r="F164" s="74">
        <v>126.2</v>
      </c>
      <c r="G164" s="1216">
        <v>135.4</v>
      </c>
    </row>
    <row r="165" spans="1:7">
      <c r="A165" s="78"/>
      <c r="B165" s="69">
        <v>44620</v>
      </c>
      <c r="C165" s="1671">
        <v>44620</v>
      </c>
      <c r="D165" s="1672"/>
      <c r="E165" s="1672"/>
      <c r="F165" s="74">
        <v>126.7</v>
      </c>
      <c r="G165" s="1217">
        <v>136</v>
      </c>
    </row>
    <row r="166" spans="1:7">
      <c r="A166" s="78"/>
      <c r="B166" s="69">
        <v>44651</v>
      </c>
      <c r="C166" s="1671">
        <v>44651</v>
      </c>
      <c r="D166" s="1672"/>
      <c r="E166" s="1672"/>
      <c r="F166" s="74">
        <v>127.1</v>
      </c>
      <c r="G166" s="1217">
        <v>137.1</v>
      </c>
    </row>
    <row r="167" spans="1:7">
      <c r="A167" s="78"/>
      <c r="B167" s="69">
        <v>44681</v>
      </c>
      <c r="C167" s="1671">
        <v>44681</v>
      </c>
      <c r="D167" s="1672"/>
      <c r="E167" s="1672"/>
      <c r="F167" s="74">
        <v>127.6</v>
      </c>
      <c r="G167" s="1217">
        <v>137.4</v>
      </c>
    </row>
    <row r="168" spans="1:7">
      <c r="A168" s="78"/>
      <c r="B168" s="69">
        <v>44712</v>
      </c>
      <c r="C168" s="1671">
        <v>44712</v>
      </c>
      <c r="D168" s="1672"/>
      <c r="E168" s="1672"/>
      <c r="F168" s="74">
        <v>128</v>
      </c>
      <c r="G168" s="1217">
        <v>137.69999999999999</v>
      </c>
    </row>
    <row r="169" spans="1:7">
      <c r="A169" s="78"/>
      <c r="B169" s="69">
        <v>44742</v>
      </c>
      <c r="C169" s="1671">
        <v>44742</v>
      </c>
      <c r="D169" s="1672"/>
      <c r="E169" s="1672"/>
      <c r="F169" s="74">
        <v>128.5</v>
      </c>
      <c r="G169" s="1217">
        <v>138.69999999999999</v>
      </c>
    </row>
    <row r="170" spans="1:7">
      <c r="A170" s="78"/>
      <c r="B170" s="69">
        <v>44773</v>
      </c>
      <c r="C170" s="1671">
        <v>44773</v>
      </c>
      <c r="D170" s="1672"/>
      <c r="E170" s="1672"/>
      <c r="F170" s="74">
        <v>128.9</v>
      </c>
      <c r="G170" s="1217">
        <v>139.19999999999999</v>
      </c>
    </row>
    <row r="171" spans="1:7">
      <c r="A171" s="78"/>
      <c r="B171" s="69">
        <v>44804</v>
      </c>
      <c r="C171" s="1671">
        <v>44804</v>
      </c>
      <c r="D171" s="1672"/>
      <c r="E171" s="1672"/>
      <c r="F171" s="74">
        <v>129.4</v>
      </c>
      <c r="G171" s="1217">
        <v>139.30000000000001</v>
      </c>
    </row>
    <row r="172" spans="1:7">
      <c r="A172" s="78"/>
      <c r="B172" s="69">
        <v>44834</v>
      </c>
      <c r="C172" s="1671">
        <v>44834</v>
      </c>
      <c r="D172" s="1672"/>
      <c r="E172" s="1672"/>
      <c r="F172" s="74">
        <v>130.5</v>
      </c>
      <c r="G172" s="1217">
        <v>140.4</v>
      </c>
    </row>
    <row r="173" spans="1:7">
      <c r="A173" s="78"/>
      <c r="B173" s="69">
        <v>44865</v>
      </c>
      <c r="C173" s="1671">
        <v>44865</v>
      </c>
      <c r="D173" s="1672"/>
      <c r="E173" s="1672"/>
      <c r="F173" s="74">
        <v>131.6</v>
      </c>
      <c r="G173" s="1217">
        <v>140.4</v>
      </c>
    </row>
    <row r="174" spans="1:7">
      <c r="A174" s="78"/>
      <c r="B174" s="69">
        <v>44895</v>
      </c>
      <c r="C174" s="1671">
        <v>44895</v>
      </c>
      <c r="D174" s="1672"/>
      <c r="E174" s="1672"/>
      <c r="F174" s="74">
        <v>132.69999999999999</v>
      </c>
      <c r="G174" s="1217">
        <v>140.6</v>
      </c>
    </row>
    <row r="175" spans="1:7">
      <c r="A175" s="79"/>
      <c r="B175" s="1155">
        <v>44926</v>
      </c>
      <c r="C175" s="1671">
        <v>44926</v>
      </c>
      <c r="D175" s="1672"/>
      <c r="E175" s="1672"/>
      <c r="F175" s="75">
        <v>133.4</v>
      </c>
      <c r="G175" s="1218">
        <v>140.9</v>
      </c>
    </row>
    <row r="176" spans="1:7">
      <c r="A176" s="77">
        <v>2023</v>
      </c>
      <c r="B176" s="69">
        <v>44957</v>
      </c>
      <c r="C176" s="1671">
        <v>44957</v>
      </c>
      <c r="D176" s="1672"/>
      <c r="E176" s="1672"/>
      <c r="F176" s="73">
        <v>134.19999999999999</v>
      </c>
      <c r="G176" s="1216">
        <v>141.30000000000001</v>
      </c>
    </row>
    <row r="177" spans="1:7">
      <c r="A177" s="78"/>
      <c r="B177" s="69">
        <v>44985</v>
      </c>
      <c r="C177" s="1671">
        <v>44985</v>
      </c>
      <c r="D177" s="1672"/>
      <c r="E177" s="1672"/>
      <c r="F177" s="74">
        <v>134.9</v>
      </c>
      <c r="G177" s="1217">
        <v>142.30000000000001</v>
      </c>
    </row>
    <row r="178" spans="1:7">
      <c r="A178" s="78"/>
      <c r="B178" s="69">
        <v>45016</v>
      </c>
      <c r="C178" s="1671">
        <v>45016</v>
      </c>
      <c r="D178" s="1672"/>
      <c r="E178" s="1672"/>
      <c r="F178" s="74">
        <v>135.4</v>
      </c>
      <c r="G178" s="1217">
        <v>143.4</v>
      </c>
    </row>
    <row r="179" spans="1:7">
      <c r="A179" s="78"/>
      <c r="B179" s="69">
        <v>45046</v>
      </c>
      <c r="C179" s="1671">
        <v>45046</v>
      </c>
      <c r="D179" s="1672"/>
      <c r="E179" s="1672"/>
      <c r="F179" s="74">
        <v>135.9</v>
      </c>
      <c r="G179" s="1217">
        <v>143.69999999999999</v>
      </c>
    </row>
    <row r="180" spans="1:7">
      <c r="A180" s="78"/>
      <c r="B180" s="69">
        <v>45077</v>
      </c>
      <c r="C180" s="1671">
        <v>45077</v>
      </c>
      <c r="D180" s="1672"/>
      <c r="E180" s="1672"/>
      <c r="F180" s="74">
        <v>136.4</v>
      </c>
      <c r="G180" s="1217">
        <v>143.9</v>
      </c>
    </row>
    <row r="181" spans="1:7">
      <c r="A181" s="78"/>
      <c r="B181" s="69">
        <v>45107</v>
      </c>
      <c r="C181" s="1671">
        <v>45107</v>
      </c>
      <c r="D181" s="1672"/>
      <c r="E181" s="1672"/>
      <c r="F181" s="74">
        <v>137</v>
      </c>
      <c r="G181" s="1217">
        <v>144.69999999999999</v>
      </c>
    </row>
    <row r="182" spans="1:7">
      <c r="A182" s="78"/>
      <c r="B182" s="69">
        <v>45138</v>
      </c>
      <c r="C182" s="1671">
        <v>45138</v>
      </c>
      <c r="D182" s="1672"/>
      <c r="E182" s="1672"/>
      <c r="F182" s="74">
        <v>137.5</v>
      </c>
      <c r="G182" s="1217">
        <v>145.30000000000001</v>
      </c>
    </row>
    <row r="183" spans="1:7">
      <c r="A183" s="78"/>
      <c r="B183" s="69">
        <v>45169</v>
      </c>
      <c r="C183" s="1671">
        <v>45169</v>
      </c>
      <c r="D183" s="1672"/>
      <c r="E183" s="1672"/>
      <c r="F183" s="74">
        <v>138.1</v>
      </c>
      <c r="G183" s="1217">
        <v>145.5</v>
      </c>
    </row>
    <row r="184" spans="1:7">
      <c r="A184" s="78"/>
      <c r="B184" s="69">
        <v>45199</v>
      </c>
      <c r="C184" s="1671">
        <v>45199</v>
      </c>
      <c r="D184" s="1672"/>
      <c r="E184" s="1672"/>
      <c r="F184" s="74">
        <v>139</v>
      </c>
      <c r="G184" s="1217">
        <v>146.4</v>
      </c>
    </row>
    <row r="185" spans="1:7">
      <c r="A185" s="78"/>
      <c r="B185" s="69">
        <v>45230</v>
      </c>
      <c r="C185" s="1671">
        <v>45230</v>
      </c>
      <c r="D185" s="1672"/>
      <c r="E185" s="1672"/>
      <c r="F185" s="74">
        <v>140</v>
      </c>
      <c r="G185" s="1217">
        <v>146.69999999999999</v>
      </c>
    </row>
    <row r="186" spans="1:7">
      <c r="A186" s="78"/>
      <c r="B186" s="69">
        <v>45260</v>
      </c>
      <c r="C186" s="1671">
        <v>45260</v>
      </c>
      <c r="D186" s="1672"/>
      <c r="E186" s="1672"/>
      <c r="F186" s="74">
        <v>140.9</v>
      </c>
      <c r="G186" s="1217">
        <v>146.80000000000001</v>
      </c>
    </row>
    <row r="187" spans="1:7">
      <c r="A187" s="79"/>
      <c r="B187" s="76">
        <v>45291</v>
      </c>
      <c r="C187" s="1671">
        <v>45291</v>
      </c>
      <c r="D187" s="1672"/>
      <c r="E187" s="1672"/>
      <c r="F187" s="75">
        <v>141.1</v>
      </c>
      <c r="G187" s="1218">
        <v>147</v>
      </c>
    </row>
    <row r="188" spans="1:7">
      <c r="A188" s="77">
        <v>2024</v>
      </c>
      <c r="B188" s="69">
        <v>44957</v>
      </c>
      <c r="C188" s="1671">
        <v>45322</v>
      </c>
      <c r="D188" s="1672"/>
      <c r="E188" s="1672"/>
      <c r="F188" s="73">
        <v>141.80000000000001</v>
      </c>
      <c r="G188" s="1216">
        <v>147.30000000000001</v>
      </c>
    </row>
    <row r="189" spans="1:7">
      <c r="A189" s="78"/>
      <c r="B189" s="69">
        <v>44985</v>
      </c>
      <c r="C189" s="1671">
        <v>45350</v>
      </c>
      <c r="D189" s="1672"/>
      <c r="E189" s="1672"/>
      <c r="F189" s="74">
        <v>142.30000000000001</v>
      </c>
      <c r="G189" s="1217">
        <v>148.30000000000001</v>
      </c>
    </row>
    <row r="190" spans="1:7">
      <c r="A190" s="78"/>
      <c r="B190" s="69">
        <v>45016</v>
      </c>
      <c r="C190" s="1671">
        <v>45382</v>
      </c>
      <c r="D190" s="1672"/>
      <c r="E190" s="1672"/>
      <c r="F190" s="74">
        <v>143.1</v>
      </c>
      <c r="G190" s="1217">
        <v>149.5</v>
      </c>
    </row>
    <row r="191" spans="1:7">
      <c r="A191" s="78"/>
      <c r="B191" s="69">
        <v>45046</v>
      </c>
      <c r="C191" s="1671">
        <v>45412</v>
      </c>
      <c r="D191" s="1672"/>
      <c r="E191" s="1672"/>
      <c r="F191" s="74">
        <v>143.9</v>
      </c>
      <c r="G191" s="1217">
        <v>149.80000000000001</v>
      </c>
    </row>
    <row r="192" spans="1:7">
      <c r="A192" s="78"/>
      <c r="B192" s="69">
        <v>45077</v>
      </c>
      <c r="C192" s="1671">
        <v>45443</v>
      </c>
      <c r="D192" s="1672"/>
      <c r="E192" s="1672"/>
      <c r="F192" s="74">
        <v>144.69999999999999</v>
      </c>
      <c r="G192" s="1217">
        <v>150.19999999999999</v>
      </c>
    </row>
    <row r="193" spans="1:7">
      <c r="A193" s="78"/>
      <c r="B193" s="69">
        <v>45107</v>
      </c>
      <c r="C193" s="1671">
        <v>45473</v>
      </c>
      <c r="D193" s="1672"/>
      <c r="E193" s="1672"/>
      <c r="F193" s="74">
        <v>145.19999999999999</v>
      </c>
      <c r="G193" s="1217">
        <v>151.1</v>
      </c>
    </row>
    <row r="194" spans="1:7">
      <c r="A194" s="78"/>
      <c r="B194" s="69">
        <v>45138</v>
      </c>
      <c r="C194" s="1671">
        <v>45504</v>
      </c>
      <c r="D194" s="1672"/>
      <c r="E194" s="1672"/>
      <c r="F194" s="74">
        <v>145.6</v>
      </c>
      <c r="G194" s="1217">
        <v>151.9</v>
      </c>
    </row>
    <row r="195" spans="1:7">
      <c r="A195" s="78"/>
      <c r="B195" s="69">
        <v>45169</v>
      </c>
      <c r="C195" s="1671">
        <v>45535</v>
      </c>
      <c r="D195" s="1672"/>
      <c r="E195" s="1672"/>
      <c r="F195" s="74">
        <v>146</v>
      </c>
      <c r="G195" s="1217">
        <v>152.19999999999999</v>
      </c>
    </row>
    <row r="196" spans="1:7">
      <c r="A196" s="78"/>
      <c r="B196" s="69">
        <v>45199</v>
      </c>
      <c r="C196" s="1671">
        <v>45565</v>
      </c>
      <c r="D196" s="1672"/>
      <c r="E196" s="1672"/>
      <c r="F196" s="74">
        <v>147.19999999999999</v>
      </c>
      <c r="G196" s="1217">
        <v>153</v>
      </c>
    </row>
    <row r="197" spans="1:7">
      <c r="A197" s="78"/>
      <c r="B197" s="69">
        <v>45230</v>
      </c>
      <c r="C197" s="1671">
        <v>45596</v>
      </c>
      <c r="D197" s="1672"/>
      <c r="E197" s="1672"/>
      <c r="F197" s="74">
        <v>148.4</v>
      </c>
      <c r="G197" s="1217">
        <v>153.4</v>
      </c>
    </row>
    <row r="198" spans="1:7">
      <c r="A198" s="78"/>
      <c r="B198" s="69">
        <v>45260</v>
      </c>
      <c r="C198" s="1671">
        <v>45626</v>
      </c>
      <c r="D198" s="1672"/>
      <c r="E198" s="1672"/>
      <c r="F198" s="74">
        <v>149.6</v>
      </c>
      <c r="G198" s="1217">
        <v>153.80000000000001</v>
      </c>
    </row>
    <row r="199" spans="1:7">
      <c r="A199" s="79"/>
      <c r="B199" s="76">
        <v>45291</v>
      </c>
      <c r="C199" s="1671">
        <v>45657</v>
      </c>
      <c r="D199" s="1672"/>
      <c r="E199" s="1672"/>
      <c r="F199" s="75">
        <v>150.1</v>
      </c>
      <c r="G199" s="1218">
        <v>154</v>
      </c>
    </row>
    <row r="200" spans="1:7">
      <c r="A200" s="77">
        <v>2025</v>
      </c>
      <c r="B200" s="69">
        <v>44957</v>
      </c>
      <c r="C200" s="1671">
        <v>45688</v>
      </c>
      <c r="D200" s="1672"/>
      <c r="E200" s="1672"/>
      <c r="F200" s="73">
        <v>150.6</v>
      </c>
      <c r="G200" s="1216">
        <v>154.4</v>
      </c>
    </row>
    <row r="201" spans="1:7">
      <c r="A201" s="78"/>
      <c r="B201" s="69">
        <v>44985</v>
      </c>
      <c r="C201" s="1671">
        <v>45716</v>
      </c>
      <c r="D201" s="1672"/>
      <c r="E201" s="1672"/>
      <c r="F201" s="74">
        <v>151.1</v>
      </c>
      <c r="G201" s="1217">
        <v>155.19999999999999</v>
      </c>
    </row>
    <row r="202" spans="1:7">
      <c r="A202" s="78"/>
      <c r="B202" s="69">
        <v>45016</v>
      </c>
      <c r="C202" s="1671">
        <v>45747</v>
      </c>
      <c r="D202" s="1672"/>
      <c r="E202" s="1672"/>
      <c r="F202" s="74">
        <v>151.9</v>
      </c>
      <c r="G202" s="1217">
        <v>156.30000000000001</v>
      </c>
    </row>
    <row r="203" spans="1:7">
      <c r="A203" s="78"/>
      <c r="B203" s="69">
        <v>45046</v>
      </c>
      <c r="C203" s="1671">
        <v>45777</v>
      </c>
      <c r="D203" s="1672"/>
      <c r="E203" s="1672"/>
      <c r="F203" s="74">
        <v>152.69999999999999</v>
      </c>
      <c r="G203" s="1217">
        <v>156.6</v>
      </c>
    </row>
    <row r="204" spans="1:7">
      <c r="A204" s="78"/>
      <c r="B204" s="69">
        <v>45077</v>
      </c>
      <c r="C204" s="1671">
        <v>45808</v>
      </c>
      <c r="D204" s="1672"/>
      <c r="E204" s="1672"/>
      <c r="F204" s="74">
        <v>153.5</v>
      </c>
      <c r="G204" s="1217">
        <v>157.19999999999999</v>
      </c>
    </row>
    <row r="205" spans="1:7">
      <c r="A205" s="78"/>
      <c r="B205" s="69">
        <v>45107</v>
      </c>
      <c r="C205" s="1671">
        <v>45838</v>
      </c>
      <c r="D205" s="1672"/>
      <c r="E205" s="1672"/>
      <c r="F205" s="74">
        <v>153.9</v>
      </c>
      <c r="G205" s="1217">
        <v>158.19999999999999</v>
      </c>
    </row>
    <row r="206" spans="1:7">
      <c r="A206" s="78"/>
      <c r="B206" s="69">
        <v>45138</v>
      </c>
      <c r="C206" s="1671">
        <v>45869</v>
      </c>
      <c r="D206" s="1672"/>
      <c r="E206" s="1672"/>
      <c r="F206" s="74">
        <v>154.19999999999999</v>
      </c>
      <c r="G206" s="1217">
        <v>158.80000000000001</v>
      </c>
    </row>
    <row r="207" spans="1:7">
      <c r="A207" s="78"/>
      <c r="B207" s="69">
        <v>45169</v>
      </c>
      <c r="C207" s="1671">
        <v>45900</v>
      </c>
      <c r="D207" s="1672"/>
      <c r="E207" s="1672"/>
      <c r="F207" s="74">
        <v>154.6</v>
      </c>
      <c r="G207" s="1217">
        <v>159.19999999999999</v>
      </c>
    </row>
    <row r="208" spans="1:7">
      <c r="A208" s="78"/>
      <c r="B208" s="69">
        <v>45199</v>
      </c>
      <c r="C208" s="1671">
        <v>45930</v>
      </c>
      <c r="D208" s="1672"/>
      <c r="E208" s="1672"/>
      <c r="F208" s="74">
        <v>155.9</v>
      </c>
      <c r="G208" s="1217">
        <v>160.1</v>
      </c>
    </row>
    <row r="209" spans="1:7">
      <c r="A209" s="78"/>
      <c r="B209" s="69">
        <v>45230</v>
      </c>
      <c r="C209" s="1671">
        <v>45961</v>
      </c>
      <c r="D209" s="1672"/>
      <c r="E209" s="1672"/>
      <c r="F209" s="74">
        <v>157.1</v>
      </c>
      <c r="G209" s="1217">
        <v>160.5</v>
      </c>
    </row>
    <row r="210" spans="1:7">
      <c r="A210" s="78"/>
      <c r="B210" s="69">
        <v>45260</v>
      </c>
      <c r="C210" s="1671">
        <v>45991</v>
      </c>
      <c r="D210" s="1672"/>
      <c r="E210" s="1672"/>
      <c r="F210" s="74">
        <v>158.4</v>
      </c>
      <c r="G210" s="1217">
        <v>160.9</v>
      </c>
    </row>
    <row r="211" spans="1:7">
      <c r="A211" s="79"/>
      <c r="B211" s="76">
        <v>45291</v>
      </c>
      <c r="C211" s="1671">
        <v>46022</v>
      </c>
      <c r="D211" s="1672"/>
      <c r="E211" s="1672"/>
      <c r="F211" s="75">
        <v>159</v>
      </c>
      <c r="G211" s="1218">
        <v>161.1</v>
      </c>
    </row>
  </sheetData>
  <sheetProtection algorithmName="SHA-512" hashValue="p7zyvlveAVRt1nulgVBpIXeEPP4BDZY6DuwaurUfOgbQ0aWwTGE3bZNHCquSwupMmQAbHa/IVSdCbfkxIxaZHQ==" saltValue="iUuFeeATFf1uMMJGFjwokw==" spinCount="100000" sheet="1" objects="1" scenarios="1"/>
  <mergeCells count="209">
    <mergeCell ref="C206:E206"/>
    <mergeCell ref="C207:E207"/>
    <mergeCell ref="C208:E208"/>
    <mergeCell ref="C209:E209"/>
    <mergeCell ref="C210:E210"/>
    <mergeCell ref="C211:E211"/>
    <mergeCell ref="C200:E200"/>
    <mergeCell ref="C201:E201"/>
    <mergeCell ref="C202:E202"/>
    <mergeCell ref="C203:E203"/>
    <mergeCell ref="C204:E204"/>
    <mergeCell ref="C205:E205"/>
    <mergeCell ref="C194:E194"/>
    <mergeCell ref="C195:E195"/>
    <mergeCell ref="C196:E196"/>
    <mergeCell ref="C197:E197"/>
    <mergeCell ref="C198:E198"/>
    <mergeCell ref="C199:E199"/>
    <mergeCell ref="C188:E188"/>
    <mergeCell ref="C189:E189"/>
    <mergeCell ref="C190:E190"/>
    <mergeCell ref="C191:E191"/>
    <mergeCell ref="C192:E192"/>
    <mergeCell ref="C193:E193"/>
    <mergeCell ref="C182:E182"/>
    <mergeCell ref="C183:E183"/>
    <mergeCell ref="C184:E184"/>
    <mergeCell ref="C185:E185"/>
    <mergeCell ref="C186:E186"/>
    <mergeCell ref="C187:E187"/>
    <mergeCell ref="C176:E176"/>
    <mergeCell ref="C177:E177"/>
    <mergeCell ref="C178:E178"/>
    <mergeCell ref="C179:E179"/>
    <mergeCell ref="C180:E180"/>
    <mergeCell ref="C181:E181"/>
    <mergeCell ref="C170:E170"/>
    <mergeCell ref="C171:E171"/>
    <mergeCell ref="C172:E172"/>
    <mergeCell ref="C173:E173"/>
    <mergeCell ref="C174:E174"/>
    <mergeCell ref="C175:E175"/>
    <mergeCell ref="C164:E164"/>
    <mergeCell ref="C165:E165"/>
    <mergeCell ref="C166:E166"/>
    <mergeCell ref="C167:E167"/>
    <mergeCell ref="C168:E168"/>
    <mergeCell ref="C169:E169"/>
    <mergeCell ref="C158:E158"/>
    <mergeCell ref="C159:E159"/>
    <mergeCell ref="C160:E160"/>
    <mergeCell ref="C161:E161"/>
    <mergeCell ref="C162:E162"/>
    <mergeCell ref="C163:E163"/>
    <mergeCell ref="C152:E152"/>
    <mergeCell ref="C153:E153"/>
    <mergeCell ref="C154:E154"/>
    <mergeCell ref="C155:E155"/>
    <mergeCell ref="C156:E156"/>
    <mergeCell ref="C157:E157"/>
    <mergeCell ref="C146:E146"/>
    <mergeCell ref="C147:E147"/>
    <mergeCell ref="C148:E148"/>
    <mergeCell ref="C149:E149"/>
    <mergeCell ref="C150:E150"/>
    <mergeCell ref="C151:E151"/>
    <mergeCell ref="C140:E140"/>
    <mergeCell ref="C141:E141"/>
    <mergeCell ref="C142:E142"/>
    <mergeCell ref="C143:E143"/>
    <mergeCell ref="C144:E144"/>
    <mergeCell ref="C145:E145"/>
    <mergeCell ref="C134:E134"/>
    <mergeCell ref="C135:E135"/>
    <mergeCell ref="C136:E136"/>
    <mergeCell ref="C137:E137"/>
    <mergeCell ref="C138:E138"/>
    <mergeCell ref="C139:E139"/>
    <mergeCell ref="C128:E128"/>
    <mergeCell ref="C129:E129"/>
    <mergeCell ref="C130:E130"/>
    <mergeCell ref="C131:E131"/>
    <mergeCell ref="C132:E132"/>
    <mergeCell ref="C133:E133"/>
    <mergeCell ref="C122:E122"/>
    <mergeCell ref="C123:E123"/>
    <mergeCell ref="C124:E124"/>
    <mergeCell ref="C125:E125"/>
    <mergeCell ref="C126:E126"/>
    <mergeCell ref="C127:E127"/>
    <mergeCell ref="C116:E116"/>
    <mergeCell ref="C117:E117"/>
    <mergeCell ref="C118:E118"/>
    <mergeCell ref="C119:E119"/>
    <mergeCell ref="C120:E120"/>
    <mergeCell ref="C121:E121"/>
    <mergeCell ref="C110:E110"/>
    <mergeCell ref="C111:E111"/>
    <mergeCell ref="C112:E112"/>
    <mergeCell ref="C113:E113"/>
    <mergeCell ref="C114:E114"/>
    <mergeCell ref="C115:E115"/>
    <mergeCell ref="C104:E104"/>
    <mergeCell ref="C105:E105"/>
    <mergeCell ref="C106:E106"/>
    <mergeCell ref="C107:E107"/>
    <mergeCell ref="C108:E108"/>
    <mergeCell ref="C109:E109"/>
    <mergeCell ref="C98:E98"/>
    <mergeCell ref="C99:E99"/>
    <mergeCell ref="C100:E100"/>
    <mergeCell ref="C101:E101"/>
    <mergeCell ref="C102:E102"/>
    <mergeCell ref="C103:E103"/>
    <mergeCell ref="C92:E92"/>
    <mergeCell ref="C93:E93"/>
    <mergeCell ref="C94:E94"/>
    <mergeCell ref="C95:E95"/>
    <mergeCell ref="C96:E96"/>
    <mergeCell ref="C97:E97"/>
    <mergeCell ref="C86:E86"/>
    <mergeCell ref="C87:E87"/>
    <mergeCell ref="C88:E88"/>
    <mergeCell ref="C89:E89"/>
    <mergeCell ref="C90:E90"/>
    <mergeCell ref="C91:E91"/>
    <mergeCell ref="C80:E80"/>
    <mergeCell ref="C81:E81"/>
    <mergeCell ref="C82:E82"/>
    <mergeCell ref="C83:E83"/>
    <mergeCell ref="C84:E84"/>
    <mergeCell ref="C85:E85"/>
    <mergeCell ref="C74:E74"/>
    <mergeCell ref="C75:E75"/>
    <mergeCell ref="C76:E76"/>
    <mergeCell ref="C77:E77"/>
    <mergeCell ref="C78:E78"/>
    <mergeCell ref="C79:E79"/>
    <mergeCell ref="C68:E68"/>
    <mergeCell ref="C69:E69"/>
    <mergeCell ref="C70:E70"/>
    <mergeCell ref="C71:E71"/>
    <mergeCell ref="C72:E72"/>
    <mergeCell ref="C73:E73"/>
    <mergeCell ref="C62:E62"/>
    <mergeCell ref="C63:E63"/>
    <mergeCell ref="C64:E64"/>
    <mergeCell ref="C65:E65"/>
    <mergeCell ref="C66:E66"/>
    <mergeCell ref="C67:E67"/>
    <mergeCell ref="C56:E56"/>
    <mergeCell ref="C57:E57"/>
    <mergeCell ref="C58:E58"/>
    <mergeCell ref="C59:E59"/>
    <mergeCell ref="C60:E60"/>
    <mergeCell ref="C61:E61"/>
    <mergeCell ref="C50:E50"/>
    <mergeCell ref="C51:E51"/>
    <mergeCell ref="C52:E52"/>
    <mergeCell ref="C53:E53"/>
    <mergeCell ref="C54:E54"/>
    <mergeCell ref="C55:E55"/>
    <mergeCell ref="C44:E44"/>
    <mergeCell ref="C45:E45"/>
    <mergeCell ref="C46:E46"/>
    <mergeCell ref="C47:E47"/>
    <mergeCell ref="C48:E48"/>
    <mergeCell ref="C49:E49"/>
    <mergeCell ref="C38:E38"/>
    <mergeCell ref="C39:E39"/>
    <mergeCell ref="C40:E40"/>
    <mergeCell ref="C41:E41"/>
    <mergeCell ref="C42:E42"/>
    <mergeCell ref="C43:E43"/>
    <mergeCell ref="C32:E32"/>
    <mergeCell ref="C33:E33"/>
    <mergeCell ref="C34:E34"/>
    <mergeCell ref="C35:E35"/>
    <mergeCell ref="C36:E36"/>
    <mergeCell ref="C37:E37"/>
    <mergeCell ref="C27:E27"/>
    <mergeCell ref="C28:E28"/>
    <mergeCell ref="C29:E29"/>
    <mergeCell ref="C30:E30"/>
    <mergeCell ref="C31:E31"/>
    <mergeCell ref="C20:E20"/>
    <mergeCell ref="C21:E21"/>
    <mergeCell ref="C22:E22"/>
    <mergeCell ref="C23:E23"/>
    <mergeCell ref="C24:E24"/>
    <mergeCell ref="C25:E25"/>
    <mergeCell ref="C18:E18"/>
    <mergeCell ref="C19:E19"/>
    <mergeCell ref="C8:E8"/>
    <mergeCell ref="C9:E9"/>
    <mergeCell ref="C10:E10"/>
    <mergeCell ref="C11:E11"/>
    <mergeCell ref="C12:E12"/>
    <mergeCell ref="C13:E13"/>
    <mergeCell ref="C26:E26"/>
    <mergeCell ref="A6:A7"/>
    <mergeCell ref="B6:B7"/>
    <mergeCell ref="C6:E7"/>
    <mergeCell ref="F6:F7"/>
    <mergeCell ref="G6:G7"/>
    <mergeCell ref="C14:E14"/>
    <mergeCell ref="C15:E15"/>
    <mergeCell ref="C16:E16"/>
    <mergeCell ref="C17:E17"/>
  </mergeCells>
  <pageMargins left="0.7" right="0.7" top="0.75" bottom="0.75" header="0.3" footer="0.3"/>
  <pageSetup paperSize="8" orientation="portrait" r:id="rId1"/>
  <headerFooter>
    <oddHeader>&amp;C&amp;"Calibri"&amp;10&amp;K000000Confidential&amp;1#</oddHeader>
    <oddFooter>&amp;R&amp;1#&amp;"Calibri"&amp;10&amp;K000000Confidential</oddFooter>
  </headerFooter>
  <legacyDrawing r:id="rId2"/>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0"/>
  <dimension ref="A6:AA127"/>
  <sheetViews>
    <sheetView tabSelected="1" topLeftCell="B49" zoomScale="80" zoomScaleNormal="80" zoomScaleSheetLayoutView="80" workbookViewId="0">
      <selection activeCell="Y93" sqref="Y93"/>
    </sheetView>
  </sheetViews>
  <sheetFormatPr defaultColWidth="9.140625" defaultRowHeight="15" outlineLevelRow="1"/>
  <cols>
    <col min="1" max="1" width="10.5703125" style="696" hidden="1" customWidth="1"/>
    <col min="2" max="2" width="30.7109375" style="696" customWidth="1"/>
    <col min="3" max="3" width="13.42578125" style="696" customWidth="1"/>
    <col min="4" max="4" width="13.7109375" style="696" customWidth="1"/>
    <col min="5" max="5" width="13.140625" style="696" customWidth="1"/>
    <col min="6" max="6" width="9.140625" style="696"/>
    <col min="7" max="7" width="16.85546875" style="696" customWidth="1"/>
    <col min="8" max="8" width="12.5703125" style="696" customWidth="1"/>
    <col min="9" max="9" width="16.140625" style="696" customWidth="1"/>
    <col min="10" max="10" width="30.42578125" style="696" customWidth="1"/>
    <col min="11" max="11" width="16.140625" style="696" hidden="1" customWidth="1"/>
    <col min="12" max="12" width="22.85546875" style="696" hidden="1" customWidth="1"/>
    <col min="13" max="13" width="0" style="696" hidden="1" customWidth="1"/>
    <col min="14" max="16" width="13" style="696" hidden="1" customWidth="1"/>
    <col min="17" max="17" width="0" style="696" hidden="1" customWidth="1"/>
    <col min="18" max="18" width="12.42578125" style="696" hidden="1" customWidth="1"/>
    <col min="19" max="19" width="0" style="696" hidden="1" customWidth="1"/>
    <col min="20" max="20" width="12.7109375" style="696" hidden="1" customWidth="1"/>
    <col min="21" max="22" width="0" style="696" hidden="1" customWidth="1"/>
    <col min="23" max="23" width="12" style="696" hidden="1" customWidth="1"/>
    <col min="24" max="24" width="0" style="696" hidden="1" customWidth="1"/>
    <col min="25" max="25" width="22.42578125" style="696" customWidth="1"/>
    <col min="26" max="26" width="18.140625" style="696" customWidth="1"/>
    <col min="27" max="16384" width="9.140625" style="696"/>
  </cols>
  <sheetData>
    <row r="6" spans="2:15">
      <c r="B6" s="924"/>
      <c r="C6" s="924"/>
      <c r="D6" s="924"/>
      <c r="E6" s="924"/>
      <c r="F6" s="924"/>
      <c r="G6" s="924"/>
      <c r="H6" s="924"/>
      <c r="I6" s="924"/>
      <c r="J6" s="924"/>
      <c r="O6" s="696" t="s">
        <v>362</v>
      </c>
    </row>
    <row r="7" spans="2:15" ht="15" customHeight="1">
      <c r="B7" s="1039"/>
      <c r="E7" s="916"/>
      <c r="F7" s="916"/>
      <c r="G7" s="916"/>
      <c r="H7" s="916"/>
      <c r="I7" s="1040"/>
      <c r="J7" s="697"/>
      <c r="K7" s="921"/>
      <c r="O7" s="696" t="s">
        <v>363</v>
      </c>
    </row>
    <row r="8" spans="2:15">
      <c r="B8" s="1025" t="s">
        <v>1200</v>
      </c>
      <c r="C8" s="897"/>
      <c r="D8" s="897"/>
      <c r="E8" s="1041"/>
      <c r="F8" s="1041"/>
      <c r="G8" s="1041"/>
      <c r="H8" s="1041"/>
      <c r="I8" s="1042"/>
      <c r="J8" s="697"/>
      <c r="K8" s="921"/>
      <c r="O8" s="696" t="s">
        <v>364</v>
      </c>
    </row>
    <row r="9" spans="2:15">
      <c r="B9" s="920"/>
      <c r="C9" s="897"/>
      <c r="D9" s="897"/>
      <c r="E9" s="1041"/>
      <c r="F9" s="1041"/>
      <c r="G9" s="1041"/>
      <c r="H9" s="1041"/>
      <c r="I9" s="1042"/>
      <c r="J9" s="697"/>
      <c r="K9" s="921"/>
      <c r="O9" s="696" t="s">
        <v>365</v>
      </c>
    </row>
    <row r="10" spans="2:15">
      <c r="B10" s="1043" t="s">
        <v>366</v>
      </c>
      <c r="C10" s="1746">
        <v>5136</v>
      </c>
      <c r="D10" s="1747"/>
      <c r="E10" s="1748"/>
      <c r="F10" s="1041"/>
      <c r="G10" s="1041"/>
      <c r="H10" s="1041"/>
      <c r="I10" s="1042"/>
      <c r="J10" s="697"/>
      <c r="K10" s="921"/>
      <c r="O10" s="696" t="s">
        <v>367</v>
      </c>
    </row>
    <row r="11" spans="2:15" ht="15.75">
      <c r="B11" s="1044"/>
      <c r="C11" s="897"/>
      <c r="D11" s="897"/>
      <c r="E11" s="1041"/>
      <c r="F11" s="1041"/>
      <c r="G11" s="1041"/>
      <c r="H11" s="1041"/>
      <c r="I11" s="1042"/>
      <c r="J11" s="697"/>
      <c r="K11" s="921"/>
      <c r="O11" s="696" t="s">
        <v>368</v>
      </c>
    </row>
    <row r="12" spans="2:15">
      <c r="B12" s="1043" t="s">
        <v>369</v>
      </c>
      <c r="C12" s="1676" t="s">
        <v>3472</v>
      </c>
      <c r="D12" s="1677"/>
      <c r="E12" s="1677"/>
      <c r="F12" s="1677"/>
      <c r="G12" s="1677"/>
      <c r="H12" s="1677"/>
      <c r="I12" s="1678"/>
      <c r="J12" s="697"/>
      <c r="K12" s="921"/>
      <c r="O12" s="696" t="s">
        <v>370</v>
      </c>
    </row>
    <row r="13" spans="2:15" ht="15.75">
      <c r="B13" s="1044"/>
      <c r="C13" s="897"/>
      <c r="D13" s="897"/>
      <c r="E13" s="1041"/>
      <c r="F13" s="1041"/>
      <c r="G13" s="1041"/>
      <c r="H13" s="1041"/>
      <c r="I13" s="1042"/>
      <c r="J13" s="697"/>
      <c r="K13" s="921"/>
    </row>
    <row r="14" spans="2:15">
      <c r="B14" s="1043" t="s">
        <v>371</v>
      </c>
      <c r="C14" s="1679" t="s">
        <v>372</v>
      </c>
      <c r="D14" s="1679"/>
      <c r="E14" s="1679"/>
      <c r="F14" s="1041"/>
      <c r="G14" s="1041"/>
      <c r="H14" s="1041"/>
      <c r="I14" s="1042"/>
      <c r="J14" s="697"/>
      <c r="K14" s="921"/>
    </row>
    <row r="15" spans="2:15" ht="15.75">
      <c r="B15" s="1044"/>
      <c r="C15" s="897"/>
      <c r="D15" s="897"/>
      <c r="E15" s="1041"/>
      <c r="F15" s="1041"/>
      <c r="G15" s="1041"/>
      <c r="H15" s="1041"/>
      <c r="I15" s="1042"/>
      <c r="J15" s="697"/>
      <c r="K15" s="921"/>
    </row>
    <row r="16" spans="2:15">
      <c r="B16" s="1043" t="s">
        <v>373</v>
      </c>
      <c r="C16" s="1749" t="s">
        <v>363</v>
      </c>
      <c r="D16" s="1750"/>
      <c r="E16" s="1751"/>
      <c r="F16" s="1041"/>
      <c r="G16" s="1041"/>
      <c r="H16" s="1041"/>
      <c r="I16" s="1042"/>
      <c r="J16" s="697"/>
      <c r="K16" s="921"/>
    </row>
    <row r="17" spans="1:12" ht="15.75">
      <c r="B17" s="1044"/>
      <c r="C17" s="897"/>
      <c r="D17" s="897"/>
      <c r="E17" s="1041"/>
      <c r="F17" s="1041"/>
      <c r="G17" s="1041"/>
      <c r="H17" s="1041"/>
      <c r="I17" s="1042"/>
      <c r="J17" s="697"/>
      <c r="K17" s="921"/>
    </row>
    <row r="18" spans="1:12">
      <c r="B18" s="1043" t="s">
        <v>374</v>
      </c>
      <c r="C18" s="1679" t="s">
        <v>3473</v>
      </c>
      <c r="D18" s="1679"/>
      <c r="E18" s="1679"/>
      <c r="F18" s="1041"/>
      <c r="G18" s="1041"/>
      <c r="H18" s="1041"/>
      <c r="I18" s="1042"/>
      <c r="J18" s="697"/>
      <c r="K18" s="921"/>
    </row>
    <row r="19" spans="1:12">
      <c r="B19" s="1043"/>
      <c r="C19" s="897"/>
      <c r="D19" s="897"/>
      <c r="E19" s="897"/>
      <c r="F19" s="1041"/>
      <c r="G19" s="1041"/>
      <c r="H19" s="1041"/>
      <c r="I19" s="1042"/>
      <c r="J19" s="697"/>
      <c r="K19" s="921"/>
    </row>
    <row r="20" spans="1:12">
      <c r="B20" s="1043" t="s">
        <v>375</v>
      </c>
      <c r="C20" s="1683" t="s">
        <v>3474</v>
      </c>
      <c r="D20" s="1683"/>
      <c r="E20" s="1683"/>
      <c r="F20" s="897"/>
      <c r="G20" s="1041"/>
      <c r="H20" s="1041"/>
      <c r="I20" s="1042"/>
      <c r="J20" s="697"/>
      <c r="K20" s="921"/>
    </row>
    <row r="21" spans="1:12" ht="13.5" customHeight="1">
      <c r="B21" s="1044"/>
      <c r="C21" s="897"/>
      <c r="D21" s="897"/>
      <c r="E21" s="1041"/>
      <c r="F21" s="1041"/>
      <c r="G21" s="1041"/>
      <c r="H21" s="1041"/>
      <c r="I21" s="1042"/>
      <c r="J21" s="697"/>
      <c r="K21" s="921"/>
    </row>
    <row r="22" spans="1:12" ht="15.75" thickBot="1">
      <c r="A22" s="698"/>
      <c r="B22" s="1025"/>
      <c r="C22" s="897"/>
      <c r="D22" s="897"/>
      <c r="E22" s="1026"/>
      <c r="F22" s="1026"/>
      <c r="G22" s="1041"/>
      <c r="H22" s="1041"/>
      <c r="I22" s="1042"/>
      <c r="J22" s="697"/>
    </row>
    <row r="23" spans="1:12">
      <c r="A23" s="698"/>
      <c r="B23" s="1045"/>
      <c r="C23" s="813"/>
      <c r="D23" s="813"/>
      <c r="E23" s="1046"/>
      <c r="F23" s="1046"/>
      <c r="G23" s="1046"/>
      <c r="H23" s="1046"/>
      <c r="I23" s="1047"/>
      <c r="J23" s="1048"/>
    </row>
    <row r="24" spans="1:12">
      <c r="B24" s="1049" t="s">
        <v>376</v>
      </c>
      <c r="E24" s="916"/>
      <c r="F24" s="916"/>
      <c r="G24" s="916"/>
      <c r="H24" s="916"/>
      <c r="I24" s="1040"/>
      <c r="J24" s="697"/>
    </row>
    <row r="25" spans="1:12">
      <c r="B25" s="699"/>
      <c r="E25" s="916"/>
      <c r="F25" s="916"/>
      <c r="G25" s="916"/>
      <c r="H25" s="916"/>
      <c r="I25" s="1040"/>
      <c r="J25" s="697"/>
    </row>
    <row r="26" spans="1:12" ht="78.599999999999994" customHeight="1">
      <c r="A26" s="698"/>
      <c r="B26" s="1684" t="s">
        <v>3475</v>
      </c>
      <c r="C26" s="1685"/>
      <c r="D26" s="1685"/>
      <c r="E26" s="1685"/>
      <c r="F26" s="1685"/>
      <c r="G26" s="1685"/>
      <c r="H26" s="1685"/>
      <c r="I26" s="1685"/>
      <c r="J26" s="1686"/>
      <c r="K26" s="698"/>
      <c r="L26" s="698"/>
    </row>
    <row r="27" spans="1:12" ht="50.45" customHeight="1">
      <c r="A27" s="698"/>
      <c r="B27" s="1687"/>
      <c r="C27" s="1688"/>
      <c r="D27" s="1688"/>
      <c r="E27" s="1688"/>
      <c r="F27" s="1688"/>
      <c r="G27" s="1688"/>
      <c r="H27" s="1688"/>
      <c r="I27" s="1688"/>
      <c r="J27" s="1689"/>
      <c r="K27" s="698"/>
      <c r="L27" s="698"/>
    </row>
    <row r="28" spans="1:12" ht="40.9" customHeight="1">
      <c r="A28" s="698"/>
      <c r="B28" s="1687"/>
      <c r="C28" s="1688"/>
      <c r="D28" s="1688"/>
      <c r="E28" s="1688"/>
      <c r="F28" s="1688"/>
      <c r="G28" s="1688"/>
      <c r="H28" s="1688"/>
      <c r="I28" s="1688"/>
      <c r="J28" s="1689"/>
      <c r="K28" s="698"/>
      <c r="L28" s="698"/>
    </row>
    <row r="29" spans="1:12" ht="43.15" customHeight="1">
      <c r="B29" s="1687"/>
      <c r="C29" s="1688"/>
      <c r="D29" s="1688"/>
      <c r="E29" s="1688"/>
      <c r="F29" s="1688"/>
      <c r="G29" s="1688"/>
      <c r="H29" s="1688"/>
      <c r="I29" s="1688"/>
      <c r="J29" s="1689"/>
    </row>
    <row r="30" spans="1:12" ht="54" customHeight="1">
      <c r="B30" s="1690"/>
      <c r="C30" s="1691"/>
      <c r="D30" s="1691"/>
      <c r="E30" s="1691"/>
      <c r="F30" s="1691"/>
      <c r="G30" s="1691"/>
      <c r="H30" s="1691"/>
      <c r="I30" s="1691"/>
      <c r="J30" s="1692"/>
    </row>
    <row r="31" spans="1:12">
      <c r="A31" s="698"/>
      <c r="B31" s="1050"/>
      <c r="C31" s="821"/>
      <c r="D31" s="821"/>
      <c r="E31" s="1051"/>
      <c r="F31" s="1051"/>
      <c r="G31" s="1051"/>
      <c r="H31" s="1051"/>
      <c r="I31" s="1052"/>
      <c r="J31" s="1053"/>
      <c r="K31" s="698"/>
      <c r="L31" s="698"/>
    </row>
    <row r="32" spans="1:12">
      <c r="A32" s="698"/>
      <c r="B32" s="920"/>
      <c r="C32" s="897"/>
      <c r="D32" s="897"/>
      <c r="E32" s="1041"/>
      <c r="F32" s="1041"/>
      <c r="G32" s="1041"/>
      <c r="H32" s="1041"/>
      <c r="I32" s="1042"/>
      <c r="J32" s="1054"/>
      <c r="K32" s="698"/>
      <c r="L32" s="698"/>
    </row>
    <row r="33" spans="1:12">
      <c r="A33" s="698"/>
      <c r="B33" s="1055" t="s">
        <v>377</v>
      </c>
      <c r="C33" s="897"/>
      <c r="D33" s="897"/>
      <c r="E33" s="1041"/>
      <c r="F33" s="1041"/>
      <c r="G33" s="1041"/>
      <c r="H33" s="1041"/>
      <c r="I33" s="1042"/>
      <c r="J33" s="1054"/>
      <c r="K33" s="698"/>
      <c r="L33" s="698"/>
    </row>
    <row r="34" spans="1:12">
      <c r="B34" s="1025"/>
      <c r="C34" s="897"/>
      <c r="D34" s="897"/>
      <c r="E34" s="1041"/>
      <c r="F34" s="1041"/>
      <c r="G34" s="1041"/>
      <c r="H34" s="1041"/>
      <c r="I34" s="1042"/>
      <c r="J34" s="1054"/>
    </row>
    <row r="35" spans="1:12">
      <c r="B35" s="1025"/>
      <c r="C35" s="897"/>
      <c r="D35" s="897"/>
      <c r="E35" s="1041"/>
      <c r="F35" s="1041"/>
      <c r="G35" s="1056"/>
      <c r="H35" s="1056"/>
      <c r="I35" s="1042"/>
      <c r="J35" s="1057"/>
    </row>
    <row r="36" spans="1:12">
      <c r="A36" s="698"/>
      <c r="B36" s="920" t="s">
        <v>378</v>
      </c>
      <c r="C36" s="897"/>
      <c r="D36" s="1680">
        <v>43862</v>
      </c>
      <c r="E36" s="1681"/>
      <c r="F36" s="1681"/>
      <c r="G36" s="1681"/>
      <c r="H36" s="1681"/>
      <c r="I36" s="1682"/>
      <c r="J36" s="1037" t="s">
        <v>1023</v>
      </c>
      <c r="K36" s="698"/>
      <c r="L36" s="698"/>
    </row>
    <row r="37" spans="1:12">
      <c r="B37" s="920" t="s">
        <v>1081</v>
      </c>
      <c r="C37" s="1099">
        <v>3</v>
      </c>
      <c r="D37" s="1697">
        <v>42309</v>
      </c>
      <c r="E37" s="1698"/>
      <c r="F37" s="1699"/>
      <c r="G37" s="1697">
        <f>EOMONTH(D37,C37-1)</f>
        <v>42400</v>
      </c>
      <c r="H37" s="1698"/>
      <c r="I37" s="1699"/>
      <c r="J37" s="1037" t="s">
        <v>380</v>
      </c>
    </row>
    <row r="38" spans="1:12" ht="29.25">
      <c r="B38" s="920" t="s">
        <v>1083</v>
      </c>
      <c r="C38" s="1099">
        <v>1</v>
      </c>
      <c r="D38" s="1700">
        <f>G37</f>
        <v>42400</v>
      </c>
      <c r="E38" s="1701"/>
      <c r="F38" s="1701"/>
      <c r="G38" s="1697">
        <f>EOMONTH(D38,C38-1)</f>
        <v>42400</v>
      </c>
      <c r="H38" s="1698"/>
      <c r="I38" s="1699"/>
      <c r="J38" s="1136" t="s">
        <v>1072</v>
      </c>
    </row>
    <row r="39" spans="1:12">
      <c r="B39" s="920"/>
      <c r="C39" s="1058"/>
      <c r="D39" s="1059"/>
      <c r="E39" s="1059"/>
      <c r="F39" s="1059"/>
      <c r="G39" s="1060"/>
      <c r="H39" s="1060"/>
      <c r="I39" s="1060"/>
      <c r="J39" s="1057"/>
    </row>
    <row r="40" spans="1:12">
      <c r="B40" s="920"/>
      <c r="C40" s="897"/>
      <c r="D40" s="897"/>
      <c r="E40" s="1041"/>
      <c r="F40" s="1041"/>
      <c r="G40" s="1041"/>
      <c r="H40" s="1041"/>
      <c r="I40" s="1042"/>
      <c r="J40" s="1054"/>
    </row>
    <row r="41" spans="1:12" ht="15" customHeight="1">
      <c r="B41" s="920" t="s">
        <v>1080</v>
      </c>
      <c r="C41" s="1099">
        <v>4</v>
      </c>
      <c r="D41" s="1697">
        <f>G37+1</f>
        <v>42401</v>
      </c>
      <c r="E41" s="1698"/>
      <c r="F41" s="1699"/>
      <c r="G41" s="1697">
        <f>EOMONTH(D41,C41-1)</f>
        <v>42521</v>
      </c>
      <c r="H41" s="1698"/>
      <c r="I41" s="1699"/>
      <c r="J41" s="1037" t="s">
        <v>383</v>
      </c>
    </row>
    <row r="42" spans="1:12" ht="15" customHeight="1">
      <c r="B42" s="920" t="s">
        <v>1079</v>
      </c>
      <c r="C42" s="1099">
        <v>20</v>
      </c>
      <c r="D42" s="1697">
        <v>45047</v>
      </c>
      <c r="E42" s="1698"/>
      <c r="F42" s="1699"/>
      <c r="G42" s="1697">
        <f>EOMONTH(D42,C42-1)</f>
        <v>45657</v>
      </c>
      <c r="H42" s="1698"/>
      <c r="I42" s="1699"/>
      <c r="J42" s="1037" t="s">
        <v>1024</v>
      </c>
    </row>
    <row r="43" spans="1:12" ht="15" customHeight="1">
      <c r="B43" s="920"/>
      <c r="C43" s="897"/>
      <c r="D43" s="1702">
        <f>G42</f>
        <v>45657</v>
      </c>
      <c r="E43" s="1703"/>
      <c r="F43" s="1703"/>
      <c r="G43" s="1703"/>
      <c r="H43" s="1703"/>
      <c r="I43" s="1704"/>
      <c r="J43" s="1057"/>
    </row>
    <row r="44" spans="1:12" ht="15" customHeight="1">
      <c r="B44" s="1025"/>
      <c r="C44" s="897"/>
      <c r="D44" s="897"/>
      <c r="E44" s="1041"/>
      <c r="F44" s="1041"/>
      <c r="G44" s="1041"/>
      <c r="H44" s="1041"/>
      <c r="I44" s="1042"/>
      <c r="J44" s="1057"/>
    </row>
    <row r="45" spans="1:12" ht="15" customHeight="1">
      <c r="B45" s="1025"/>
      <c r="C45" s="1376" t="s">
        <v>385</v>
      </c>
      <c r="D45" s="1376" t="s">
        <v>386</v>
      </c>
      <c r="E45" s="1376" t="s">
        <v>387</v>
      </c>
      <c r="F45" s="1376" t="s">
        <v>388</v>
      </c>
      <c r="G45" s="1041"/>
      <c r="H45" s="1041"/>
      <c r="I45" s="1042"/>
      <c r="J45" s="1057"/>
    </row>
    <row r="46" spans="1:12">
      <c r="B46" s="920" t="s">
        <v>1074</v>
      </c>
      <c r="C46" s="1062">
        <v>44608</v>
      </c>
      <c r="D46" s="1063">
        <f>'Indices '!C147</f>
        <v>44074</v>
      </c>
      <c r="E46" s="1061"/>
      <c r="F46" s="1061">
        <v>7</v>
      </c>
      <c r="G46" s="1036" t="s">
        <v>1082</v>
      </c>
      <c r="H46" s="1041"/>
      <c r="I46" s="1042"/>
      <c r="J46" s="1057"/>
    </row>
    <row r="47" spans="1:12">
      <c r="B47" s="920" t="s">
        <v>1075</v>
      </c>
      <c r="C47" s="1063">
        <v>45047</v>
      </c>
      <c r="D47" s="1063">
        <f>'Indices '!C167</f>
        <v>44681</v>
      </c>
      <c r="E47" s="1061"/>
      <c r="F47" s="1061">
        <v>20</v>
      </c>
      <c r="H47" s="1041"/>
      <c r="I47" s="1042"/>
      <c r="J47" s="1057"/>
    </row>
    <row r="48" spans="1:12">
      <c r="B48" s="920" t="s">
        <v>1076</v>
      </c>
      <c r="C48" s="1100">
        <v>200.7</v>
      </c>
      <c r="D48" s="1027">
        <v>199.4</v>
      </c>
      <c r="E48" s="1375">
        <f>(D48/C48-1)</f>
        <v>-6.4773293472843996E-3</v>
      </c>
      <c r="F48" s="1061"/>
      <c r="G48" s="1064"/>
      <c r="H48" s="1064"/>
      <c r="I48" s="1042"/>
      <c r="J48" s="1057"/>
    </row>
    <row r="49" spans="2:27">
      <c r="B49" s="920" t="s">
        <v>1077</v>
      </c>
      <c r="C49" s="1100">
        <v>143.9</v>
      </c>
      <c r="D49" s="1027">
        <v>154</v>
      </c>
      <c r="E49" s="1028">
        <f>(D49/C49-1)</f>
        <v>7.0187630298818471E-2</v>
      </c>
      <c r="F49" s="1061"/>
      <c r="G49" s="1036" t="s">
        <v>3470</v>
      </c>
      <c r="H49" s="1064"/>
      <c r="I49" s="1042"/>
      <c r="J49" s="1057"/>
    </row>
    <row r="50" spans="2:27">
      <c r="B50" s="920" t="s">
        <v>1078</v>
      </c>
      <c r="C50" s="1065">
        <v>0</v>
      </c>
      <c r="D50" s="1065">
        <v>0</v>
      </c>
      <c r="E50" s="1101">
        <v>0.35</v>
      </c>
      <c r="F50" s="1061">
        <v>0</v>
      </c>
      <c r="G50" s="1064"/>
      <c r="H50" s="1064"/>
      <c r="I50" s="1042"/>
      <c r="J50" s="1057"/>
    </row>
    <row r="51" spans="2:27">
      <c r="B51" s="920"/>
      <c r="C51" s="897"/>
      <c r="D51" s="897"/>
      <c r="E51" s="1041"/>
      <c r="F51" s="1041"/>
      <c r="G51" s="1041"/>
      <c r="H51" s="1041"/>
      <c r="I51" s="1042"/>
      <c r="J51" s="1054"/>
    </row>
    <row r="52" spans="2:27">
      <c r="B52" s="1055" t="s">
        <v>392</v>
      </c>
      <c r="C52" s="897"/>
      <c r="D52" s="897"/>
      <c r="E52" s="1041"/>
      <c r="F52" s="1041"/>
      <c r="G52" s="1041"/>
      <c r="H52" s="1041"/>
      <c r="I52" s="1042"/>
      <c r="J52" s="1054"/>
    </row>
    <row r="53" spans="2:27">
      <c r="B53" s="920"/>
      <c r="C53" s="897"/>
      <c r="D53" s="897"/>
      <c r="E53" s="1041"/>
      <c r="F53" s="1041"/>
      <c r="G53" s="1041"/>
      <c r="H53" s="1041"/>
      <c r="I53" s="1042"/>
      <c r="J53" s="1054"/>
    </row>
    <row r="54" spans="2:27">
      <c r="B54" s="920" t="s">
        <v>393</v>
      </c>
      <c r="C54" s="1705">
        <v>42323</v>
      </c>
      <c r="D54" s="1706"/>
      <c r="E54" s="1041"/>
      <c r="F54" s="1041"/>
      <c r="G54" s="1041"/>
      <c r="H54" s="1041"/>
      <c r="I54" s="1042"/>
      <c r="J54" s="1054"/>
    </row>
    <row r="55" spans="2:27">
      <c r="B55" s="920" t="s">
        <v>1073</v>
      </c>
      <c r="C55" s="1705">
        <v>44743</v>
      </c>
      <c r="D55" s="1706"/>
      <c r="E55" s="1041"/>
      <c r="F55" s="1041"/>
      <c r="G55" s="1041"/>
      <c r="H55" s="1041"/>
      <c r="I55" s="1042"/>
      <c r="J55" s="1054"/>
      <c r="L55" s="811" t="s">
        <v>3483</v>
      </c>
    </row>
    <row r="56" spans="2:27">
      <c r="B56" s="920"/>
      <c r="C56" s="1066"/>
      <c r="D56" s="1066"/>
      <c r="E56" s="1041"/>
      <c r="F56" s="1041"/>
      <c r="G56" s="1041"/>
      <c r="H56" s="1041"/>
      <c r="I56" s="1042"/>
      <c r="J56" s="1054"/>
    </row>
    <row r="57" spans="2:27">
      <c r="B57" s="920"/>
      <c r="C57" s="897"/>
      <c r="D57" s="897"/>
      <c r="E57" s="1041"/>
      <c r="F57" s="1041"/>
      <c r="G57" s="1041"/>
      <c r="H57" s="1041"/>
      <c r="I57" s="1042"/>
      <c r="J57" s="1054"/>
    </row>
    <row r="58" spans="2:27" ht="15.75" thickBot="1">
      <c r="B58" s="1693" t="s">
        <v>394</v>
      </c>
      <c r="C58" s="1694"/>
      <c r="D58" s="1694"/>
      <c r="E58" s="1067" t="s">
        <v>395</v>
      </c>
      <c r="F58" s="1067" t="s">
        <v>396</v>
      </c>
      <c r="G58" s="1695" t="s">
        <v>397</v>
      </c>
      <c r="H58" s="1696"/>
      <c r="I58" s="1068" t="s">
        <v>398</v>
      </c>
      <c r="J58" s="1054"/>
      <c r="K58" s="1438" t="s">
        <v>394</v>
      </c>
      <c r="L58" s="1438"/>
      <c r="M58" s="1438"/>
      <c r="N58" s="1438" t="s">
        <v>395</v>
      </c>
      <c r="O58" s="1438" t="s">
        <v>396</v>
      </c>
      <c r="P58" s="1438" t="s">
        <v>397</v>
      </c>
      <c r="Q58" s="1438"/>
      <c r="R58" s="1438" t="s">
        <v>398</v>
      </c>
    </row>
    <row r="59" spans="2:27" ht="15.75" thickTop="1">
      <c r="B59" s="1713" t="s">
        <v>399</v>
      </c>
      <c r="C59" s="1714"/>
      <c r="D59" s="1715"/>
      <c r="E59" s="1102">
        <v>1</v>
      </c>
      <c r="F59" s="1102" t="s">
        <v>400</v>
      </c>
      <c r="G59" s="1716">
        <v>0</v>
      </c>
      <c r="H59" s="1717"/>
      <c r="I59" s="1103">
        <f>E59*G59</f>
        <v>0</v>
      </c>
      <c r="J59" s="1054"/>
      <c r="K59" s="1436" t="s">
        <v>399</v>
      </c>
      <c r="L59" s="1436"/>
      <c r="M59" s="1436"/>
      <c r="N59" s="1436">
        <v>1</v>
      </c>
      <c r="O59" s="1436" t="s">
        <v>400</v>
      </c>
      <c r="P59" s="1436">
        <v>0</v>
      </c>
      <c r="Q59" s="1436"/>
      <c r="R59" s="1436">
        <v>0</v>
      </c>
    </row>
    <row r="60" spans="2:27">
      <c r="B60" s="1104" t="s">
        <v>401</v>
      </c>
      <c r="C60" s="1105"/>
      <c r="D60" s="1105"/>
      <c r="E60" s="1106"/>
      <c r="F60" s="1106"/>
      <c r="G60" s="1711"/>
      <c r="H60" s="1712"/>
      <c r="I60" s="1135">
        <f>E60*G60</f>
        <v>0</v>
      </c>
      <c r="J60" s="1054"/>
      <c r="K60" s="1436" t="s">
        <v>401</v>
      </c>
      <c r="L60" s="1436"/>
      <c r="M60" s="1436"/>
      <c r="N60" s="1436"/>
      <c r="O60" s="1436"/>
      <c r="P60" s="1436"/>
      <c r="Q60" s="1436"/>
      <c r="R60" s="1436">
        <v>0</v>
      </c>
    </row>
    <row r="61" spans="2:27">
      <c r="B61" s="1108"/>
      <c r="C61" s="1105"/>
      <c r="D61" s="1105"/>
      <c r="E61" s="1106"/>
      <c r="F61" s="1106"/>
      <c r="G61" s="1106"/>
      <c r="H61" s="1106"/>
      <c r="I61" s="1107"/>
      <c r="J61" s="1054"/>
      <c r="K61" s="1436"/>
      <c r="L61" s="1436"/>
      <c r="M61" s="1436"/>
      <c r="N61" s="1436"/>
      <c r="O61" s="1436"/>
      <c r="P61" s="1436"/>
      <c r="Q61" s="1436"/>
      <c r="R61" s="1436"/>
    </row>
    <row r="62" spans="2:27">
      <c r="B62" s="1718" t="s">
        <v>402</v>
      </c>
      <c r="C62" s="1719"/>
      <c r="D62" s="1719"/>
      <c r="E62" s="1069"/>
      <c r="F62" s="1069"/>
      <c r="G62" s="1720"/>
      <c r="H62" s="1721"/>
      <c r="I62" s="1070">
        <f>SUM(I59:I61)</f>
        <v>0</v>
      </c>
      <c r="J62" s="1054"/>
      <c r="K62" s="1436" t="s">
        <v>402</v>
      </c>
      <c r="L62" s="1436"/>
      <c r="M62" s="1436"/>
      <c r="N62" s="1436"/>
      <c r="O62" s="1436"/>
      <c r="P62" s="1436"/>
      <c r="Q62" s="1436"/>
      <c r="R62" s="1436">
        <v>0</v>
      </c>
    </row>
    <row r="63" spans="2:27">
      <c r="B63" s="1722" t="s">
        <v>3479</v>
      </c>
      <c r="C63" s="1723"/>
      <c r="D63" s="1723"/>
      <c r="E63" s="1105">
        <v>1</v>
      </c>
      <c r="F63" s="1105" t="s">
        <v>3476</v>
      </c>
      <c r="G63" s="1724">
        <v>1793010</v>
      </c>
      <c r="H63" s="1725"/>
      <c r="I63" s="1109">
        <f>ROUNDUP(E63*G63,0)</f>
        <v>1793010</v>
      </c>
      <c r="J63" s="1054"/>
      <c r="K63" s="1436" t="s">
        <v>3479</v>
      </c>
      <c r="L63" s="1436"/>
      <c r="M63" s="1436"/>
      <c r="N63" s="1436">
        <v>1</v>
      </c>
      <c r="O63" s="1436" t="s">
        <v>3476</v>
      </c>
      <c r="P63" s="1436">
        <v>1893212.47</v>
      </c>
      <c r="Q63" s="1436"/>
      <c r="R63" s="1436">
        <v>1893213</v>
      </c>
      <c r="Y63" s="696" t="s">
        <v>3485</v>
      </c>
      <c r="Z63" s="1440">
        <v>1793010</v>
      </c>
      <c r="AA63" s="696" t="s">
        <v>3484</v>
      </c>
    </row>
    <row r="64" spans="2:27">
      <c r="B64" s="1707" t="s">
        <v>3480</v>
      </c>
      <c r="C64" s="1708"/>
      <c r="D64" s="1708"/>
      <c r="E64" s="1110"/>
      <c r="F64" s="1111"/>
      <c r="G64" s="1709">
        <v>0.1</v>
      </c>
      <c r="H64" s="1710"/>
      <c r="I64" s="1112">
        <f>ROUNDUP(I63*G64,0)</f>
        <v>179301</v>
      </c>
      <c r="J64" s="1054"/>
      <c r="K64" s="1436" t="s">
        <v>3480</v>
      </c>
      <c r="L64" s="1436"/>
      <c r="M64" s="1436"/>
      <c r="N64" s="1436"/>
      <c r="O64" s="1436"/>
      <c r="P64" s="1436">
        <v>0.1</v>
      </c>
      <c r="Q64" s="1436"/>
      <c r="R64" s="1436">
        <v>189322</v>
      </c>
      <c r="T64" s="1440">
        <f>R63+R64</f>
        <v>2082535</v>
      </c>
      <c r="W64" s="1441">
        <f>T64/$R$74</f>
        <v>0.48537795798806815</v>
      </c>
      <c r="Y64" s="1436">
        <f>W64*W74</f>
        <v>1972310.8827967828</v>
      </c>
      <c r="Z64" s="1440">
        <f>0.1*Z63</f>
        <v>179301</v>
      </c>
    </row>
    <row r="65" spans="2:26">
      <c r="B65" s="1113"/>
      <c r="C65" s="1114"/>
      <c r="D65" s="1114"/>
      <c r="E65" s="1110"/>
      <c r="F65" s="1111"/>
      <c r="G65" s="1709"/>
      <c r="H65" s="1710"/>
      <c r="I65" s="1112"/>
      <c r="J65" s="1054"/>
      <c r="K65" s="1436"/>
      <c r="L65" s="1436"/>
      <c r="M65" s="1436"/>
      <c r="N65" s="1436"/>
      <c r="O65" s="1436"/>
      <c r="P65" s="1436"/>
      <c r="Q65" s="1436"/>
      <c r="R65" s="1436"/>
      <c r="Z65" s="1443">
        <f>Z63+Z64</f>
        <v>1972311</v>
      </c>
    </row>
    <row r="66" spans="2:26">
      <c r="B66" s="1113"/>
      <c r="C66" s="1114"/>
      <c r="D66" s="1114"/>
      <c r="E66" s="1110"/>
      <c r="F66" s="1110"/>
      <c r="G66" s="1709"/>
      <c r="H66" s="1710"/>
      <c r="I66" s="1112"/>
      <c r="J66" s="1054"/>
      <c r="K66" s="1436"/>
      <c r="L66" s="1436"/>
      <c r="M66" s="1436"/>
      <c r="N66" s="1436"/>
      <c r="O66" s="1436"/>
      <c r="P66" s="1436"/>
      <c r="Q66" s="1436"/>
      <c r="R66" s="1436"/>
    </row>
    <row r="67" spans="2:26">
      <c r="B67" s="1707" t="s">
        <v>3482</v>
      </c>
      <c r="C67" s="1708"/>
      <c r="D67" s="1708"/>
      <c r="E67" s="1110">
        <v>1</v>
      </c>
      <c r="F67" s="1110" t="s">
        <v>403</v>
      </c>
      <c r="G67" s="1674">
        <v>1320035</v>
      </c>
      <c r="H67" s="1675"/>
      <c r="I67" s="1112">
        <f>ROUNDUP(E67*G67,0)</f>
        <v>1320035</v>
      </c>
      <c r="J67" s="1054"/>
      <c r="K67" s="1436" t="s">
        <v>3482</v>
      </c>
      <c r="L67" s="1436"/>
      <c r="M67" s="1436"/>
      <c r="N67" s="1436">
        <v>1</v>
      </c>
      <c r="O67" s="1436" t="s">
        <v>403</v>
      </c>
      <c r="P67" s="1436">
        <v>1393805.23</v>
      </c>
      <c r="Q67" s="1436"/>
      <c r="R67" s="1436">
        <v>1393806</v>
      </c>
      <c r="Z67" s="1440">
        <v>1320035.4545454546</v>
      </c>
    </row>
    <row r="68" spans="2:26">
      <c r="B68" s="1707" t="s">
        <v>3481</v>
      </c>
      <c r="C68" s="1708"/>
      <c r="D68" s="1708"/>
      <c r="E68" s="1110"/>
      <c r="F68" s="1111"/>
      <c r="G68" s="1709">
        <v>0.1</v>
      </c>
      <c r="H68" s="1710"/>
      <c r="I68" s="1112">
        <f>ROUNDUP(I67*G68,0)</f>
        <v>132004</v>
      </c>
      <c r="J68" s="1054"/>
      <c r="K68" s="1436" t="s">
        <v>3481</v>
      </c>
      <c r="L68" s="1436"/>
      <c r="M68" s="1436"/>
      <c r="N68" s="1436"/>
      <c r="O68" s="1436"/>
      <c r="P68" s="1436">
        <v>0.1</v>
      </c>
      <c r="Q68" s="1436"/>
      <c r="R68" s="1436">
        <v>139381</v>
      </c>
      <c r="T68" s="1440">
        <f>R67+R68</f>
        <v>1533187</v>
      </c>
      <c r="W68" s="1441">
        <f>T68/$R$74</f>
        <v>0.35734101720924366</v>
      </c>
      <c r="Y68" s="1436">
        <f>W68*W74</f>
        <v>1452038.6958502743</v>
      </c>
      <c r="Z68" s="1440">
        <f>10%*Z67</f>
        <v>132003.54545454547</v>
      </c>
    </row>
    <row r="69" spans="2:26">
      <c r="B69" s="1113"/>
      <c r="C69" s="1114"/>
      <c r="D69" s="1114"/>
      <c r="E69" s="1110"/>
      <c r="F69" s="1111"/>
      <c r="G69" s="1430"/>
      <c r="H69" s="1431"/>
      <c r="I69" s="1112"/>
      <c r="J69" s="1054"/>
      <c r="K69" s="1436"/>
      <c r="L69" s="1436"/>
      <c r="M69" s="1436"/>
      <c r="N69" s="1436"/>
      <c r="O69" s="1436"/>
      <c r="P69" s="1436"/>
      <c r="Q69" s="1436"/>
      <c r="R69" s="1436"/>
      <c r="Z69" s="1443">
        <f>Z67+Z68</f>
        <v>1452039</v>
      </c>
    </row>
    <row r="70" spans="2:26">
      <c r="B70" s="1432"/>
      <c r="C70" s="1116"/>
      <c r="D70" s="1116"/>
      <c r="E70" s="1117"/>
      <c r="F70" s="1433"/>
      <c r="G70" s="1434"/>
      <c r="H70" s="1435"/>
      <c r="I70" s="1120"/>
      <c r="J70" s="1054"/>
      <c r="K70" s="1436"/>
      <c r="L70" s="1436"/>
      <c r="M70" s="1436"/>
      <c r="N70" s="1436"/>
      <c r="O70" s="1436"/>
      <c r="P70" s="1436"/>
      <c r="Q70" s="1436"/>
      <c r="R70" s="1436"/>
    </row>
    <row r="71" spans="2:26">
      <c r="B71" s="1432" t="s">
        <v>3478</v>
      </c>
      <c r="C71" s="1116"/>
      <c r="D71" s="1116"/>
      <c r="E71" s="1117">
        <v>1</v>
      </c>
      <c r="F71" s="1433" t="s">
        <v>3477</v>
      </c>
      <c r="G71" s="1674">
        <v>639104.1</v>
      </c>
      <c r="H71" s="1675"/>
      <c r="I71" s="1112">
        <f>ROUNDUP(E71*G71,0)</f>
        <v>639105</v>
      </c>
      <c r="J71" s="1054"/>
      <c r="K71" s="1436" t="s">
        <v>3478</v>
      </c>
      <c r="L71" s="1436"/>
      <c r="M71" s="1436"/>
      <c r="N71" s="1436">
        <v>1</v>
      </c>
      <c r="O71" s="1436" t="s">
        <v>3477</v>
      </c>
      <c r="P71" s="1436">
        <v>674820.78</v>
      </c>
      <c r="Q71" s="1436"/>
      <c r="R71" s="1436">
        <v>674821</v>
      </c>
    </row>
    <row r="72" spans="2:26">
      <c r="B72" s="1432"/>
      <c r="C72" s="1116"/>
      <c r="D72" s="1116"/>
      <c r="E72" s="1117"/>
      <c r="F72" s="1433"/>
      <c r="G72" s="1434"/>
      <c r="H72" s="1435"/>
      <c r="I72" s="1120"/>
      <c r="J72" s="1054"/>
      <c r="K72" s="1436"/>
      <c r="L72" s="1436"/>
      <c r="M72" s="1436"/>
      <c r="N72" s="1436"/>
      <c r="O72" s="1436"/>
      <c r="P72" s="1436"/>
      <c r="Q72" s="1436"/>
      <c r="R72" s="1436"/>
      <c r="T72" s="1440">
        <f>R71+R72</f>
        <v>674821</v>
      </c>
      <c r="W72" s="1441">
        <f>T72/$R$74</f>
        <v>0.15728102480268816</v>
      </c>
      <c r="Y72" s="1436">
        <f>W72*W74</f>
        <v>639104.16979297251</v>
      </c>
    </row>
    <row r="73" spans="2:26">
      <c r="B73" s="1115"/>
      <c r="C73" s="1116"/>
      <c r="D73" s="1116"/>
      <c r="E73" s="1117"/>
      <c r="F73" s="1117"/>
      <c r="G73" s="1118"/>
      <c r="H73" s="1119"/>
      <c r="I73" s="1120"/>
      <c r="J73" s="1054"/>
      <c r="K73" s="1436"/>
      <c r="L73" s="1436"/>
      <c r="M73" s="1436"/>
      <c r="N73" s="1436"/>
      <c r="O73" s="1436"/>
      <c r="P73" s="1436"/>
      <c r="Q73" s="1436"/>
      <c r="R73" s="1436"/>
    </row>
    <row r="74" spans="2:26">
      <c r="B74" s="1718" t="s">
        <v>402</v>
      </c>
      <c r="C74" s="1719"/>
      <c r="D74" s="1719"/>
      <c r="E74" s="1069"/>
      <c r="F74" s="1069"/>
      <c r="G74" s="1720"/>
      <c r="H74" s="1721"/>
      <c r="I74" s="1444">
        <v>4063453.7484400296</v>
      </c>
      <c r="J74" s="1445">
        <f>SUM(I63:I73)</f>
        <v>4063455</v>
      </c>
      <c r="K74" s="1436" t="s">
        <v>402</v>
      </c>
      <c r="L74" s="1436"/>
      <c r="M74" s="1436"/>
      <c r="N74" s="1436"/>
      <c r="O74" s="1436"/>
      <c r="P74" s="1436"/>
      <c r="Q74" s="1436"/>
      <c r="R74" s="1438">
        <f>SUM(R63:R73)</f>
        <v>4290543</v>
      </c>
      <c r="W74" s="1442">
        <f>I74</f>
        <v>4063453.7484400296</v>
      </c>
    </row>
    <row r="75" spans="2:26">
      <c r="B75" s="1071" t="s">
        <v>404</v>
      </c>
      <c r="C75" s="1072"/>
      <c r="D75" s="1072"/>
      <c r="E75" s="1073"/>
      <c r="F75" s="1073"/>
      <c r="G75" s="1760">
        <f>Assumptions!D19</f>
        <v>0.1</v>
      </c>
      <c r="H75" s="1761"/>
      <c r="I75" s="1074">
        <f>ROUNDUP($G$75*$I$74,0)</f>
        <v>406346</v>
      </c>
      <c r="J75" s="1054"/>
      <c r="K75" s="1436"/>
      <c r="L75" s="1436"/>
      <c r="M75" s="1436"/>
      <c r="N75" s="1436"/>
      <c r="O75" s="1436"/>
      <c r="P75" s="1436"/>
      <c r="Q75" s="1436"/>
      <c r="R75" s="1436"/>
    </row>
    <row r="76" spans="2:26">
      <c r="B76" s="1718" t="s">
        <v>402</v>
      </c>
      <c r="C76" s="1719"/>
      <c r="D76" s="1719"/>
      <c r="E76" s="1069"/>
      <c r="F76" s="1069"/>
      <c r="G76" s="1720"/>
      <c r="H76" s="1721"/>
      <c r="I76" s="1070">
        <f>ROUNDUP(SUM(I74:I75),0)</f>
        <v>4469800</v>
      </c>
      <c r="J76" s="1054"/>
      <c r="K76" s="1436"/>
      <c r="L76" s="1436"/>
      <c r="M76" s="1436"/>
      <c r="N76" s="1436"/>
      <c r="O76" s="1436"/>
      <c r="P76" s="1436"/>
      <c r="Q76" s="1436"/>
      <c r="R76" s="1436"/>
    </row>
    <row r="77" spans="2:26">
      <c r="B77" s="1075" t="s">
        <v>405</v>
      </c>
      <c r="C77" s="1076"/>
      <c r="D77" s="1076"/>
      <c r="E77" s="1029"/>
      <c r="F77" s="1129"/>
      <c r="G77" s="1756">
        <v>0.16</v>
      </c>
      <c r="H77" s="1757"/>
      <c r="I77" s="1132">
        <f>I76*G77</f>
        <v>715168</v>
      </c>
      <c r="J77" s="1054"/>
      <c r="R77" s="1439"/>
    </row>
    <row r="78" spans="2:26">
      <c r="B78" s="1031" t="s">
        <v>406</v>
      </c>
      <c r="C78" s="1032"/>
      <c r="D78" s="1032"/>
      <c r="E78" s="1030"/>
      <c r="F78" s="1130"/>
      <c r="G78" s="1758">
        <v>2.5000000000000001E-2</v>
      </c>
      <c r="H78" s="1759"/>
      <c r="I78" s="1752">
        <f>ROUNDUP(I76*G78,0)</f>
        <v>111745</v>
      </c>
      <c r="J78" s="1054"/>
      <c r="Z78" s="1436"/>
    </row>
    <row r="79" spans="2:26">
      <c r="B79" s="1031" t="s">
        <v>407</v>
      </c>
      <c r="C79" s="1032"/>
      <c r="D79" s="1032"/>
      <c r="E79" s="1030"/>
      <c r="F79" s="1130"/>
      <c r="G79" s="1758"/>
      <c r="H79" s="1759"/>
      <c r="I79" s="1753"/>
      <c r="J79" s="1054"/>
    </row>
    <row r="80" spans="2:26">
      <c r="B80" s="1077" t="s">
        <v>408</v>
      </c>
      <c r="C80" s="1033"/>
      <c r="D80" s="1033"/>
      <c r="E80" s="1034"/>
      <c r="F80" s="1131"/>
      <c r="G80" s="1754"/>
      <c r="H80" s="1755"/>
      <c r="I80" s="1133">
        <v>0</v>
      </c>
      <c r="J80" s="1054"/>
    </row>
    <row r="81" spans="2:25">
      <c r="B81" s="1078" t="s">
        <v>402</v>
      </c>
      <c r="C81" s="1079"/>
      <c r="D81" s="1079"/>
      <c r="E81" s="1069"/>
      <c r="F81" s="1069"/>
      <c r="G81" s="1080"/>
      <c r="H81" s="1081"/>
      <c r="I81" s="1070">
        <f>ROUNDUP(SUM(I76:I80),0)</f>
        <v>5296713</v>
      </c>
      <c r="J81" s="1054"/>
    </row>
    <row r="82" spans="2:25">
      <c r="B82" s="1075" t="s">
        <v>409</v>
      </c>
      <c r="C82" s="1076" t="s">
        <v>410</v>
      </c>
      <c r="D82" s="1076"/>
      <c r="E82" s="1029"/>
      <c r="F82" s="1129"/>
      <c r="G82" s="1726">
        <f>E48</f>
        <v>-6.4773293472843996E-3</v>
      </c>
      <c r="H82" s="1727"/>
      <c r="I82" s="1134">
        <f>ROUNDUP(I81*G82,0)</f>
        <v>-34309</v>
      </c>
      <c r="J82" s="1054"/>
    </row>
    <row r="83" spans="2:25">
      <c r="B83" s="1078" t="s">
        <v>402</v>
      </c>
      <c r="C83" s="1079"/>
      <c r="D83" s="1079"/>
      <c r="E83" s="1069"/>
      <c r="F83" s="1069"/>
      <c r="G83" s="1744"/>
      <c r="H83" s="1745"/>
      <c r="I83" s="1082">
        <f>ROUNDUP(SUM(I81:I82),0)</f>
        <v>5262404</v>
      </c>
      <c r="J83" s="1054"/>
    </row>
    <row r="84" spans="2:25">
      <c r="B84" s="1083"/>
      <c r="C84" s="1038"/>
      <c r="D84" s="1084"/>
      <c r="E84" s="1073"/>
      <c r="F84" s="1035" t="s">
        <v>411</v>
      </c>
      <c r="G84" s="1035"/>
      <c r="H84" s="1064"/>
      <c r="I84" s="1085"/>
      <c r="J84" s="1054"/>
    </row>
    <row r="85" spans="2:25">
      <c r="B85" s="1071" t="str">
        <f>B50</f>
        <v>PPI Mech &amp; Elec:</v>
      </c>
      <c r="C85" s="1072" t="s">
        <v>112</v>
      </c>
      <c r="D85" s="1072"/>
      <c r="E85" s="1073"/>
      <c r="F85" s="1128"/>
      <c r="G85" s="1101">
        <v>0.09</v>
      </c>
      <c r="H85" s="1065">
        <v>0.6</v>
      </c>
      <c r="I85" s="1086">
        <f>ROUNDUP(I83*G85*H85,0)</f>
        <v>284170</v>
      </c>
      <c r="J85" s="1054"/>
    </row>
    <row r="86" spans="2:25">
      <c r="B86" s="1718" t="s">
        <v>402</v>
      </c>
      <c r="C86" s="1719"/>
      <c r="D86" s="1719"/>
      <c r="E86" s="1069"/>
      <c r="F86" s="1069"/>
      <c r="G86" s="1734"/>
      <c r="H86" s="1735"/>
      <c r="I86" s="1070">
        <f>ROUNDUP(SUM(I83:I85),0)</f>
        <v>5546574</v>
      </c>
      <c r="J86" s="1054"/>
    </row>
    <row r="87" spans="2:25" ht="15.75" thickBot="1">
      <c r="B87" s="1736" t="s">
        <v>412</v>
      </c>
      <c r="C87" s="1737"/>
      <c r="D87" s="1737"/>
      <c r="E87" s="1087"/>
      <c r="F87" s="1087"/>
      <c r="G87" s="1088"/>
      <c r="H87" s="1089"/>
      <c r="I87" s="1090">
        <f>ROUNDUP(I86+I62,0)</f>
        <v>5546574</v>
      </c>
      <c r="J87" s="1437">
        <v>5546573.8700000001</v>
      </c>
    </row>
    <row r="88" spans="2:25" ht="6" customHeight="1" thickTop="1">
      <c r="B88" s="920"/>
      <c r="C88" s="897"/>
      <c r="D88" s="897"/>
      <c r="E88" s="1041"/>
      <c r="F88" s="1041"/>
      <c r="G88" s="1041"/>
      <c r="H88" s="1041"/>
      <c r="I88" s="1042"/>
      <c r="J88" s="1054"/>
    </row>
    <row r="89" spans="2:25">
      <c r="B89" s="1091" t="s">
        <v>413</v>
      </c>
      <c r="C89" s="897"/>
      <c r="D89" s="897"/>
      <c r="E89" s="1041"/>
      <c r="F89" s="1041"/>
      <c r="G89" s="1041"/>
      <c r="H89" s="1041"/>
      <c r="I89" s="1042"/>
      <c r="J89" s="1054"/>
    </row>
    <row r="90" spans="2:25">
      <c r="B90" s="1738" t="s">
        <v>414</v>
      </c>
      <c r="C90" s="1739"/>
      <c r="D90" s="1740"/>
      <c r="E90" s="1741" t="s">
        <v>415</v>
      </c>
      <c r="F90" s="1742"/>
      <c r="G90" s="1742"/>
      <c r="H90" s="1743"/>
      <c r="I90" s="1042"/>
      <c r="J90" s="1054"/>
    </row>
    <row r="91" spans="2:25">
      <c r="B91" s="1121"/>
      <c r="C91" s="1122"/>
      <c r="D91" s="1123"/>
      <c r="E91" s="1092" t="str">
        <f>B59</f>
        <v>EIA Process</v>
      </c>
      <c r="F91" s="1038"/>
      <c r="G91" s="1124"/>
      <c r="H91" s="1093">
        <f>$I$59</f>
        <v>0</v>
      </c>
      <c r="I91" s="1042"/>
      <c r="J91" s="1054"/>
    </row>
    <row r="92" spans="2:25">
      <c r="B92" s="1121"/>
      <c r="C92" s="1122"/>
      <c r="D92" s="1123"/>
      <c r="E92" s="920" t="s">
        <v>416</v>
      </c>
      <c r="F92" s="897"/>
      <c r="G92" s="1125"/>
      <c r="H92" s="1093">
        <f>$I$77</f>
        <v>715168</v>
      </c>
      <c r="I92" s="1042">
        <f>I76+I78+I80+I82+I85+H95</f>
        <v>5188990</v>
      </c>
      <c r="J92" s="1054"/>
      <c r="K92" s="925"/>
      <c r="Y92" s="1446">
        <f>J94-H92</f>
        <v>4831406</v>
      </c>
    </row>
    <row r="93" spans="2:25">
      <c r="B93" s="1728"/>
      <c r="C93" s="1729"/>
      <c r="D93" s="1730"/>
      <c r="E93" s="920" t="str">
        <f>B37</f>
        <v>Concept Design Period:</v>
      </c>
      <c r="F93" s="897"/>
      <c r="G93" s="1126">
        <v>0.15</v>
      </c>
      <c r="H93" s="1093">
        <f>($H$92*$G$93)</f>
        <v>107275.2</v>
      </c>
      <c r="I93" s="1042">
        <f>$H$91+$H$93+$H$94</f>
        <v>357584</v>
      </c>
      <c r="J93" s="1054"/>
    </row>
    <row r="94" spans="2:25">
      <c r="B94" s="1728"/>
      <c r="C94" s="1729"/>
      <c r="D94" s="1730"/>
      <c r="E94" s="920" t="str">
        <f>B41</f>
        <v>Design Development Period (up to contract award):</v>
      </c>
      <c r="F94" s="897"/>
      <c r="G94" s="1126">
        <v>0.35</v>
      </c>
      <c r="H94" s="1094">
        <f>$H$92*$G$94</f>
        <v>250308.8</v>
      </c>
      <c r="I94" s="1042">
        <f>ROUND(SUM(I92:I93),0)</f>
        <v>5546574</v>
      </c>
      <c r="J94" s="1095">
        <f>I94</f>
        <v>5546574</v>
      </c>
    </row>
    <row r="95" spans="2:25">
      <c r="B95" s="1731"/>
      <c r="C95" s="1732"/>
      <c r="D95" s="1733"/>
      <c r="E95" s="1096" t="str">
        <f>B42</f>
        <v>Construction Period:</v>
      </c>
      <c r="F95" s="1097"/>
      <c r="G95" s="1127">
        <v>0.5</v>
      </c>
      <c r="H95" s="1098">
        <f>$H$92*$G$95</f>
        <v>357584</v>
      </c>
      <c r="I95" s="1154" t="b">
        <f>I94=Cashflow!E22</f>
        <v>1</v>
      </c>
      <c r="J95" s="1154" t="b">
        <f>J94=J87</f>
        <v>0</v>
      </c>
      <c r="K95" s="925"/>
    </row>
    <row r="96" spans="2:25">
      <c r="E96" s="916"/>
      <c r="F96" s="916"/>
      <c r="G96" s="916"/>
      <c r="H96" s="916"/>
      <c r="I96" s="1040"/>
      <c r="K96" s="700"/>
    </row>
    <row r="104" spans="2:2" hidden="1" outlineLevel="1">
      <c r="B104" s="696" t="s">
        <v>417</v>
      </c>
    </row>
    <row r="105" spans="2:2" hidden="1" outlineLevel="1">
      <c r="B105" s="696" t="s">
        <v>372</v>
      </c>
    </row>
    <row r="106" spans="2:2" hidden="1" outlineLevel="1">
      <c r="B106" s="696" t="s">
        <v>418</v>
      </c>
    </row>
    <row r="107" spans="2:2" hidden="1" outlineLevel="1">
      <c r="B107" s="696" t="s">
        <v>419</v>
      </c>
    </row>
    <row r="108" spans="2:2" hidden="1" outlineLevel="1">
      <c r="B108" s="696" t="s">
        <v>420</v>
      </c>
    </row>
    <row r="109" spans="2:2" hidden="1" outlineLevel="1">
      <c r="B109" s="696" t="s">
        <v>421</v>
      </c>
    </row>
    <row r="110" spans="2:2" hidden="1" outlineLevel="1">
      <c r="B110" s="696" t="s">
        <v>422</v>
      </c>
    </row>
    <row r="111" spans="2:2" hidden="1" outlineLevel="1">
      <c r="B111" s="696" t="s">
        <v>423</v>
      </c>
    </row>
    <row r="112" spans="2:2" hidden="1" outlineLevel="1">
      <c r="B112" s="696" t="s">
        <v>424</v>
      </c>
    </row>
    <row r="113" spans="2:2" hidden="1" outlineLevel="1"/>
    <row r="114" spans="2:2" hidden="1" outlineLevel="1"/>
    <row r="115" spans="2:2" hidden="1" outlineLevel="1">
      <c r="B115" s="696" t="s">
        <v>425</v>
      </c>
    </row>
    <row r="116" spans="2:2" hidden="1" outlineLevel="1">
      <c r="B116" s="696" t="s">
        <v>426</v>
      </c>
    </row>
    <row r="117" spans="2:2" hidden="1" outlineLevel="1">
      <c r="B117" s="696" t="s">
        <v>427</v>
      </c>
    </row>
    <row r="118" spans="2:2" hidden="1" outlineLevel="1">
      <c r="B118" s="696" t="s">
        <v>428</v>
      </c>
    </row>
    <row r="119" spans="2:2" hidden="1" outlineLevel="1">
      <c r="B119" s="696" t="s">
        <v>429</v>
      </c>
    </row>
    <row r="120" spans="2:2" hidden="1" outlineLevel="1">
      <c r="B120" s="696" t="s">
        <v>430</v>
      </c>
    </row>
    <row r="121" spans="2:2" hidden="1" outlineLevel="1">
      <c r="B121" s="696" t="s">
        <v>431</v>
      </c>
    </row>
    <row r="122" spans="2:2" hidden="1" outlineLevel="1">
      <c r="B122" s="696" t="s">
        <v>432</v>
      </c>
    </row>
    <row r="123" spans="2:2" hidden="1" outlineLevel="1">
      <c r="B123" s="696" t="s">
        <v>433</v>
      </c>
    </row>
    <row r="124" spans="2:2" hidden="1" outlineLevel="1">
      <c r="B124" s="696" t="s">
        <v>428</v>
      </c>
    </row>
    <row r="125" spans="2:2" hidden="1" outlineLevel="1">
      <c r="B125" s="696" t="s">
        <v>434</v>
      </c>
    </row>
    <row r="126" spans="2:2" hidden="1" outlineLevel="1"/>
    <row r="127" spans="2:2" collapsed="1"/>
  </sheetData>
  <mergeCells count="56">
    <mergeCell ref="C10:E10"/>
    <mergeCell ref="C16:E16"/>
    <mergeCell ref="C18:E18"/>
    <mergeCell ref="I78:I79"/>
    <mergeCell ref="G80:H80"/>
    <mergeCell ref="B76:D76"/>
    <mergeCell ref="G76:H76"/>
    <mergeCell ref="G77:H77"/>
    <mergeCell ref="G78:H79"/>
    <mergeCell ref="B74:D74"/>
    <mergeCell ref="G74:H74"/>
    <mergeCell ref="G75:H75"/>
    <mergeCell ref="B64:D64"/>
    <mergeCell ref="G64:H64"/>
    <mergeCell ref="G65:H65"/>
    <mergeCell ref="G66:H66"/>
    <mergeCell ref="G82:H82"/>
    <mergeCell ref="B94:D94"/>
    <mergeCell ref="B95:D95"/>
    <mergeCell ref="B86:D86"/>
    <mergeCell ref="G86:H86"/>
    <mergeCell ref="B87:D87"/>
    <mergeCell ref="B90:D90"/>
    <mergeCell ref="E90:H90"/>
    <mergeCell ref="B93:D93"/>
    <mergeCell ref="G83:H83"/>
    <mergeCell ref="G68:H68"/>
    <mergeCell ref="G60:H60"/>
    <mergeCell ref="B59:D59"/>
    <mergeCell ref="G59:H59"/>
    <mergeCell ref="B62:D62"/>
    <mergeCell ref="G62:H62"/>
    <mergeCell ref="B63:D63"/>
    <mergeCell ref="G63:H63"/>
    <mergeCell ref="B68:D68"/>
    <mergeCell ref="D43:I43"/>
    <mergeCell ref="C54:D54"/>
    <mergeCell ref="C55:D55"/>
    <mergeCell ref="B67:D67"/>
    <mergeCell ref="G67:H67"/>
    <mergeCell ref="G71:H71"/>
    <mergeCell ref="C12:I12"/>
    <mergeCell ref="C14:E14"/>
    <mergeCell ref="D36:I36"/>
    <mergeCell ref="C20:E20"/>
    <mergeCell ref="B26:J30"/>
    <mergeCell ref="B58:D58"/>
    <mergeCell ref="G58:H58"/>
    <mergeCell ref="D37:F37"/>
    <mergeCell ref="G37:I37"/>
    <mergeCell ref="D38:F38"/>
    <mergeCell ref="G38:I38"/>
    <mergeCell ref="D41:F41"/>
    <mergeCell ref="G41:I41"/>
    <mergeCell ref="D42:F42"/>
    <mergeCell ref="G42:I42"/>
  </mergeCells>
  <pageMargins left="0.51181102362204722" right="1.1023622047244095" top="0.94488188976377963" bottom="0.74803149606299213" header="0.31496062992125984" footer="0.31496062992125984"/>
  <pageSetup paperSize="8" scale="40" orientation="portrait" r:id="rId1"/>
  <headerFooter>
    <oddHeader>&amp;C&amp;"Calibri"&amp;10&amp;K000000Confidential&amp;1#</oddHeader>
    <oddFooter>&amp;R&amp;1#&amp;"Calibri"&amp;10&amp;K000000Confidential</oddFooter>
  </headerFooter>
  <drawing r:id="rId2"/>
  <legacy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V48"/>
  <sheetViews>
    <sheetView zoomScale="80" zoomScaleNormal="80" workbookViewId="0">
      <selection activeCell="E50" sqref="E50"/>
    </sheetView>
  </sheetViews>
  <sheetFormatPr defaultColWidth="9.140625" defaultRowHeight="15" outlineLevelRow="1" outlineLevelCol="1"/>
  <cols>
    <col min="1" max="1" width="10.5703125" customWidth="1"/>
    <col min="2" max="2" width="21" customWidth="1"/>
    <col min="3" max="3" width="13.42578125" customWidth="1"/>
    <col min="4" max="4" width="13.7109375" customWidth="1"/>
    <col min="5" max="5" width="14.7109375" customWidth="1"/>
    <col min="6" max="6" width="9.140625" customWidth="1"/>
    <col min="7" max="7" width="15.7109375" customWidth="1" outlineLevel="1"/>
    <col min="8" max="8" width="16" customWidth="1" outlineLevel="1"/>
    <col min="9" max="9" width="16.42578125" customWidth="1" outlineLevel="1"/>
    <col min="10" max="10" width="15.140625" customWidth="1" outlineLevel="1"/>
    <col min="11" max="17" width="11.85546875" bestFit="1" customWidth="1" outlineLevel="1"/>
    <col min="18" max="18" width="16.85546875" bestFit="1" customWidth="1"/>
    <col min="19" max="19" width="11.85546875" bestFit="1" customWidth="1"/>
  </cols>
  <sheetData>
    <row r="1" spans="1:22">
      <c r="A1" s="1"/>
      <c r="B1" s="1"/>
      <c r="C1" s="1"/>
      <c r="D1" s="1"/>
      <c r="E1" s="1"/>
      <c r="F1" s="1"/>
      <c r="G1" s="1"/>
      <c r="H1" s="1"/>
      <c r="I1" s="1"/>
      <c r="J1" s="1"/>
      <c r="K1" s="1"/>
      <c r="L1" s="1"/>
      <c r="M1" s="1"/>
      <c r="N1" s="1"/>
      <c r="O1" s="1"/>
      <c r="P1" s="1"/>
      <c r="Q1" s="1"/>
      <c r="R1" s="1"/>
      <c r="S1" s="1"/>
    </row>
    <row r="2" spans="1:22">
      <c r="A2" s="1"/>
      <c r="B2" s="1"/>
      <c r="C2" s="1"/>
      <c r="D2" s="1"/>
      <c r="E2" s="1"/>
      <c r="F2" s="1"/>
      <c r="G2" s="1"/>
      <c r="H2" s="1"/>
      <c r="I2" s="1"/>
      <c r="J2" s="1"/>
      <c r="K2" s="1"/>
      <c r="L2" s="1"/>
      <c r="M2" s="1"/>
      <c r="N2" s="1"/>
      <c r="O2" s="1"/>
      <c r="P2" s="1"/>
      <c r="Q2" s="1"/>
      <c r="R2" s="1"/>
      <c r="S2" s="1"/>
    </row>
    <row r="3" spans="1:22">
      <c r="A3" s="1"/>
      <c r="B3" s="1"/>
      <c r="C3" s="1"/>
      <c r="D3" s="1"/>
      <c r="E3" s="1"/>
      <c r="F3" s="1"/>
      <c r="G3" s="1"/>
      <c r="H3" s="1"/>
      <c r="I3" s="1"/>
      <c r="J3" s="1"/>
      <c r="K3" s="1"/>
      <c r="L3" s="1"/>
      <c r="M3" s="1"/>
      <c r="N3" s="1"/>
      <c r="O3" s="1"/>
      <c r="P3" s="1"/>
      <c r="Q3" s="1"/>
      <c r="R3" s="1"/>
      <c r="S3" s="1"/>
    </row>
    <row r="4" spans="1:22">
      <c r="A4" s="1"/>
      <c r="B4" s="1"/>
      <c r="C4" s="1"/>
      <c r="D4" s="1"/>
      <c r="E4" s="1"/>
      <c r="F4" s="1"/>
      <c r="G4" s="1"/>
      <c r="H4" s="1"/>
      <c r="I4" s="1"/>
      <c r="J4" s="1"/>
      <c r="K4" s="1"/>
      <c r="L4" s="1"/>
      <c r="M4" s="1"/>
      <c r="N4" s="1"/>
      <c r="O4" s="1"/>
      <c r="P4" s="1"/>
      <c r="Q4" s="1"/>
      <c r="R4" s="1"/>
      <c r="S4" s="1"/>
    </row>
    <row r="5" spans="1:22">
      <c r="A5" s="1"/>
      <c r="B5" s="1"/>
      <c r="C5" s="1"/>
      <c r="D5" s="1"/>
      <c r="E5" s="1"/>
      <c r="F5" s="1"/>
      <c r="G5" s="1"/>
      <c r="H5" s="1"/>
      <c r="I5" s="1"/>
      <c r="J5" s="1"/>
      <c r="K5" s="1"/>
      <c r="L5" s="1"/>
      <c r="M5" s="1"/>
      <c r="N5" s="1"/>
      <c r="O5" s="1"/>
      <c r="P5" s="1"/>
      <c r="Q5" s="1"/>
      <c r="R5" s="1"/>
      <c r="S5" s="1"/>
    </row>
    <row r="6" spans="1:22">
      <c r="A6" s="1"/>
      <c r="B6" s="1"/>
      <c r="C6" s="1"/>
      <c r="D6" s="1"/>
      <c r="E6" s="1"/>
      <c r="F6" s="1"/>
      <c r="G6" s="1"/>
      <c r="H6" s="1"/>
      <c r="I6" s="1"/>
      <c r="J6" s="1"/>
      <c r="K6" s="1"/>
      <c r="L6" s="1"/>
      <c r="M6" s="1"/>
      <c r="N6" s="1"/>
      <c r="O6" s="1"/>
      <c r="P6" s="1"/>
      <c r="Q6" s="1"/>
      <c r="R6" s="1"/>
      <c r="S6" s="1"/>
    </row>
    <row r="7" spans="1:22">
      <c r="A7" s="1"/>
      <c r="B7" s="1"/>
      <c r="C7" s="1"/>
      <c r="D7" s="1"/>
      <c r="E7" s="1"/>
      <c r="F7" s="1"/>
      <c r="G7" s="1"/>
      <c r="H7" s="1"/>
      <c r="I7" s="1"/>
      <c r="J7" s="1"/>
      <c r="K7" s="1"/>
      <c r="L7" s="1"/>
      <c r="M7" s="1"/>
      <c r="N7" s="1"/>
      <c r="O7" s="1"/>
      <c r="P7" s="1"/>
      <c r="Q7" s="1"/>
      <c r="R7" s="1"/>
      <c r="S7" s="1"/>
    </row>
    <row r="8" spans="1:22">
      <c r="A8" s="1"/>
      <c r="B8" s="1"/>
      <c r="C8" s="1"/>
      <c r="D8" s="1"/>
      <c r="E8" s="1"/>
      <c r="F8" s="1"/>
      <c r="G8" s="1"/>
      <c r="H8" s="1"/>
      <c r="I8" s="1"/>
      <c r="J8" s="1"/>
      <c r="K8" s="1"/>
      <c r="L8" s="1"/>
      <c r="M8" s="1"/>
      <c r="N8" s="1"/>
      <c r="O8" s="1"/>
      <c r="P8" s="1"/>
      <c r="Q8" s="1"/>
      <c r="R8" s="1"/>
      <c r="S8" s="1"/>
    </row>
    <row r="9" spans="1:22">
      <c r="A9" s="1"/>
      <c r="B9" s="1"/>
      <c r="C9" s="1"/>
      <c r="D9" s="1"/>
      <c r="E9" s="1"/>
      <c r="F9" s="1"/>
      <c r="G9" s="1"/>
      <c r="H9" s="1"/>
      <c r="I9" s="1"/>
      <c r="J9" s="1"/>
      <c r="K9" s="1"/>
      <c r="L9" s="1"/>
      <c r="M9" s="1"/>
      <c r="N9" s="1"/>
      <c r="O9" s="1"/>
      <c r="P9" s="1"/>
      <c r="Q9" s="1"/>
      <c r="R9" s="1"/>
      <c r="S9" s="1"/>
    </row>
    <row r="10" spans="1:22">
      <c r="A10" s="1"/>
      <c r="B10" s="1"/>
      <c r="C10" s="1"/>
      <c r="D10" s="1"/>
      <c r="E10" s="1"/>
      <c r="F10" s="1"/>
      <c r="G10" s="1"/>
      <c r="H10" s="1"/>
      <c r="I10" s="1"/>
      <c r="J10" s="1"/>
      <c r="K10" s="1"/>
      <c r="L10" s="1"/>
      <c r="M10" s="1"/>
      <c r="N10" s="1"/>
      <c r="O10" s="1"/>
      <c r="P10" s="1"/>
      <c r="Q10" s="1"/>
      <c r="R10" s="1"/>
      <c r="S10" s="1"/>
    </row>
    <row r="11" spans="1:22">
      <c r="A11" s="1"/>
      <c r="B11" s="1"/>
      <c r="C11" s="1"/>
      <c r="D11" s="1"/>
      <c r="E11" s="1"/>
      <c r="F11" s="1"/>
      <c r="G11" s="1"/>
      <c r="H11" s="1"/>
      <c r="I11" s="1"/>
      <c r="J11" s="1"/>
      <c r="K11" s="1"/>
      <c r="L11" s="1"/>
      <c r="M11" s="1"/>
      <c r="N11" s="1"/>
      <c r="O11" s="1"/>
      <c r="P11" s="1"/>
      <c r="Q11" s="1"/>
      <c r="R11" s="1"/>
      <c r="S11" s="1"/>
    </row>
    <row r="12" spans="1:22">
      <c r="A12" s="8"/>
      <c r="B12" s="9"/>
      <c r="C12" s="9"/>
      <c r="D12" s="2"/>
      <c r="E12" s="2"/>
      <c r="F12" s="2"/>
      <c r="G12" s="1"/>
      <c r="H12" s="1"/>
      <c r="I12" s="1"/>
      <c r="J12" s="1"/>
      <c r="K12" s="1"/>
      <c r="L12" s="1"/>
      <c r="M12" s="1"/>
      <c r="N12" s="1"/>
      <c r="O12" s="1"/>
      <c r="P12" s="1"/>
      <c r="Q12" s="1"/>
      <c r="R12" s="1"/>
      <c r="S12" s="1"/>
    </row>
    <row r="13" spans="1:22" ht="15" customHeight="1">
      <c r="A13" s="1"/>
      <c r="B13" s="1"/>
      <c r="C13" s="1"/>
      <c r="D13" s="1"/>
      <c r="E13" s="1"/>
      <c r="F13" s="1"/>
      <c r="G13" s="1"/>
      <c r="H13" s="1"/>
      <c r="I13" s="1"/>
      <c r="J13" s="1"/>
      <c r="K13" s="1"/>
      <c r="L13" s="1"/>
      <c r="M13" s="1"/>
      <c r="N13" s="1"/>
      <c r="O13" s="1"/>
      <c r="P13" s="1"/>
      <c r="Q13" s="1"/>
      <c r="R13" s="1"/>
      <c r="S13" s="1"/>
    </row>
    <row r="14" spans="1:22">
      <c r="A14" s="1"/>
      <c r="B14" s="1"/>
      <c r="C14" s="1"/>
      <c r="D14" s="1"/>
      <c r="E14" s="1"/>
      <c r="F14" s="1"/>
      <c r="G14" s="1"/>
      <c r="H14" s="1"/>
      <c r="I14" s="1"/>
      <c r="J14" s="1"/>
      <c r="K14" s="1"/>
      <c r="L14" s="1"/>
      <c r="M14" s="1"/>
      <c r="N14" s="1"/>
      <c r="O14" s="1"/>
      <c r="P14" s="1"/>
      <c r="Q14" s="1"/>
      <c r="R14" s="1"/>
      <c r="S14" s="1"/>
    </row>
    <row r="15" spans="1:22">
      <c r="A15" s="1"/>
      <c r="B15" s="4"/>
      <c r="C15" s="4"/>
      <c r="D15" s="4"/>
      <c r="E15" s="4"/>
      <c r="F15" s="4"/>
      <c r="G15" s="4"/>
      <c r="H15" s="4"/>
      <c r="I15" s="4"/>
      <c r="J15" s="4"/>
      <c r="K15" s="4"/>
      <c r="L15" s="4"/>
      <c r="M15" s="4"/>
      <c r="N15" s="4"/>
      <c r="O15" s="4"/>
      <c r="P15" s="4"/>
      <c r="Q15" s="4"/>
      <c r="R15" s="4"/>
      <c r="S15" s="4"/>
      <c r="T15" s="30"/>
      <c r="U15" s="30"/>
      <c r="V15" s="30"/>
    </row>
    <row r="16" spans="1:22">
      <c r="A16" s="1"/>
      <c r="B16" s="4"/>
      <c r="C16" s="4"/>
      <c r="D16" s="4"/>
      <c r="E16" s="4"/>
      <c r="F16" s="4"/>
      <c r="G16" s="4"/>
      <c r="H16" s="4"/>
      <c r="I16" s="4"/>
      <c r="J16" s="4"/>
      <c r="K16" s="4"/>
      <c r="L16" s="4"/>
      <c r="M16" s="4"/>
      <c r="N16" s="4"/>
      <c r="O16" s="4"/>
      <c r="P16" s="4"/>
      <c r="Q16" s="4"/>
      <c r="R16" s="4"/>
      <c r="S16" s="4"/>
      <c r="T16" s="30"/>
      <c r="U16" s="30"/>
      <c r="V16" s="30"/>
    </row>
    <row r="17" spans="1:22" ht="13.5" customHeight="1">
      <c r="A17" s="1"/>
      <c r="B17" s="4"/>
      <c r="C17" s="4"/>
      <c r="D17" s="4"/>
      <c r="E17" s="4"/>
      <c r="F17" s="4"/>
      <c r="G17" s="1762" t="s">
        <v>435</v>
      </c>
      <c r="H17" s="1762"/>
      <c r="I17" s="1762"/>
      <c r="J17" s="1762"/>
      <c r="K17" s="1762"/>
      <c r="L17" s="1762"/>
      <c r="M17" s="1762"/>
      <c r="N17" s="1762"/>
      <c r="O17" s="1762"/>
      <c r="P17" s="1762"/>
      <c r="Q17" s="1763"/>
      <c r="R17" s="1762"/>
      <c r="S17" s="1763"/>
      <c r="T17" s="30"/>
      <c r="U17" s="30"/>
      <c r="V17" s="30"/>
    </row>
    <row r="18" spans="1:22" ht="13.5" customHeight="1">
      <c r="A18" s="1"/>
      <c r="B18" s="110"/>
      <c r="C18" s="111" t="s">
        <v>436</v>
      </c>
      <c r="D18" s="111" t="s">
        <v>437</v>
      </c>
      <c r="E18" s="112" t="s">
        <v>438</v>
      </c>
      <c r="F18" s="4"/>
      <c r="G18" s="67">
        <v>43191</v>
      </c>
      <c r="H18" s="67">
        <f t="shared" ref="H18:K18" si="0">+G19+1</f>
        <v>43556</v>
      </c>
      <c r="I18" s="67">
        <f t="shared" si="0"/>
        <v>43922</v>
      </c>
      <c r="J18" s="67">
        <f t="shared" si="0"/>
        <v>44287</v>
      </c>
      <c r="K18" s="67">
        <f t="shared" si="0"/>
        <v>44652</v>
      </c>
      <c r="L18" s="67">
        <f>+K19+1</f>
        <v>45017</v>
      </c>
      <c r="M18" s="67">
        <f t="shared" ref="M18:Q18" si="1">+L19+1</f>
        <v>45383</v>
      </c>
      <c r="N18" s="67">
        <f t="shared" si="1"/>
        <v>45748</v>
      </c>
      <c r="O18" s="67">
        <f t="shared" si="1"/>
        <v>46113</v>
      </c>
      <c r="P18" s="67">
        <f t="shared" si="1"/>
        <v>46478</v>
      </c>
      <c r="Q18" s="67">
        <f t="shared" si="1"/>
        <v>46844</v>
      </c>
      <c r="R18" s="67">
        <f t="shared" ref="R18" si="2">+Q19+1</f>
        <v>47209</v>
      </c>
      <c r="S18" s="67">
        <f t="shared" ref="S18" si="3">+R19+1</f>
        <v>46844</v>
      </c>
      <c r="T18" s="30"/>
      <c r="U18" s="30"/>
      <c r="V18" s="30"/>
    </row>
    <row r="19" spans="1:22" ht="13.5" customHeight="1">
      <c r="A19" s="1"/>
      <c r="B19" s="113"/>
      <c r="C19" s="114"/>
      <c r="D19" s="114"/>
      <c r="E19" s="115"/>
      <c r="F19" s="4"/>
      <c r="G19" s="67">
        <v>43555</v>
      </c>
      <c r="H19" s="67">
        <v>43921</v>
      </c>
      <c r="I19" s="67">
        <v>44286</v>
      </c>
      <c r="J19" s="67">
        <v>44651</v>
      </c>
      <c r="K19" s="67">
        <v>45016</v>
      </c>
      <c r="L19" s="67">
        <v>45382</v>
      </c>
      <c r="M19" s="67">
        <v>45747</v>
      </c>
      <c r="N19" s="67">
        <v>46112</v>
      </c>
      <c r="O19" s="67">
        <v>46477</v>
      </c>
      <c r="P19" s="67">
        <v>46843</v>
      </c>
      <c r="Q19" s="67">
        <v>47208</v>
      </c>
      <c r="R19" s="67">
        <f>+P19</f>
        <v>46843</v>
      </c>
      <c r="S19" s="67">
        <f>+Q19</f>
        <v>47208</v>
      </c>
      <c r="T19" s="30"/>
      <c r="U19" s="30"/>
      <c r="V19" s="30"/>
    </row>
    <row r="20" spans="1:22" ht="13.5" customHeight="1">
      <c r="A20" s="1"/>
      <c r="B20" s="116" t="s">
        <v>439</v>
      </c>
      <c r="C20" s="117">
        <f>'Estimate Example'!D37</f>
        <v>42309</v>
      </c>
      <c r="D20" s="117">
        <f>'Estimate Example'!G41</f>
        <v>42521</v>
      </c>
      <c r="E20" s="118">
        <f>'Estimate Example'!I93</f>
        <v>357584</v>
      </c>
      <c r="F20" s="4"/>
      <c r="G20" s="66">
        <f>IF(AND(G19&gt;=$C$20,G19&lt;=$D$20),ROUND($E$20*(1-((1-((G19-$C$20)/($D$20-$C$20)))^1.62203))^1.96337,0),IF(AND(G19&gt;=$C$20,(G19-$D$20)&lt;365),ROUND(D20*(1-((1-(($D$20-$C$20)/($D$20-$C$20)))^1.62203))^1.96337,0),0))</f>
        <v>0</v>
      </c>
      <c r="H20" s="66">
        <f>IF(AND(H19&gt;=$C$20,H19&lt;=$D$20),ROUND($E$20*(1-((1-((H19-$C$20)/($D$20-$C$20)))^1.62203))^1.96337,0),IF(AND(H19&gt;=$C$20,(H19-$D$20)&lt;365),ROUND(E20*(1-((1-(($D$20-$C$20)/($D$20-$C$20)))^1.62203))^1.96337,0),0))</f>
        <v>0</v>
      </c>
      <c r="I20" s="66">
        <f t="shared" ref="I20:Q20" si="4">IF(AND(I19&gt;=$C$20,I19&lt;=$D$20),ROUND($E$20*(1-((1-((I19-$C$20)/($D$20-$C$20)))^1.62203))^1.96337,0),IF(AND(I19&gt;=$C$20,(I19-$D$20)&lt;365),ROUND(F20*(1-((1-(($D$20-$C$20)/($D$20-$C$20)))^1.62203))^1.96337,0),0))</f>
        <v>0</v>
      </c>
      <c r="J20" s="66">
        <f t="shared" si="4"/>
        <v>0</v>
      </c>
      <c r="K20" s="66">
        <f t="shared" si="4"/>
        <v>0</v>
      </c>
      <c r="L20" s="66">
        <f t="shared" si="4"/>
        <v>0</v>
      </c>
      <c r="M20" s="66">
        <f t="shared" si="4"/>
        <v>0</v>
      </c>
      <c r="N20" s="66">
        <f t="shared" si="4"/>
        <v>0</v>
      </c>
      <c r="O20" s="66">
        <f t="shared" si="4"/>
        <v>0</v>
      </c>
      <c r="P20" s="66">
        <f t="shared" si="4"/>
        <v>0</v>
      </c>
      <c r="Q20" s="66">
        <f t="shared" si="4"/>
        <v>0</v>
      </c>
      <c r="R20" s="66">
        <f t="shared" ref="R20" si="5">IF(AND(R19&gt;=$C$20,R19&lt;=$D$20),ROUND($E$20*(1-((1-((R19-$C$20)/($D$20-$C$20)))^1.62203))^1.96337,0),IF(AND(R19&gt;=$C$20,(R19-$D$20)&lt;365),ROUND(O20*(1-((1-(($D$20-$C$20)/($D$20-$C$20)))^1.62203))^1.96337,0),0))</f>
        <v>0</v>
      </c>
      <c r="S20" s="66">
        <f t="shared" ref="S20" si="6">IF(AND(S19&gt;=$C$20,S19&lt;=$D$20),ROUND($E$20*(1-((1-((S19-$C$20)/($D$20-$C$20)))^1.62203))^1.96337,0),IF(AND(S19&gt;=$C$20,(S19-$D$20)&lt;365),ROUND(P20*(1-((1-(($D$20-$C$20)/($D$20-$C$20)))^1.62203))^1.96337,0),0))</f>
        <v>0</v>
      </c>
      <c r="T20" s="30"/>
      <c r="U20" s="30"/>
      <c r="V20" s="30"/>
    </row>
    <row r="21" spans="1:22" ht="13.5" customHeight="1">
      <c r="A21" s="1"/>
      <c r="B21" s="116" t="s">
        <v>298</v>
      </c>
      <c r="C21" s="117">
        <f>'Estimate Example'!D42</f>
        <v>45047</v>
      </c>
      <c r="D21" s="117">
        <f>'Estimate Example'!G42</f>
        <v>45657</v>
      </c>
      <c r="E21" s="118">
        <f>'Estimate Example'!I92</f>
        <v>5188990</v>
      </c>
      <c r="F21" s="4"/>
      <c r="G21" s="66">
        <f>IF(AND(G19&gt;=$C$21,G19&lt;=$D$21),ROUND($E$21*(1-((1-((G19-$C$21)/($D$21-$C$21)))^1.62203))^1.96337,0),IF(AND(G19&gt;=$C$21,(G19-$D$21)&lt;365),ROUND($E$21*(1-((1-(($D$21-$C$21)/(C21-$C$21)))^1.62203))^1.96337,0),0))</f>
        <v>0</v>
      </c>
      <c r="H21" s="66">
        <f>IF(AND(H19&gt;=$C$21,H19&lt;=$D$21),ROUND($E$21*(1-((1-((H19-$C$21)/($D$21-$C$21)))^1.62203))^1.96337,0),IF(AND(H19&gt;=$C$21,(H19-$D$21)&lt;365),ROUND($E$21*(1-((1-(($D$21-$C$21)/(D21-$C$21)))^1.62203))^1.96337,0),0))</f>
        <v>0</v>
      </c>
      <c r="I21" s="66">
        <f>IF(AND(I19&gt;=$C$21,I19&lt;=$D$21),ROUND($E$21*(1-((1-((I19-$C$21)/($D$21-$C$21)))^1.62203))^1.96337,0),IF(AND(I19&gt;=$C$21,(I19-$D$21)&lt;365),ROUND($E$21*(1-((1-(($D$21-$C$21)/($E$21-$C$21)))^1.62203))^1.96337,0),0))</f>
        <v>0</v>
      </c>
      <c r="J21" s="66">
        <f t="shared" ref="J21:Q21" si="7">IF(AND(J19&gt;=$C$21,J19&lt;=$D$21),ROUND($E$21*(1-((1-((J19-$C$21)/($D$21-$C$21)))^1.62203))^1.96337,0),IF(AND(J19&gt;=$C$21,(J19-$D$21)&lt;365),ROUND($E$21*(1-((1-(($D$21-$C$21)/($E$21-$C$21)))^1.62203))^1.96337,0),0))</f>
        <v>0</v>
      </c>
      <c r="K21" s="66">
        <f t="shared" si="7"/>
        <v>0</v>
      </c>
      <c r="L21" s="66">
        <f t="shared" si="7"/>
        <v>2762385</v>
      </c>
      <c r="M21" s="66">
        <f t="shared" si="7"/>
        <v>0</v>
      </c>
      <c r="N21" s="66">
        <f t="shared" si="7"/>
        <v>0</v>
      </c>
      <c r="O21" s="66">
        <f t="shared" si="7"/>
        <v>0</v>
      </c>
      <c r="P21" s="66">
        <f t="shared" si="7"/>
        <v>0</v>
      </c>
      <c r="Q21" s="66">
        <f t="shared" si="7"/>
        <v>0</v>
      </c>
      <c r="R21" s="66">
        <f t="shared" ref="R21:S21" si="8">IF(AND(R19&gt;=$C$21,R19&lt;=$D$21),ROUND($E$21*(1-((1-((R19-$C$21)/($D$21-$C$21)))^1.62203))^1.96337,0),IF(AND(R19&gt;=$C$21,(R19-$D$21)&lt;365),ROUND($E$21*(1-((1-(($D$21-$C$21)/($E$21-$C$21)))^1.62203))^1.96337,0),0))</f>
        <v>0</v>
      </c>
      <c r="S21" s="66">
        <f t="shared" si="8"/>
        <v>0</v>
      </c>
      <c r="T21" s="30"/>
      <c r="U21" s="30"/>
      <c r="V21" s="30"/>
    </row>
    <row r="22" spans="1:22">
      <c r="A22" s="1"/>
      <c r="B22" s="3"/>
      <c r="C22" s="3"/>
      <c r="D22" s="3"/>
      <c r="E22" s="119">
        <f>ROUND(SUM(E20:E21),0)</f>
        <v>5546574</v>
      </c>
      <c r="F22" s="4"/>
      <c r="G22" s="4"/>
      <c r="H22" s="4"/>
      <c r="I22" s="4"/>
      <c r="J22" s="4"/>
      <c r="K22" s="4"/>
      <c r="L22" s="4"/>
      <c r="M22" s="4"/>
      <c r="N22" s="4"/>
      <c r="O22" s="4"/>
      <c r="P22" s="4"/>
      <c r="Q22" s="4"/>
      <c r="R22" s="4"/>
      <c r="S22" s="4"/>
      <c r="T22" s="30"/>
      <c r="U22" s="30"/>
      <c r="V22" s="30"/>
    </row>
    <row r="23" spans="1:22">
      <c r="A23" s="1"/>
      <c r="B23" s="3"/>
      <c r="C23" s="3"/>
      <c r="D23" s="3"/>
      <c r="E23" s="3"/>
      <c r="F23" s="4"/>
      <c r="G23" s="4"/>
      <c r="H23" s="4"/>
      <c r="I23" s="4"/>
      <c r="J23" s="4"/>
      <c r="K23" s="4"/>
      <c r="L23" s="4"/>
      <c r="M23" s="4"/>
      <c r="N23" s="4"/>
      <c r="O23" s="4"/>
      <c r="P23" s="4"/>
      <c r="Q23" s="4"/>
      <c r="R23" s="4"/>
      <c r="S23" s="4"/>
      <c r="T23" s="30"/>
      <c r="U23" s="30"/>
      <c r="V23" s="30"/>
    </row>
    <row r="24" spans="1:22">
      <c r="A24" s="1"/>
      <c r="B24" s="4"/>
      <c r="C24" s="4"/>
      <c r="D24" s="4"/>
      <c r="E24" s="4"/>
      <c r="F24" s="4"/>
      <c r="G24" s="4"/>
      <c r="H24" s="4"/>
      <c r="I24" s="4"/>
      <c r="J24" s="4"/>
      <c r="K24" s="4"/>
      <c r="L24" s="4"/>
      <c r="M24" s="4"/>
      <c r="N24" s="4"/>
      <c r="O24" s="4"/>
      <c r="P24" s="4"/>
      <c r="Q24" s="4"/>
      <c r="R24" s="4"/>
      <c r="S24" s="4"/>
      <c r="T24" s="30"/>
      <c r="U24" s="30"/>
      <c r="V24" s="30"/>
    </row>
    <row r="25" spans="1:22">
      <c r="A25" s="1"/>
      <c r="B25" s="4"/>
      <c r="C25" s="4"/>
      <c r="D25" s="4"/>
      <c r="E25" s="4"/>
      <c r="F25" s="4"/>
      <c r="G25" s="4"/>
      <c r="H25" s="4"/>
      <c r="I25" s="4"/>
      <c r="J25" s="4"/>
      <c r="K25" s="4"/>
      <c r="L25" s="4"/>
      <c r="M25" s="4"/>
      <c r="N25" s="4"/>
      <c r="O25" s="4"/>
      <c r="P25" s="4"/>
      <c r="Q25" s="4"/>
      <c r="R25" s="4"/>
      <c r="S25" s="4"/>
      <c r="T25" s="30"/>
      <c r="U25" s="30"/>
      <c r="V25" s="30"/>
    </row>
    <row r="26" spans="1:22">
      <c r="A26" s="1"/>
      <c r="B26" s="4"/>
      <c r="C26" s="4"/>
      <c r="D26" s="4"/>
      <c r="E26" s="4"/>
      <c r="F26" s="4"/>
      <c r="G26" s="4"/>
      <c r="H26" s="4"/>
      <c r="I26" s="4"/>
      <c r="J26" s="4"/>
      <c r="K26" s="4"/>
      <c r="L26" s="4"/>
      <c r="M26" s="4"/>
      <c r="N26" s="4"/>
      <c r="O26" s="4"/>
      <c r="P26" s="4"/>
      <c r="Q26" s="4"/>
      <c r="R26" s="4"/>
      <c r="S26" s="3" t="s">
        <v>32</v>
      </c>
      <c r="T26" s="30"/>
      <c r="U26" s="30"/>
      <c r="V26" s="30"/>
    </row>
    <row r="27" spans="1:22">
      <c r="A27" s="1"/>
      <c r="B27" s="14"/>
      <c r="C27" s="3"/>
      <c r="D27" s="3"/>
      <c r="E27" s="3"/>
      <c r="F27" s="3"/>
      <c r="G27" s="1"/>
      <c r="H27" s="1"/>
      <c r="I27" s="1"/>
      <c r="J27" s="1"/>
      <c r="K27" s="1"/>
      <c r="L27" s="1"/>
      <c r="M27" s="1"/>
      <c r="N27" s="1"/>
      <c r="O27" s="1"/>
      <c r="P27" s="1"/>
      <c r="Q27" s="1"/>
      <c r="R27" s="109" t="s">
        <v>64</v>
      </c>
      <c r="S27" s="1"/>
    </row>
    <row r="28" spans="1:22">
      <c r="A28" s="64"/>
      <c r="B28" s="64"/>
      <c r="C28" s="64"/>
      <c r="D28" s="64"/>
      <c r="E28" s="64"/>
      <c r="F28" s="64"/>
    </row>
    <row r="29" spans="1:22">
      <c r="A29" s="64"/>
      <c r="B29" s="64"/>
      <c r="C29" s="64"/>
      <c r="D29" s="64"/>
      <c r="E29" s="64"/>
      <c r="F29" s="64"/>
    </row>
    <row r="30" spans="1:22">
      <c r="A30" s="64"/>
      <c r="B30" s="64"/>
      <c r="C30" s="64"/>
      <c r="D30" s="64"/>
      <c r="E30" s="64"/>
      <c r="F30" s="64"/>
    </row>
    <row r="31" spans="1:22">
      <c r="A31" s="7"/>
      <c r="B31" s="7"/>
      <c r="C31" s="7"/>
      <c r="D31" s="7"/>
      <c r="E31" s="7"/>
      <c r="F31" s="7"/>
    </row>
    <row r="33" spans="1:6">
      <c r="A33" s="64"/>
      <c r="B33" s="64"/>
      <c r="C33" s="64"/>
      <c r="D33" s="64"/>
      <c r="E33" s="64"/>
      <c r="F33" s="64"/>
    </row>
    <row r="34" spans="1:6">
      <c r="A34" s="64"/>
      <c r="B34" s="64"/>
      <c r="C34" s="64"/>
      <c r="D34" s="64"/>
      <c r="E34" s="64"/>
      <c r="F34" s="64"/>
    </row>
    <row r="35" spans="1:6">
      <c r="A35" s="64"/>
      <c r="B35" s="64"/>
      <c r="C35" s="64"/>
      <c r="D35" s="64"/>
      <c r="E35" s="64"/>
      <c r="F35" s="64"/>
    </row>
    <row r="36" spans="1:6">
      <c r="A36" s="7"/>
      <c r="B36" s="7"/>
      <c r="C36" s="7"/>
      <c r="D36" s="7"/>
      <c r="E36" s="7"/>
      <c r="F36" s="7"/>
    </row>
    <row r="38" spans="1:6">
      <c r="A38" s="64"/>
      <c r="B38" s="64"/>
      <c r="C38" s="64"/>
      <c r="D38" s="64"/>
      <c r="E38" s="64"/>
      <c r="F38" s="64"/>
    </row>
    <row r="43" spans="1:6" hidden="1" outlineLevel="1">
      <c r="A43" t="s">
        <v>350</v>
      </c>
    </row>
    <row r="44" spans="1:6" hidden="1" outlineLevel="1">
      <c r="A44" t="s">
        <v>359</v>
      </c>
    </row>
    <row r="45" spans="1:6" hidden="1" outlineLevel="1">
      <c r="A45" t="s">
        <v>360</v>
      </c>
    </row>
    <row r="46" spans="1:6" hidden="1" outlineLevel="1">
      <c r="A46" t="s">
        <v>361</v>
      </c>
    </row>
    <row r="47" spans="1:6" hidden="1" outlineLevel="1"/>
    <row r="48" spans="1:6" collapsed="1"/>
  </sheetData>
  <mergeCells count="2">
    <mergeCell ref="R17:S17"/>
    <mergeCell ref="G17:Q17"/>
  </mergeCells>
  <conditionalFormatting sqref="E18:F21 H18:L18 G19:L19 G20:Q21">
    <cfRule type="cellIs" dxfId="3" priority="5" stopIfTrue="1" operator="equal">
      <formula>0</formula>
    </cfRule>
  </conditionalFormatting>
  <conditionalFormatting sqref="M18:Q19">
    <cfRule type="cellIs" dxfId="2" priority="3" stopIfTrue="1" operator="equal">
      <formula>0</formula>
    </cfRule>
  </conditionalFormatting>
  <conditionalFormatting sqref="R20:S21">
    <cfRule type="cellIs" dxfId="1" priority="2" stopIfTrue="1" operator="equal">
      <formula>0</formula>
    </cfRule>
  </conditionalFormatting>
  <conditionalFormatting sqref="R18:S18">
    <cfRule type="cellIs" dxfId="0" priority="1" stopIfTrue="1" operator="equal">
      <formula>0</formula>
    </cfRule>
  </conditionalFormatting>
  <hyperlinks>
    <hyperlink ref="R27" display="Back to Contents" xr:uid="{00000000-0004-0000-1300-000000000000}"/>
  </hyperlinks>
  <pageMargins left="0.7" right="0.7" top="0.75" bottom="0.75" header="0.3" footer="0.3"/>
  <pageSetup paperSize="8" orientation="landscape" r:id="rId1"/>
  <headerFooter>
    <oddHeader>&amp;C&amp;"Calibri"&amp;10&amp;K000000Confidential&amp;1#</oddHeader>
    <oddFooter>&amp;R&amp;1#&amp;"Calibri"&amp;10&amp;K000000Confidential</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pageSetUpPr fitToPage="1"/>
  </sheetPr>
  <dimension ref="A1:P92"/>
  <sheetViews>
    <sheetView showGridLines="0" topLeftCell="A58" zoomScalePageLayoutView="70" workbookViewId="0">
      <selection activeCell="L110" sqref="L110"/>
    </sheetView>
  </sheetViews>
  <sheetFormatPr defaultColWidth="8.28515625" defaultRowHeight="18"/>
  <cols>
    <col min="1" max="1" width="9.7109375" style="148" customWidth="1"/>
    <col min="2" max="2" width="22.28515625" style="149" customWidth="1"/>
    <col min="3" max="3" width="10.42578125" style="149" customWidth="1"/>
    <col min="4" max="4" width="27" style="149" customWidth="1"/>
    <col min="5" max="5" width="17.28515625" style="149" customWidth="1"/>
    <col min="6" max="6" width="2" style="149" customWidth="1"/>
    <col min="7" max="7" width="25.28515625" style="149" bestFit="1" customWidth="1"/>
    <col min="8" max="8" width="11" style="149" customWidth="1"/>
    <col min="9" max="9" width="15" style="149" customWidth="1"/>
    <col min="10" max="10" width="16.42578125" style="149" customWidth="1"/>
    <col min="11" max="11" width="15.85546875" style="149" customWidth="1"/>
    <col min="12" max="15" width="8.28515625" style="149" customWidth="1"/>
    <col min="16" max="16" width="50.28515625" style="149" customWidth="1"/>
    <col min="17" max="18" width="8.28515625" style="149" customWidth="1"/>
    <col min="19" max="19" width="2.28515625" style="149" customWidth="1"/>
    <col min="20" max="20" width="11.7109375" style="149" customWidth="1"/>
    <col min="21" max="16384" width="8.28515625" style="149"/>
  </cols>
  <sheetData>
    <row r="1" spans="1:16" ht="18" customHeight="1" thickBot="1">
      <c r="A1" s="1767"/>
      <c r="B1" s="1768"/>
      <c r="C1" s="1768"/>
      <c r="D1" s="1768"/>
      <c r="E1" s="1768"/>
      <c r="F1" s="1768"/>
      <c r="G1" s="1768"/>
      <c r="H1" s="1768"/>
      <c r="I1" s="1768"/>
      <c r="J1" s="1768"/>
      <c r="K1" s="186"/>
      <c r="L1" s="187"/>
      <c r="M1" s="187"/>
      <c r="N1" s="187"/>
      <c r="O1" s="187"/>
      <c r="P1" s="188"/>
    </row>
    <row r="2" spans="1:16" ht="18.75" thickBot="1">
      <c r="A2" s="1764" t="s">
        <v>440</v>
      </c>
      <c r="B2" s="1765"/>
      <c r="C2" s="1766"/>
      <c r="P2" s="189"/>
    </row>
    <row r="3" spans="1:16">
      <c r="A3" s="190" t="s">
        <v>441</v>
      </c>
      <c r="C3" s="185"/>
      <c r="P3" s="189"/>
    </row>
    <row r="4" spans="1:16">
      <c r="A4" s="190" t="s">
        <v>442</v>
      </c>
      <c r="C4" s="185"/>
      <c r="P4" s="189"/>
    </row>
    <row r="5" spans="1:16">
      <c r="A5" s="190" t="s">
        <v>443</v>
      </c>
      <c r="C5" s="185"/>
      <c r="P5" s="189"/>
    </row>
    <row r="6" spans="1:16" ht="18.75" thickBot="1">
      <c r="A6" s="190"/>
      <c r="C6" s="185"/>
      <c r="P6" s="189"/>
    </row>
    <row r="7" spans="1:16" ht="18.75" thickBot="1">
      <c r="A7" s="1764" t="s">
        <v>444</v>
      </c>
      <c r="B7" s="1765"/>
      <c r="C7" s="1765"/>
      <c r="D7" s="1766"/>
      <c r="P7" s="189"/>
    </row>
    <row r="8" spans="1:16">
      <c r="A8" s="190" t="s">
        <v>445</v>
      </c>
      <c r="P8" s="189"/>
    </row>
    <row r="9" spans="1:16">
      <c r="A9" s="191" t="s">
        <v>446</v>
      </c>
      <c r="B9" s="172"/>
      <c r="C9" s="165"/>
      <c r="P9" s="189"/>
    </row>
    <row r="10" spans="1:16">
      <c r="A10" s="191" t="s">
        <v>447</v>
      </c>
      <c r="B10" s="172"/>
      <c r="C10" s="165"/>
      <c r="P10" s="189"/>
    </row>
    <row r="11" spans="1:16">
      <c r="A11" s="191" t="s">
        <v>448</v>
      </c>
      <c r="B11" s="172"/>
      <c r="C11" s="165"/>
      <c r="P11" s="189"/>
    </row>
    <row r="12" spans="1:16">
      <c r="A12" s="191" t="s">
        <v>449</v>
      </c>
      <c r="B12" s="172"/>
      <c r="C12" s="165"/>
      <c r="P12" s="189"/>
    </row>
    <row r="13" spans="1:16">
      <c r="A13" s="191" t="s">
        <v>450</v>
      </c>
      <c r="B13" s="172"/>
      <c r="C13" s="165"/>
      <c r="P13" s="189"/>
    </row>
    <row r="14" spans="1:16" ht="18.75" thickBot="1">
      <c r="A14" s="192"/>
      <c r="B14" s="193"/>
      <c r="C14" s="194"/>
      <c r="D14" s="195"/>
      <c r="E14" s="195"/>
      <c r="F14" s="195"/>
      <c r="G14" s="195"/>
      <c r="H14" s="195"/>
      <c r="I14" s="195"/>
      <c r="J14" s="195"/>
      <c r="K14" s="195"/>
      <c r="L14" s="195"/>
      <c r="M14" s="195"/>
      <c r="N14" s="195"/>
      <c r="O14" s="195"/>
      <c r="P14" s="196"/>
    </row>
    <row r="15" spans="1:16">
      <c r="A15" s="667"/>
      <c r="B15" s="150"/>
      <c r="C15" s="150"/>
      <c r="D15" s="150"/>
      <c r="E15" s="150"/>
      <c r="F15" s="150"/>
      <c r="G15" s="150"/>
      <c r="H15" s="150"/>
      <c r="I15" s="150"/>
      <c r="J15" s="150"/>
    </row>
    <row r="16" spans="1:16">
      <c r="A16" s="667"/>
      <c r="B16" s="150"/>
      <c r="C16" s="150"/>
      <c r="D16" s="150"/>
      <c r="E16" s="150"/>
      <c r="F16" s="150"/>
      <c r="G16" s="150"/>
      <c r="H16" s="150"/>
      <c r="I16" s="150"/>
      <c r="J16" s="150"/>
    </row>
    <row r="17" spans="1:11" ht="18" customHeight="1">
      <c r="A17" s="1769" t="s">
        <v>451</v>
      </c>
      <c r="B17" s="1769"/>
      <c r="C17" s="1769"/>
      <c r="D17" s="1769"/>
      <c r="E17" s="1769"/>
      <c r="F17" s="1769"/>
      <c r="G17" s="1769"/>
      <c r="H17" s="1769"/>
      <c r="I17" s="1769"/>
      <c r="J17" s="1769"/>
      <c r="K17" s="148"/>
    </row>
    <row r="18" spans="1:11" ht="18" customHeight="1">
      <c r="A18" s="1769" t="s">
        <v>452</v>
      </c>
      <c r="B18" s="1769"/>
      <c r="C18" s="1769"/>
      <c r="D18" s="1769"/>
      <c r="E18" s="1769"/>
      <c r="F18" s="1769"/>
      <c r="G18" s="1769"/>
      <c r="H18" s="1769"/>
      <c r="I18" s="1769"/>
      <c r="J18" s="1769"/>
      <c r="K18" s="148"/>
    </row>
    <row r="20" spans="1:11">
      <c r="A20" s="151" t="s">
        <v>453</v>
      </c>
      <c r="G20" s="152">
        <f>'Estimate Example'!D42</f>
        <v>45047</v>
      </c>
      <c r="H20" s="153"/>
    </row>
    <row r="21" spans="1:11">
      <c r="A21" s="151" t="s">
        <v>454</v>
      </c>
      <c r="G21" s="152">
        <f>'Estimate Example'!G42</f>
        <v>45657</v>
      </c>
      <c r="H21" s="153"/>
    </row>
    <row r="22" spans="1:11">
      <c r="A22" s="151"/>
      <c r="G22" s="153"/>
      <c r="H22" s="153"/>
    </row>
    <row r="24" spans="1:11" s="155" customFormat="1">
      <c r="A24" s="154" t="s">
        <v>455</v>
      </c>
      <c r="D24" s="156">
        <f>'Estimate Example'!I87</f>
        <v>5546574</v>
      </c>
      <c r="F24" s="155" t="s">
        <v>190</v>
      </c>
      <c r="G24" s="157" t="s">
        <v>456</v>
      </c>
      <c r="H24" s="157"/>
      <c r="J24" s="157"/>
    </row>
    <row r="25" spans="1:11" s="155" customFormat="1">
      <c r="A25" s="154" t="s">
        <v>457</v>
      </c>
      <c r="B25" s="157"/>
      <c r="C25" s="157"/>
      <c r="D25" s="184">
        <f>(G21-G20)/30</f>
        <v>20.333333333333332</v>
      </c>
      <c r="E25" s="157"/>
      <c r="F25" s="157"/>
      <c r="G25" s="157" t="s">
        <v>458</v>
      </c>
      <c r="H25" s="157"/>
    </row>
    <row r="27" spans="1:11">
      <c r="B27" s="1770" t="s">
        <v>459</v>
      </c>
      <c r="C27" s="1771"/>
      <c r="D27" s="1772"/>
      <c r="E27" s="158"/>
      <c r="G27" s="1773" t="s">
        <v>460</v>
      </c>
      <c r="H27" s="1774"/>
      <c r="I27" s="1775"/>
      <c r="J27" s="158"/>
    </row>
    <row r="28" spans="1:11">
      <c r="A28" s="159" t="s">
        <v>461</v>
      </c>
      <c r="B28" s="158" t="s">
        <v>462</v>
      </c>
      <c r="C28" s="160" t="s">
        <v>387</v>
      </c>
      <c r="D28" s="160" t="s">
        <v>463</v>
      </c>
      <c r="E28" s="159" t="s">
        <v>387</v>
      </c>
      <c r="G28" s="158" t="s">
        <v>462</v>
      </c>
      <c r="H28" s="160" t="s">
        <v>387</v>
      </c>
      <c r="I28" s="160" t="s">
        <v>463</v>
      </c>
      <c r="J28" s="159" t="s">
        <v>387</v>
      </c>
    </row>
    <row r="29" spans="1:11">
      <c r="A29" s="161">
        <v>1</v>
      </c>
      <c r="B29" s="162">
        <f>D29</f>
        <v>7614.3536370947413</v>
      </c>
      <c r="C29" s="163">
        <f t="shared" ref="C29:C54" si="0">B29/$D$24</f>
        <v>1.3728030378923532E-3</v>
      </c>
      <c r="D29" s="164">
        <f t="shared" ref="D29:D43" si="1">$D$24*(1-(1-((A29*30)/($D$25*30)))^1.64974)^2.60732</f>
        <v>7614.3536370947413</v>
      </c>
      <c r="E29" s="163">
        <f t="shared" ref="E29:E54" si="2">D29/$D$24</f>
        <v>1.3728030378923532E-3</v>
      </c>
      <c r="F29" s="165"/>
      <c r="G29" s="162"/>
      <c r="H29" s="163">
        <f t="shared" ref="H29:H54" si="3">G29/$D$24</f>
        <v>0</v>
      </c>
      <c r="I29" s="162">
        <f>G29</f>
        <v>0</v>
      </c>
      <c r="J29" s="163">
        <f t="shared" ref="J29:J54" si="4">I29/$D$24</f>
        <v>0</v>
      </c>
    </row>
    <row r="30" spans="1:11">
      <c r="A30" s="166">
        <f t="shared" ref="A30:A54" si="5">A29+1</f>
        <v>2</v>
      </c>
      <c r="B30" s="162">
        <f t="shared" ref="B30:B43" si="6">D30-D29</f>
        <v>36812.064810286334</v>
      </c>
      <c r="C30" s="163">
        <f t="shared" si="0"/>
        <v>6.6369014116256873E-3</v>
      </c>
      <c r="D30" s="164">
        <f t="shared" si="1"/>
        <v>44426.418447381075</v>
      </c>
      <c r="E30" s="163">
        <f t="shared" si="2"/>
        <v>8.0097044495180403E-3</v>
      </c>
      <c r="F30" s="165"/>
      <c r="G30" s="162"/>
      <c r="H30" s="163">
        <f t="shared" si="3"/>
        <v>0</v>
      </c>
      <c r="I30" s="162">
        <f t="shared" ref="I30:I54" si="7">I29+G30</f>
        <v>0</v>
      </c>
      <c r="J30" s="163">
        <f t="shared" si="4"/>
        <v>0</v>
      </c>
    </row>
    <row r="31" spans="1:11">
      <c r="A31" s="166">
        <f t="shared" si="5"/>
        <v>3</v>
      </c>
      <c r="B31" s="162">
        <f t="shared" si="6"/>
        <v>77846.958441499592</v>
      </c>
      <c r="C31" s="163">
        <f t="shared" si="0"/>
        <v>1.4035142854219486E-2</v>
      </c>
      <c r="D31" s="164">
        <f t="shared" si="1"/>
        <v>122273.37688888067</v>
      </c>
      <c r="E31" s="163">
        <f t="shared" si="2"/>
        <v>2.2044847303737528E-2</v>
      </c>
      <c r="F31" s="165"/>
      <c r="G31" s="162"/>
      <c r="H31" s="163">
        <f t="shared" si="3"/>
        <v>0</v>
      </c>
      <c r="I31" s="162">
        <f t="shared" si="7"/>
        <v>0</v>
      </c>
      <c r="J31" s="163">
        <f t="shared" si="4"/>
        <v>0</v>
      </c>
    </row>
    <row r="32" spans="1:11">
      <c r="A32" s="166">
        <f t="shared" si="5"/>
        <v>4</v>
      </c>
      <c r="B32" s="162">
        <f t="shared" si="6"/>
        <v>124928.12255270542</v>
      </c>
      <c r="C32" s="163">
        <f t="shared" si="0"/>
        <v>2.2523475311553659E-2</v>
      </c>
      <c r="D32" s="164">
        <f t="shared" si="1"/>
        <v>247201.49944158609</v>
      </c>
      <c r="E32" s="163">
        <f t="shared" si="2"/>
        <v>4.4568322615291187E-2</v>
      </c>
      <c r="F32" s="165"/>
      <c r="G32" s="162"/>
      <c r="H32" s="163">
        <f t="shared" si="3"/>
        <v>0</v>
      </c>
      <c r="I32" s="162">
        <f t="shared" si="7"/>
        <v>0</v>
      </c>
      <c r="J32" s="163">
        <f t="shared" si="4"/>
        <v>0</v>
      </c>
    </row>
    <row r="33" spans="1:10">
      <c r="A33" s="166">
        <f t="shared" si="5"/>
        <v>5</v>
      </c>
      <c r="B33" s="162">
        <f t="shared" si="6"/>
        <v>174541.28237547434</v>
      </c>
      <c r="C33" s="163">
        <f t="shared" si="0"/>
        <v>3.1468305006923977E-2</v>
      </c>
      <c r="D33" s="164">
        <f t="shared" si="1"/>
        <v>421742.78181706043</v>
      </c>
      <c r="E33" s="163">
        <f t="shared" si="2"/>
        <v>7.6036627622215164E-2</v>
      </c>
      <c r="F33" s="165"/>
      <c r="G33" s="162"/>
      <c r="H33" s="163">
        <f t="shared" si="3"/>
        <v>0</v>
      </c>
      <c r="I33" s="162">
        <f t="shared" si="7"/>
        <v>0</v>
      </c>
      <c r="J33" s="163">
        <f t="shared" si="4"/>
        <v>0</v>
      </c>
    </row>
    <row r="34" spans="1:10">
      <c r="A34" s="166">
        <f t="shared" si="5"/>
        <v>6</v>
      </c>
      <c r="B34" s="162">
        <f t="shared" si="6"/>
        <v>224103.85538392758</v>
      </c>
      <c r="C34" s="163">
        <f t="shared" si="0"/>
        <v>4.0404014330995601E-2</v>
      </c>
      <c r="D34" s="164">
        <f t="shared" si="1"/>
        <v>645846.63720098801</v>
      </c>
      <c r="E34" s="163">
        <f t="shared" si="2"/>
        <v>0.11644064195321076</v>
      </c>
      <c r="F34" s="165"/>
      <c r="G34" s="162"/>
      <c r="H34" s="163">
        <f t="shared" si="3"/>
        <v>0</v>
      </c>
      <c r="I34" s="162">
        <f t="shared" si="7"/>
        <v>0</v>
      </c>
      <c r="J34" s="163">
        <f t="shared" si="4"/>
        <v>0</v>
      </c>
    </row>
    <row r="35" spans="1:10">
      <c r="A35" s="166">
        <f t="shared" si="5"/>
        <v>7</v>
      </c>
      <c r="B35" s="162">
        <f t="shared" si="6"/>
        <v>271573.539434848</v>
      </c>
      <c r="C35" s="163">
        <f t="shared" si="0"/>
        <v>4.8962393620791501E-2</v>
      </c>
      <c r="D35" s="164">
        <f t="shared" si="1"/>
        <v>917420.17663583602</v>
      </c>
      <c r="E35" s="163">
        <f t="shared" si="2"/>
        <v>0.16540303557400227</v>
      </c>
      <c r="F35" s="165"/>
      <c r="G35" s="162"/>
      <c r="H35" s="163">
        <f t="shared" si="3"/>
        <v>0</v>
      </c>
      <c r="I35" s="162">
        <f t="shared" si="7"/>
        <v>0</v>
      </c>
      <c r="J35" s="163">
        <f t="shared" si="4"/>
        <v>0</v>
      </c>
    </row>
    <row r="36" spans="1:10">
      <c r="A36" s="166">
        <f t="shared" si="5"/>
        <v>8</v>
      </c>
      <c r="B36" s="162">
        <f t="shared" si="6"/>
        <v>315272.08563772473</v>
      </c>
      <c r="C36" s="163">
        <f t="shared" si="0"/>
        <v>5.6840868910741069E-2</v>
      </c>
      <c r="D36" s="164">
        <f t="shared" si="1"/>
        <v>1232692.2622735607</v>
      </c>
      <c r="E36" s="163">
        <f t="shared" si="2"/>
        <v>0.22224390448474332</v>
      </c>
      <c r="F36" s="165"/>
      <c r="G36" s="162"/>
      <c r="H36" s="163">
        <f t="shared" si="3"/>
        <v>0</v>
      </c>
      <c r="I36" s="162">
        <f t="shared" si="7"/>
        <v>0</v>
      </c>
      <c r="J36" s="163">
        <f t="shared" si="4"/>
        <v>0</v>
      </c>
    </row>
    <row r="37" spans="1:10">
      <c r="A37" s="166">
        <f t="shared" si="5"/>
        <v>9</v>
      </c>
      <c r="B37" s="162">
        <f t="shared" si="6"/>
        <v>353788.55482332921</v>
      </c>
      <c r="C37" s="163">
        <f t="shared" si="0"/>
        <v>6.378505989883651E-2</v>
      </c>
      <c r="D37" s="164">
        <f t="shared" si="1"/>
        <v>1586480.81709689</v>
      </c>
      <c r="E37" s="163">
        <f t="shared" si="2"/>
        <v>0.28602896438357983</v>
      </c>
      <c r="F37" s="165"/>
      <c r="G37" s="162"/>
      <c r="H37" s="163">
        <f t="shared" si="3"/>
        <v>0</v>
      </c>
      <c r="I37" s="162">
        <f t="shared" si="7"/>
        <v>0</v>
      </c>
      <c r="J37" s="163">
        <f t="shared" si="4"/>
        <v>0</v>
      </c>
    </row>
    <row r="38" spans="1:10">
      <c r="A38" s="166">
        <f t="shared" si="5"/>
        <v>10</v>
      </c>
      <c r="B38" s="162">
        <f t="shared" si="6"/>
        <v>385918.65351191186</v>
      </c>
      <c r="C38" s="163">
        <f t="shared" si="0"/>
        <v>6.9577842738943324E-2</v>
      </c>
      <c r="D38" s="164">
        <f t="shared" si="1"/>
        <v>1972399.4706088018</v>
      </c>
      <c r="E38" s="163">
        <f t="shared" si="2"/>
        <v>0.35560680712252318</v>
      </c>
      <c r="F38" s="165"/>
      <c r="G38" s="162"/>
      <c r="H38" s="163">
        <f t="shared" si="3"/>
        <v>0</v>
      </c>
      <c r="I38" s="162">
        <f t="shared" si="7"/>
        <v>0</v>
      </c>
      <c r="J38" s="163">
        <f t="shared" si="4"/>
        <v>0</v>
      </c>
    </row>
    <row r="39" spans="1:10">
      <c r="A39" s="166">
        <f t="shared" si="5"/>
        <v>11</v>
      </c>
      <c r="B39" s="162">
        <f t="shared" si="6"/>
        <v>410622.09383043624</v>
      </c>
      <c r="C39" s="163">
        <f t="shared" si="0"/>
        <v>7.4031662397443215E-2</v>
      </c>
      <c r="D39" s="164">
        <f t="shared" si="1"/>
        <v>2383021.564439238</v>
      </c>
      <c r="E39" s="163">
        <f t="shared" si="2"/>
        <v>0.42963846951996637</v>
      </c>
      <c r="F39" s="167"/>
      <c r="G39" s="162"/>
      <c r="H39" s="163">
        <f t="shared" si="3"/>
        <v>0</v>
      </c>
      <c r="I39" s="162">
        <f t="shared" si="7"/>
        <v>0</v>
      </c>
      <c r="J39" s="163">
        <f t="shared" si="4"/>
        <v>0</v>
      </c>
    </row>
    <row r="40" spans="1:10">
      <c r="A40" s="166">
        <f t="shared" si="5"/>
        <v>12</v>
      </c>
      <c r="B40" s="162">
        <f t="shared" si="6"/>
        <v>426988.69740128331</v>
      </c>
      <c r="C40" s="163">
        <f t="shared" si="0"/>
        <v>7.6982421473378582E-2</v>
      </c>
      <c r="D40" s="164">
        <f t="shared" si="1"/>
        <v>2810010.2618405214</v>
      </c>
      <c r="E40" s="163">
        <f t="shared" si="2"/>
        <v>0.50662089099334495</v>
      </c>
      <c r="F40" s="167"/>
      <c r="G40" s="162"/>
      <c r="H40" s="163">
        <f t="shared" si="3"/>
        <v>0</v>
      </c>
      <c r="I40" s="162">
        <f t="shared" si="7"/>
        <v>0</v>
      </c>
      <c r="J40" s="163">
        <f t="shared" si="4"/>
        <v>0</v>
      </c>
    </row>
    <row r="41" spans="1:10">
      <c r="A41" s="166">
        <f t="shared" si="5"/>
        <v>13</v>
      </c>
      <c r="B41" s="162">
        <f t="shared" si="6"/>
        <v>434207.04403318092</v>
      </c>
      <c r="C41" s="163">
        <f t="shared" si="0"/>
        <v>7.8283827824740262E-2</v>
      </c>
      <c r="D41" s="164">
        <f t="shared" si="1"/>
        <v>3244217.3058737023</v>
      </c>
      <c r="E41" s="163">
        <f t="shared" si="2"/>
        <v>0.58490471881808526</v>
      </c>
      <c r="F41" s="167"/>
      <c r="G41" s="162"/>
      <c r="H41" s="163">
        <f t="shared" si="3"/>
        <v>0</v>
      </c>
      <c r="I41" s="162">
        <f t="shared" si="7"/>
        <v>0</v>
      </c>
      <c r="J41" s="163">
        <f t="shared" si="4"/>
        <v>0</v>
      </c>
    </row>
    <row r="42" spans="1:10">
      <c r="A42" s="166">
        <f t="shared" si="5"/>
        <v>14</v>
      </c>
      <c r="B42" s="162">
        <f t="shared" si="6"/>
        <v>431529.66017697845</v>
      </c>
      <c r="C42" s="163">
        <f t="shared" si="0"/>
        <v>7.7801118343860276E-2</v>
      </c>
      <c r="D42" s="164">
        <f t="shared" si="1"/>
        <v>3675746.9660506807</v>
      </c>
      <c r="E42" s="163">
        <f t="shared" si="2"/>
        <v>0.66270583716194553</v>
      </c>
      <c r="G42" s="162"/>
      <c r="H42" s="163">
        <f t="shared" si="3"/>
        <v>0</v>
      </c>
      <c r="I42" s="162">
        <f t="shared" si="7"/>
        <v>0</v>
      </c>
      <c r="J42" s="163">
        <f t="shared" si="4"/>
        <v>0</v>
      </c>
    </row>
    <row r="43" spans="1:10">
      <c r="A43" s="168">
        <f t="shared" si="5"/>
        <v>15</v>
      </c>
      <c r="B43" s="162">
        <f t="shared" si="6"/>
        <v>418226.09441955201</v>
      </c>
      <c r="C43" s="163">
        <f t="shared" si="0"/>
        <v>7.5402598869058993E-2</v>
      </c>
      <c r="D43" s="164">
        <f t="shared" si="1"/>
        <v>4093973.0604702327</v>
      </c>
      <c r="E43" s="163">
        <f t="shared" si="2"/>
        <v>0.73810843603100451</v>
      </c>
      <c r="F43" s="167"/>
      <c r="G43" s="162"/>
      <c r="H43" s="163">
        <f t="shared" si="3"/>
        <v>0</v>
      </c>
      <c r="I43" s="162">
        <f t="shared" si="7"/>
        <v>0</v>
      </c>
      <c r="J43" s="163">
        <f t="shared" si="4"/>
        <v>0</v>
      </c>
    </row>
    <row r="44" spans="1:10">
      <c r="A44" s="166">
        <f t="shared" si="5"/>
        <v>16</v>
      </c>
      <c r="B44" s="162">
        <f t="shared" ref="B44:B47" si="8">D44-D43</f>
        <v>393507.15935244877</v>
      </c>
      <c r="C44" s="163">
        <f t="shared" ref="C44:C47" si="9">B44/$D$24</f>
        <v>7.0945985639504452E-2</v>
      </c>
      <c r="D44" s="164">
        <f t="shared" ref="D44:D47" si="10">$D$24*(1-(1-((A44*30)/($D$25*30)))^1.64974)^2.60732</f>
        <v>4487480.2198226815</v>
      </c>
      <c r="E44" s="163">
        <f t="shared" ref="E44:E47" si="11">D44/$D$24</f>
        <v>0.80905442167050901</v>
      </c>
      <c r="F44" s="167"/>
      <c r="G44" s="162"/>
      <c r="H44" s="163">
        <f t="shared" si="3"/>
        <v>0</v>
      </c>
      <c r="I44" s="162">
        <f t="shared" si="7"/>
        <v>0</v>
      </c>
      <c r="J44" s="163">
        <f t="shared" si="4"/>
        <v>0</v>
      </c>
    </row>
    <row r="45" spans="1:10">
      <c r="A45" s="168">
        <f t="shared" si="5"/>
        <v>17</v>
      </c>
      <c r="B45" s="162">
        <f t="shared" si="8"/>
        <v>356380.72682983987</v>
      </c>
      <c r="C45" s="163">
        <f t="shared" si="9"/>
        <v>6.4252406409765719E-2</v>
      </c>
      <c r="D45" s="164">
        <f t="shared" si="10"/>
        <v>4843860.9466525214</v>
      </c>
      <c r="E45" s="163">
        <f t="shared" si="11"/>
        <v>0.87330682808027471</v>
      </c>
      <c r="F45" s="167"/>
      <c r="G45" s="162"/>
      <c r="H45" s="163">
        <f t="shared" si="3"/>
        <v>0</v>
      </c>
      <c r="I45" s="162">
        <f t="shared" si="7"/>
        <v>0</v>
      </c>
      <c r="J45" s="163">
        <f t="shared" si="4"/>
        <v>0</v>
      </c>
    </row>
    <row r="46" spans="1:10">
      <c r="A46" s="168">
        <f t="shared" si="5"/>
        <v>18</v>
      </c>
      <c r="B46" s="162">
        <f t="shared" si="8"/>
        <v>305325.02267950773</v>
      </c>
      <c r="C46" s="163">
        <f t="shared" si="9"/>
        <v>5.5047498271817472E-2</v>
      </c>
      <c r="D46" s="164">
        <f t="shared" si="10"/>
        <v>5149185.9693320291</v>
      </c>
      <c r="E46" s="163">
        <f t="shared" si="11"/>
        <v>0.92835432635209214</v>
      </c>
      <c r="F46" s="167"/>
      <c r="G46" s="162"/>
      <c r="H46" s="163">
        <f t="shared" si="3"/>
        <v>0</v>
      </c>
      <c r="I46" s="162">
        <f t="shared" si="7"/>
        <v>0</v>
      </c>
      <c r="J46" s="163">
        <f t="shared" si="4"/>
        <v>0</v>
      </c>
    </row>
    <row r="47" spans="1:10">
      <c r="A47" s="168">
        <f t="shared" si="5"/>
        <v>19</v>
      </c>
      <c r="B47" s="162">
        <f t="shared" si="8"/>
        <v>237349.14621873666</v>
      </c>
      <c r="C47" s="163">
        <f t="shared" si="9"/>
        <v>4.2792027334123128E-2</v>
      </c>
      <c r="D47" s="164">
        <f t="shared" si="10"/>
        <v>5386535.1155507658</v>
      </c>
      <c r="E47" s="163">
        <f t="shared" si="11"/>
        <v>0.97114635368621527</v>
      </c>
      <c r="F47" s="167"/>
      <c r="G47" s="162"/>
      <c r="H47" s="163">
        <f t="shared" si="3"/>
        <v>0</v>
      </c>
      <c r="I47" s="162">
        <f t="shared" si="7"/>
        <v>0</v>
      </c>
      <c r="J47" s="163">
        <f t="shared" si="4"/>
        <v>0</v>
      </c>
    </row>
    <row r="48" spans="1:10">
      <c r="A48" s="168">
        <f t="shared" si="5"/>
        <v>20</v>
      </c>
      <c r="B48" s="162">
        <f t="shared" ref="B48:B52" si="12">D48-D47</f>
        <v>143652.12156006508</v>
      </c>
      <c r="C48" s="163">
        <f t="shared" ref="C48:C53" si="13">B48/$D$24</f>
        <v>2.5899252684641921E-2</v>
      </c>
      <c r="D48" s="164">
        <f t="shared" ref="D48:D52" si="14">$D$24*(1-(1-((A48*30)/($D$25*30)))^1.64974)^2.60732</f>
        <v>5530187.2371108308</v>
      </c>
      <c r="E48" s="163">
        <f t="shared" ref="E48:E53" si="15">D48/$D$24</f>
        <v>0.99704560637085715</v>
      </c>
      <c r="F48" s="167"/>
      <c r="G48" s="162"/>
      <c r="H48" s="163">
        <f t="shared" si="3"/>
        <v>0</v>
      </c>
      <c r="I48" s="162">
        <f t="shared" si="7"/>
        <v>0</v>
      </c>
      <c r="J48" s="163">
        <f t="shared" si="4"/>
        <v>0</v>
      </c>
    </row>
    <row r="49" spans="1:10">
      <c r="A49" s="168">
        <f t="shared" si="5"/>
        <v>21</v>
      </c>
      <c r="B49" s="162" t="e">
        <f t="shared" si="12"/>
        <v>#NUM!</v>
      </c>
      <c r="C49" s="163" t="e">
        <f t="shared" si="13"/>
        <v>#NUM!</v>
      </c>
      <c r="D49" s="164" t="e">
        <f t="shared" si="14"/>
        <v>#NUM!</v>
      </c>
      <c r="E49" s="163" t="e">
        <f t="shared" si="15"/>
        <v>#NUM!</v>
      </c>
      <c r="F49" s="167"/>
      <c r="G49" s="162"/>
      <c r="H49" s="163">
        <f t="shared" si="3"/>
        <v>0</v>
      </c>
      <c r="I49" s="162">
        <f t="shared" si="7"/>
        <v>0</v>
      </c>
      <c r="J49" s="163">
        <f t="shared" si="4"/>
        <v>0</v>
      </c>
    </row>
    <row r="50" spans="1:10">
      <c r="A50" s="168">
        <f t="shared" si="5"/>
        <v>22</v>
      </c>
      <c r="B50" s="162" t="e">
        <f t="shared" si="12"/>
        <v>#NUM!</v>
      </c>
      <c r="C50" s="163" t="e">
        <f t="shared" si="13"/>
        <v>#NUM!</v>
      </c>
      <c r="D50" s="164" t="e">
        <f t="shared" si="14"/>
        <v>#NUM!</v>
      </c>
      <c r="E50" s="163" t="e">
        <f t="shared" si="15"/>
        <v>#NUM!</v>
      </c>
      <c r="F50" s="167"/>
      <c r="G50" s="162"/>
      <c r="H50" s="163">
        <f t="shared" si="3"/>
        <v>0</v>
      </c>
      <c r="I50" s="162">
        <f t="shared" si="7"/>
        <v>0</v>
      </c>
      <c r="J50" s="163">
        <f t="shared" si="4"/>
        <v>0</v>
      </c>
    </row>
    <row r="51" spans="1:10">
      <c r="A51" s="168">
        <f t="shared" si="5"/>
        <v>23</v>
      </c>
      <c r="B51" s="162" t="e">
        <f t="shared" si="12"/>
        <v>#NUM!</v>
      </c>
      <c r="C51" s="163" t="e">
        <f t="shared" si="13"/>
        <v>#NUM!</v>
      </c>
      <c r="D51" s="164" t="e">
        <f t="shared" si="14"/>
        <v>#NUM!</v>
      </c>
      <c r="E51" s="163" t="e">
        <f t="shared" si="15"/>
        <v>#NUM!</v>
      </c>
      <c r="F51" s="167"/>
      <c r="G51" s="162"/>
      <c r="H51" s="163">
        <f t="shared" si="3"/>
        <v>0</v>
      </c>
      <c r="I51" s="162">
        <f t="shared" si="7"/>
        <v>0</v>
      </c>
      <c r="J51" s="163">
        <f t="shared" si="4"/>
        <v>0</v>
      </c>
    </row>
    <row r="52" spans="1:10">
      <c r="A52" s="168">
        <f t="shared" si="5"/>
        <v>24</v>
      </c>
      <c r="B52" s="162" t="e">
        <f t="shared" si="12"/>
        <v>#NUM!</v>
      </c>
      <c r="C52" s="163" t="e">
        <f t="shared" si="13"/>
        <v>#NUM!</v>
      </c>
      <c r="D52" s="164" t="e">
        <f t="shared" si="14"/>
        <v>#NUM!</v>
      </c>
      <c r="E52" s="163" t="e">
        <f t="shared" si="15"/>
        <v>#NUM!</v>
      </c>
      <c r="F52" s="167"/>
      <c r="G52" s="162"/>
      <c r="H52" s="163">
        <f t="shared" si="3"/>
        <v>0</v>
      </c>
      <c r="I52" s="162">
        <f t="shared" si="7"/>
        <v>0</v>
      </c>
      <c r="J52" s="163">
        <f t="shared" si="4"/>
        <v>0</v>
      </c>
    </row>
    <row r="53" spans="1:10">
      <c r="A53" s="168">
        <f t="shared" si="5"/>
        <v>25</v>
      </c>
      <c r="B53" s="162"/>
      <c r="C53" s="163">
        <f t="shared" si="13"/>
        <v>0</v>
      </c>
      <c r="D53" s="164"/>
      <c r="E53" s="163">
        <f t="shared" si="15"/>
        <v>0</v>
      </c>
      <c r="F53" s="167"/>
      <c r="G53" s="162"/>
      <c r="H53" s="163">
        <f t="shared" si="3"/>
        <v>0</v>
      </c>
      <c r="I53" s="162">
        <f t="shared" si="7"/>
        <v>0</v>
      </c>
      <c r="J53" s="163">
        <f t="shared" si="4"/>
        <v>0</v>
      </c>
    </row>
    <row r="54" spans="1:10">
      <c r="A54" s="168">
        <f t="shared" si="5"/>
        <v>26</v>
      </c>
      <c r="B54" s="162"/>
      <c r="C54" s="163">
        <f t="shared" si="0"/>
        <v>0</v>
      </c>
      <c r="D54" s="164"/>
      <c r="E54" s="163">
        <f t="shared" si="2"/>
        <v>0</v>
      </c>
      <c r="F54" s="167"/>
      <c r="G54" s="162"/>
      <c r="H54" s="163">
        <f t="shared" si="3"/>
        <v>0</v>
      </c>
      <c r="I54" s="162">
        <f t="shared" si="7"/>
        <v>0</v>
      </c>
      <c r="J54" s="163">
        <f t="shared" si="4"/>
        <v>0</v>
      </c>
    </row>
    <row r="56" spans="1:10">
      <c r="H56" s="169"/>
    </row>
    <row r="58" spans="1:10">
      <c r="B58" s="170"/>
      <c r="C58" s="170"/>
    </row>
    <row r="92" spans="1:3">
      <c r="A92" s="165"/>
      <c r="B92" s="172"/>
      <c r="C92" s="165"/>
    </row>
  </sheetData>
  <sheetProtection algorithmName="SHA-512" hashValue="u5jCUgXyQpI4SdELBVME2DxkHc7hQ/K6MUIB7NIq9ZbFyymebfRW5ksST4HGMY1WUDqN9/+IagabmphtcChs4g==" saltValue="Q3Mi9DhtxbWvCxhpfPQg6A==" spinCount="100000" sheet="1" objects="1" scenarios="1"/>
  <mergeCells count="7">
    <mergeCell ref="A7:D7"/>
    <mergeCell ref="A1:J1"/>
    <mergeCell ref="A17:J17"/>
    <mergeCell ref="A18:J18"/>
    <mergeCell ref="B27:D27"/>
    <mergeCell ref="G27:I27"/>
    <mergeCell ref="A2:C2"/>
  </mergeCells>
  <pageMargins left="0.77" right="0.75" top="1" bottom="1" header="0.5" footer="0.5"/>
  <pageSetup paperSize="9" scale="49" orientation="portrait" horizontalDpi="4294967292" r:id="rId1"/>
  <headerFooter alignWithMargins="0">
    <oddHeader>&amp;C&amp;"Calibri"&amp;10&amp;K000000Confidential&amp;1#</oddHeader>
    <oddFooter>&amp;R&amp;1#&amp;"Calibri"&amp;10&amp;K000000Confidential</oddFooter>
  </headerFooter>
  <drawing r:id="rId2"/>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8BAE1-2A6A-47B4-982C-AB53245BEBA1}">
  <sheetPr codeName="Sheet23"/>
  <dimension ref="A1:I41"/>
  <sheetViews>
    <sheetView topLeftCell="A10" workbookViewId="0">
      <selection activeCell="K11" sqref="K11"/>
    </sheetView>
  </sheetViews>
  <sheetFormatPr defaultRowHeight="15"/>
  <cols>
    <col min="1" max="1" width="12.5703125" customWidth="1"/>
    <col min="2" max="2" width="29.28515625" customWidth="1"/>
    <col min="3" max="3" width="9" bestFit="1" customWidth="1"/>
    <col min="4" max="4" width="16.28515625" customWidth="1"/>
    <col min="5" max="5" width="18.28515625" customWidth="1"/>
    <col min="6" max="6" width="30.85546875" customWidth="1"/>
    <col min="7" max="7" width="15.42578125" customWidth="1"/>
    <col min="8" max="8" width="12.28515625" customWidth="1"/>
  </cols>
  <sheetData>
    <row r="1" spans="1:8">
      <c r="A1" s="1785" t="s">
        <v>3471</v>
      </c>
      <c r="B1" s="1786"/>
      <c r="C1" s="1786"/>
      <c r="D1" s="1786"/>
      <c r="E1" s="1786"/>
      <c r="F1" s="1786"/>
      <c r="G1" s="1787"/>
      <c r="H1" s="1788"/>
    </row>
    <row r="2" spans="1:8">
      <c r="A2" s="1789" t="s">
        <v>1025</v>
      </c>
      <c r="B2" s="1791" t="s">
        <v>1026</v>
      </c>
      <c r="C2" s="1793" t="s">
        <v>353</v>
      </c>
      <c r="D2" s="1794"/>
      <c r="E2" s="1795"/>
      <c r="F2" s="1796" t="s">
        <v>1027</v>
      </c>
      <c r="G2" s="1793"/>
      <c r="H2" s="1797"/>
    </row>
    <row r="3" spans="1:8" ht="30.75" thickBot="1">
      <c r="A3" s="1790"/>
      <c r="B3" s="1792"/>
      <c r="C3" s="679" t="s">
        <v>1028</v>
      </c>
      <c r="D3" s="680" t="s">
        <v>1029</v>
      </c>
      <c r="E3" s="681" t="s">
        <v>1030</v>
      </c>
      <c r="F3" s="681" t="s">
        <v>1028</v>
      </c>
      <c r="G3" s="680" t="s">
        <v>1029</v>
      </c>
      <c r="H3" s="682" t="s">
        <v>1030</v>
      </c>
    </row>
    <row r="4" spans="1:8" ht="15.75" thickBot="1">
      <c r="A4" s="1798" t="s">
        <v>1031</v>
      </c>
      <c r="B4" s="683" t="s">
        <v>1032</v>
      </c>
      <c r="C4" s="684">
        <v>43684</v>
      </c>
      <c r="D4" s="684">
        <f>C4</f>
        <v>43684</v>
      </c>
      <c r="E4" s="685" t="s">
        <v>1033</v>
      </c>
      <c r="F4" s="684">
        <v>43708</v>
      </c>
      <c r="G4" s="684">
        <f>F4</f>
        <v>43708</v>
      </c>
      <c r="H4" s="685" t="s">
        <v>1033</v>
      </c>
    </row>
    <row r="5" spans="1:8" ht="15.75" thickBot="1">
      <c r="A5" s="1799"/>
      <c r="B5" s="683" t="s">
        <v>1034</v>
      </c>
      <c r="C5" s="684">
        <f>F4+45</f>
        <v>43753</v>
      </c>
      <c r="D5" s="684">
        <f>C5</f>
        <v>43753</v>
      </c>
      <c r="E5" s="684"/>
      <c r="F5" s="684">
        <f>C5</f>
        <v>43753</v>
      </c>
      <c r="G5" s="684">
        <f>F5</f>
        <v>43753</v>
      </c>
      <c r="H5" s="684"/>
    </row>
    <row r="6" spans="1:8" ht="15.75" thickBot="1">
      <c r="A6" s="1800"/>
      <c r="B6" s="683" t="s">
        <v>1035</v>
      </c>
      <c r="C6" s="684">
        <v>43889</v>
      </c>
      <c r="D6" s="684">
        <f t="shared" ref="D6:D7" si="0">C6</f>
        <v>43889</v>
      </c>
      <c r="E6" s="684" t="s">
        <v>1033</v>
      </c>
      <c r="F6" s="684">
        <f>C6+31</f>
        <v>43920</v>
      </c>
      <c r="G6" s="684">
        <f t="shared" ref="G6:G36" si="1">F6</f>
        <v>43920</v>
      </c>
      <c r="H6" s="684" t="s">
        <v>1033</v>
      </c>
    </row>
    <row r="7" spans="1:8" ht="15.75" thickBot="1">
      <c r="A7" s="1800"/>
      <c r="B7" s="683" t="s">
        <v>1036</v>
      </c>
      <c r="C7" s="684">
        <f>F6+15</f>
        <v>43935</v>
      </c>
      <c r="D7" s="684">
        <f t="shared" si="0"/>
        <v>43935</v>
      </c>
      <c r="E7" s="684" t="s">
        <v>1033</v>
      </c>
      <c r="F7" s="684">
        <f>C7</f>
        <v>43935</v>
      </c>
      <c r="G7" s="684">
        <f t="shared" si="1"/>
        <v>43935</v>
      </c>
      <c r="H7" s="684" t="s">
        <v>1033</v>
      </c>
    </row>
    <row r="8" spans="1:8" ht="15.75" thickBot="1">
      <c r="A8" s="1800"/>
      <c r="B8" s="683" t="s">
        <v>1037</v>
      </c>
      <c r="C8" s="1803" t="s">
        <v>1038</v>
      </c>
      <c r="D8" s="1804"/>
      <c r="E8" s="1804"/>
      <c r="F8" s="1805"/>
      <c r="G8" s="684">
        <f t="shared" si="1"/>
        <v>0</v>
      </c>
      <c r="H8" s="684" t="s">
        <v>1033</v>
      </c>
    </row>
    <row r="9" spans="1:8" ht="15.75" thickBot="1">
      <c r="A9" s="1800"/>
      <c r="B9" s="683" t="s">
        <v>1039</v>
      </c>
      <c r="C9" s="1806"/>
      <c r="D9" s="1807"/>
      <c r="E9" s="1807"/>
      <c r="F9" s="1808"/>
      <c r="G9" s="684">
        <f t="shared" si="1"/>
        <v>0</v>
      </c>
      <c r="H9" s="684" t="s">
        <v>1033</v>
      </c>
    </row>
    <row r="10" spans="1:8" ht="15.75" thickBot="1">
      <c r="A10" s="1800"/>
      <c r="B10" s="683" t="s">
        <v>1040</v>
      </c>
      <c r="C10" s="1806"/>
      <c r="D10" s="1807"/>
      <c r="E10" s="1807"/>
      <c r="F10" s="1808"/>
      <c r="G10" s="684">
        <f t="shared" si="1"/>
        <v>0</v>
      </c>
      <c r="H10" s="684" t="s">
        <v>1033</v>
      </c>
    </row>
    <row r="11" spans="1:8" ht="15.75" thickBot="1">
      <c r="A11" s="1800"/>
      <c r="B11" s="683" t="s">
        <v>1041</v>
      </c>
      <c r="C11" s="1806"/>
      <c r="D11" s="1807"/>
      <c r="E11" s="1807"/>
      <c r="F11" s="1808"/>
      <c r="G11" s="684">
        <f t="shared" si="1"/>
        <v>0</v>
      </c>
      <c r="H11" s="684" t="s">
        <v>1033</v>
      </c>
    </row>
    <row r="12" spans="1:8" ht="15.75" thickBot="1">
      <c r="A12" s="1800"/>
      <c r="B12" s="683" t="s">
        <v>1042</v>
      </c>
      <c r="C12" s="1806"/>
      <c r="D12" s="1807"/>
      <c r="E12" s="1807"/>
      <c r="F12" s="1808"/>
      <c r="G12" s="684">
        <f t="shared" si="1"/>
        <v>0</v>
      </c>
      <c r="H12" s="684" t="s">
        <v>1033</v>
      </c>
    </row>
    <row r="13" spans="1:8" ht="15.75" thickBot="1">
      <c r="A13" s="1800"/>
      <c r="B13" s="683" t="s">
        <v>1043</v>
      </c>
      <c r="C13" s="1809"/>
      <c r="D13" s="1810"/>
      <c r="E13" s="1810"/>
      <c r="F13" s="1811"/>
      <c r="G13" s="684">
        <f t="shared" si="1"/>
        <v>0</v>
      </c>
      <c r="H13" s="684" t="s">
        <v>1033</v>
      </c>
    </row>
    <row r="14" spans="1:8" ht="15.75" thickBot="1">
      <c r="A14" s="1800"/>
      <c r="B14" s="683" t="s">
        <v>1044</v>
      </c>
      <c r="C14" s="684">
        <f>F7+31</f>
        <v>43966</v>
      </c>
      <c r="D14" s="684">
        <f>C14</f>
        <v>43966</v>
      </c>
      <c r="E14" s="684" t="s">
        <v>1033</v>
      </c>
      <c r="F14" s="684">
        <f>C14</f>
        <v>43966</v>
      </c>
      <c r="G14" s="684">
        <f t="shared" si="1"/>
        <v>43966</v>
      </c>
      <c r="H14" s="684" t="s">
        <v>1033</v>
      </c>
    </row>
    <row r="15" spans="1:8" ht="15.75" thickBot="1">
      <c r="A15" s="1800"/>
      <c r="B15" s="683" t="s">
        <v>1045</v>
      </c>
      <c r="C15" s="684">
        <f>C14+7</f>
        <v>43973</v>
      </c>
      <c r="D15" s="684">
        <f t="shared" ref="D15:D22" si="2">C15</f>
        <v>43973</v>
      </c>
      <c r="E15" s="684" t="s">
        <v>1033</v>
      </c>
      <c r="F15" s="684">
        <f>C15</f>
        <v>43973</v>
      </c>
      <c r="G15" s="684">
        <f t="shared" si="1"/>
        <v>43973</v>
      </c>
      <c r="H15" s="684" t="s">
        <v>1033</v>
      </c>
    </row>
    <row r="16" spans="1:8" ht="15.75" thickBot="1">
      <c r="A16" s="1800"/>
      <c r="B16" s="683" t="s">
        <v>1046</v>
      </c>
      <c r="C16" s="684">
        <f>C15+7</f>
        <v>43980</v>
      </c>
      <c r="D16" s="684">
        <f t="shared" si="2"/>
        <v>43980</v>
      </c>
      <c r="E16" s="684" t="s">
        <v>1033</v>
      </c>
      <c r="F16" s="684">
        <f>C16</f>
        <v>43980</v>
      </c>
      <c r="G16" s="684">
        <f t="shared" si="1"/>
        <v>43980</v>
      </c>
      <c r="H16" s="684" t="s">
        <v>1033</v>
      </c>
    </row>
    <row r="17" spans="1:9" ht="15.75" thickBot="1">
      <c r="A17" s="1800"/>
      <c r="B17" s="686" t="s">
        <v>1047</v>
      </c>
      <c r="C17" s="687">
        <f>F16+7</f>
        <v>43987</v>
      </c>
      <c r="D17" s="687">
        <f t="shared" si="2"/>
        <v>43987</v>
      </c>
      <c r="E17" s="687"/>
      <c r="F17" s="687">
        <f>C17+90</f>
        <v>44077</v>
      </c>
      <c r="G17" s="687">
        <f>F17</f>
        <v>44077</v>
      </c>
      <c r="H17" s="684"/>
    </row>
    <row r="18" spans="1:9" ht="15.75" thickBot="1">
      <c r="A18" s="1800"/>
      <c r="B18" s="686" t="s">
        <v>1048</v>
      </c>
      <c r="C18" s="687">
        <f>F17+3</f>
        <v>44080</v>
      </c>
      <c r="D18" s="687">
        <f t="shared" si="2"/>
        <v>44080</v>
      </c>
      <c r="E18" s="687"/>
      <c r="F18" s="687">
        <f>C18+120</f>
        <v>44200</v>
      </c>
      <c r="G18" s="687">
        <f t="shared" si="1"/>
        <v>44200</v>
      </c>
      <c r="H18" s="684"/>
    </row>
    <row r="19" spans="1:9" ht="15.75" thickBot="1">
      <c r="A19" s="1800"/>
      <c r="B19" s="686" t="s">
        <v>1049</v>
      </c>
      <c r="C19" s="687">
        <f>F18+3</f>
        <v>44203</v>
      </c>
      <c r="D19" s="687">
        <f t="shared" si="2"/>
        <v>44203</v>
      </c>
      <c r="E19" s="687"/>
      <c r="F19" s="687">
        <f>C19+90</f>
        <v>44293</v>
      </c>
      <c r="G19" s="687">
        <f t="shared" si="1"/>
        <v>44293</v>
      </c>
      <c r="H19" s="684"/>
    </row>
    <row r="20" spans="1:9" ht="15.75" thickBot="1">
      <c r="A20" s="1800"/>
      <c r="B20" s="686" t="s">
        <v>1050</v>
      </c>
      <c r="C20" s="687">
        <f>F19+3</f>
        <v>44296</v>
      </c>
      <c r="D20" s="687">
        <f t="shared" si="2"/>
        <v>44296</v>
      </c>
      <c r="E20" s="687" t="s">
        <v>1033</v>
      </c>
      <c r="F20" s="687">
        <f>C20+90</f>
        <v>44386</v>
      </c>
      <c r="G20" s="687">
        <f t="shared" si="1"/>
        <v>44386</v>
      </c>
      <c r="H20" s="684" t="s">
        <v>1033</v>
      </c>
    </row>
    <row r="21" spans="1:9" ht="15.75" thickBot="1">
      <c r="A21" s="1801"/>
      <c r="B21" s="686" t="s">
        <v>1051</v>
      </c>
      <c r="C21" s="687">
        <f>F20+3</f>
        <v>44389</v>
      </c>
      <c r="D21" s="687">
        <f t="shared" si="2"/>
        <v>44389</v>
      </c>
      <c r="E21" s="687" t="s">
        <v>1033</v>
      </c>
      <c r="F21" s="687">
        <f>C21+20</f>
        <v>44409</v>
      </c>
      <c r="G21" s="687">
        <f t="shared" si="1"/>
        <v>44409</v>
      </c>
      <c r="H21" s="684" t="s">
        <v>1033</v>
      </c>
    </row>
    <row r="22" spans="1:9" ht="15.75" thickBot="1">
      <c r="A22" s="1802"/>
      <c r="B22" s="688" t="s">
        <v>1052</v>
      </c>
      <c r="C22" s="684">
        <f>C26</f>
        <v>44475</v>
      </c>
      <c r="D22" s="684">
        <f t="shared" si="2"/>
        <v>44475</v>
      </c>
      <c r="E22" s="684" t="s">
        <v>1033</v>
      </c>
      <c r="F22" s="684">
        <f>C22</f>
        <v>44475</v>
      </c>
      <c r="G22" s="684">
        <f t="shared" si="1"/>
        <v>44475</v>
      </c>
      <c r="H22" s="684" t="s">
        <v>1033</v>
      </c>
    </row>
    <row r="23" spans="1:9" ht="15.75" thickBot="1">
      <c r="A23" s="1812" t="s">
        <v>486</v>
      </c>
      <c r="B23" s="689" t="s">
        <v>1040</v>
      </c>
      <c r="C23" s="684">
        <f>F21+3</f>
        <v>44412</v>
      </c>
      <c r="D23" s="684">
        <f>C23</f>
        <v>44412</v>
      </c>
      <c r="E23" s="685" t="s">
        <v>1033</v>
      </c>
      <c r="F23" s="684">
        <f>C23</f>
        <v>44412</v>
      </c>
      <c r="G23" s="684">
        <f t="shared" si="1"/>
        <v>44412</v>
      </c>
      <c r="H23" s="685" t="s">
        <v>1033</v>
      </c>
    </row>
    <row r="24" spans="1:9" ht="15.75" thickBot="1">
      <c r="A24" s="1813"/>
      <c r="B24" s="683" t="s">
        <v>1041</v>
      </c>
      <c r="C24" s="684">
        <f>F23+40</f>
        <v>44452</v>
      </c>
      <c r="D24" s="684">
        <f t="shared" ref="D24:D36" si="3">C24</f>
        <v>44452</v>
      </c>
      <c r="E24" s="685" t="s">
        <v>1033</v>
      </c>
      <c r="F24" s="684">
        <f>C24</f>
        <v>44452</v>
      </c>
      <c r="G24" s="684">
        <f t="shared" si="1"/>
        <v>44452</v>
      </c>
      <c r="H24" s="685" t="s">
        <v>1033</v>
      </c>
    </row>
    <row r="25" spans="1:9" ht="15.75" thickBot="1">
      <c r="A25" s="1813"/>
      <c r="B25" s="683" t="s">
        <v>1042</v>
      </c>
      <c r="C25" s="684">
        <f>F24+3</f>
        <v>44455</v>
      </c>
      <c r="D25" s="684">
        <f t="shared" si="3"/>
        <v>44455</v>
      </c>
      <c r="E25" s="685" t="s">
        <v>1033</v>
      </c>
      <c r="F25" s="684">
        <f>C25</f>
        <v>44455</v>
      </c>
      <c r="G25" s="684">
        <f t="shared" si="1"/>
        <v>44455</v>
      </c>
      <c r="H25" s="685" t="s">
        <v>1033</v>
      </c>
    </row>
    <row r="26" spans="1:9" ht="15.75" thickBot="1">
      <c r="A26" s="1813"/>
      <c r="B26" s="683" t="s">
        <v>1043</v>
      </c>
      <c r="C26" s="684">
        <f>F25+20</f>
        <v>44475</v>
      </c>
      <c r="D26" s="684">
        <f t="shared" si="3"/>
        <v>44475</v>
      </c>
      <c r="E26" s="685" t="s">
        <v>1033</v>
      </c>
      <c r="F26" s="684">
        <f>C26</f>
        <v>44475</v>
      </c>
      <c r="G26" s="684">
        <f t="shared" si="1"/>
        <v>44475</v>
      </c>
      <c r="H26" s="685" t="s">
        <v>1033</v>
      </c>
    </row>
    <row r="27" spans="1:9" ht="15.75" thickBot="1">
      <c r="A27" s="1813"/>
      <c r="B27" s="683" t="s">
        <v>1044</v>
      </c>
      <c r="C27" s="684">
        <f>F26+5</f>
        <v>44480</v>
      </c>
      <c r="D27" s="684">
        <f t="shared" si="3"/>
        <v>44480</v>
      </c>
      <c r="E27" s="685" t="s">
        <v>1033</v>
      </c>
      <c r="F27" s="684">
        <f>C27+7</f>
        <v>44487</v>
      </c>
      <c r="G27" s="684">
        <f t="shared" si="1"/>
        <v>44487</v>
      </c>
      <c r="H27" s="685" t="s">
        <v>1033</v>
      </c>
    </row>
    <row r="28" spans="1:9" ht="15.75" thickBot="1">
      <c r="A28" s="1813"/>
      <c r="B28" s="686" t="s">
        <v>1045</v>
      </c>
      <c r="C28" s="687">
        <f>F27</f>
        <v>44487</v>
      </c>
      <c r="D28" s="687">
        <f t="shared" si="3"/>
        <v>44487</v>
      </c>
      <c r="E28" s="690" t="s">
        <v>1033</v>
      </c>
      <c r="F28" s="687">
        <f>C28</f>
        <v>44487</v>
      </c>
      <c r="G28" s="687">
        <f t="shared" si="1"/>
        <v>44487</v>
      </c>
      <c r="H28" s="685" t="s">
        <v>1033</v>
      </c>
    </row>
    <row r="29" spans="1:9" ht="15.75" thickBot="1">
      <c r="A29" s="1813"/>
      <c r="B29" s="683" t="s">
        <v>1046</v>
      </c>
      <c r="C29" s="684">
        <f>F28+3</f>
        <v>44490</v>
      </c>
      <c r="D29" s="684">
        <f t="shared" si="3"/>
        <v>44490</v>
      </c>
      <c r="E29" s="685" t="s">
        <v>1033</v>
      </c>
      <c r="F29" s="684">
        <f>C29+17</f>
        <v>44507</v>
      </c>
      <c r="G29" s="684">
        <f t="shared" si="1"/>
        <v>44507</v>
      </c>
      <c r="H29" s="685" t="s">
        <v>1033</v>
      </c>
      <c r="I29" s="691" t="s">
        <v>1053</v>
      </c>
    </row>
    <row r="30" spans="1:9" ht="15.75" thickBot="1">
      <c r="A30" s="1813"/>
      <c r="B30" s="683" t="s">
        <v>1054</v>
      </c>
      <c r="C30" s="684">
        <f>F29+2</f>
        <v>44509</v>
      </c>
      <c r="D30" s="684">
        <f t="shared" si="3"/>
        <v>44509</v>
      </c>
      <c r="E30" s="685" t="s">
        <v>1033</v>
      </c>
      <c r="F30" s="684">
        <f>C30</f>
        <v>44509</v>
      </c>
      <c r="G30" s="684">
        <f t="shared" si="1"/>
        <v>44509</v>
      </c>
      <c r="H30" s="685" t="s">
        <v>1033</v>
      </c>
      <c r="I30" s="661" t="s">
        <v>1055</v>
      </c>
    </row>
    <row r="31" spans="1:9" ht="15.75" thickBot="1">
      <c r="A31" s="1813"/>
      <c r="B31" s="686" t="s">
        <v>1056</v>
      </c>
      <c r="C31" s="687">
        <v>44652</v>
      </c>
      <c r="D31" s="687">
        <f t="shared" si="3"/>
        <v>44652</v>
      </c>
      <c r="E31" s="690" t="s">
        <v>1033</v>
      </c>
      <c r="F31" s="687">
        <f>C31</f>
        <v>44652</v>
      </c>
      <c r="G31" s="687">
        <f t="shared" si="1"/>
        <v>44652</v>
      </c>
      <c r="H31" s="685" t="s">
        <v>1033</v>
      </c>
      <c r="I31" s="661" t="s">
        <v>1057</v>
      </c>
    </row>
    <row r="32" spans="1:9" ht="15.75" thickBot="1">
      <c r="A32" s="1813"/>
      <c r="B32" s="683" t="s">
        <v>1058</v>
      </c>
      <c r="C32" s="684">
        <f>F31+670</f>
        <v>45322</v>
      </c>
      <c r="D32" s="684">
        <f t="shared" si="3"/>
        <v>45322</v>
      </c>
      <c r="E32" s="685" t="s">
        <v>1033</v>
      </c>
      <c r="F32" s="684">
        <f>C32</f>
        <v>45322</v>
      </c>
      <c r="G32" s="684">
        <f t="shared" si="1"/>
        <v>45322</v>
      </c>
      <c r="H32" s="685" t="s">
        <v>1033</v>
      </c>
    </row>
    <row r="33" spans="1:8" ht="15.75" thickBot="1">
      <c r="A33" s="1813"/>
      <c r="B33" s="686" t="s">
        <v>1059</v>
      </c>
      <c r="C33" s="687">
        <f>F32+90</f>
        <v>45412</v>
      </c>
      <c r="D33" s="687">
        <f t="shared" si="3"/>
        <v>45412</v>
      </c>
      <c r="E33" s="690" t="s">
        <v>1033</v>
      </c>
      <c r="F33" s="687">
        <f>C33</f>
        <v>45412</v>
      </c>
      <c r="G33" s="687">
        <f t="shared" si="1"/>
        <v>45412</v>
      </c>
      <c r="H33" s="685" t="s">
        <v>1033</v>
      </c>
    </row>
    <row r="34" spans="1:8" ht="15.75" thickBot="1">
      <c r="A34" s="1813"/>
      <c r="B34" s="683" t="s">
        <v>1060</v>
      </c>
      <c r="C34" s="684">
        <f>F33+7</f>
        <v>45419</v>
      </c>
      <c r="D34" s="684">
        <f t="shared" si="3"/>
        <v>45419</v>
      </c>
      <c r="E34" s="685" t="s">
        <v>1033</v>
      </c>
      <c r="F34" s="684">
        <f>C34</f>
        <v>45419</v>
      </c>
      <c r="G34" s="684">
        <f t="shared" si="1"/>
        <v>45419</v>
      </c>
      <c r="H34" s="685" t="s">
        <v>1033</v>
      </c>
    </row>
    <row r="35" spans="1:8" ht="15.75" thickBot="1">
      <c r="A35" s="1813"/>
      <c r="B35" s="683" t="s">
        <v>1061</v>
      </c>
      <c r="C35" s="684">
        <f>F34+7</f>
        <v>45426</v>
      </c>
      <c r="D35" s="684">
        <f t="shared" si="3"/>
        <v>45426</v>
      </c>
      <c r="E35" s="685" t="s">
        <v>1033</v>
      </c>
      <c r="F35" s="684">
        <f>C35+7</f>
        <v>45433</v>
      </c>
      <c r="G35" s="684">
        <f t="shared" si="1"/>
        <v>45433</v>
      </c>
      <c r="H35" s="685" t="s">
        <v>1033</v>
      </c>
    </row>
    <row r="36" spans="1:8" ht="15.75" thickBot="1">
      <c r="A36" s="1814"/>
      <c r="B36" s="692" t="s">
        <v>1062</v>
      </c>
      <c r="C36" s="684">
        <f>F35+7</f>
        <v>45440</v>
      </c>
      <c r="D36" s="684">
        <f t="shared" si="3"/>
        <v>45440</v>
      </c>
      <c r="E36" s="685" t="s">
        <v>1033</v>
      </c>
      <c r="F36" s="684">
        <f>C36</f>
        <v>45440</v>
      </c>
      <c r="G36" s="684">
        <f t="shared" si="1"/>
        <v>45440</v>
      </c>
      <c r="H36" s="685" t="s">
        <v>1033</v>
      </c>
    </row>
    <row r="37" spans="1:8">
      <c r="A37" s="1815" t="s">
        <v>1063</v>
      </c>
      <c r="B37" s="1816"/>
      <c r="C37" s="1816"/>
      <c r="D37" s="1816"/>
      <c r="E37" s="1816"/>
      <c r="F37" s="1816"/>
      <c r="G37" s="1816"/>
      <c r="H37" s="1817"/>
    </row>
    <row r="38" spans="1:8" ht="15.75" thickBot="1">
      <c r="A38" s="693" t="s">
        <v>1064</v>
      </c>
      <c r="B38" s="1792" t="s">
        <v>1065</v>
      </c>
      <c r="C38" s="1792"/>
      <c r="D38" s="1792" t="s">
        <v>1066</v>
      </c>
      <c r="E38" s="1792"/>
      <c r="F38" s="1792"/>
      <c r="G38" s="1818" t="s">
        <v>1067</v>
      </c>
      <c r="H38" s="1819"/>
    </row>
    <row r="39" spans="1:8">
      <c r="A39" s="694" t="s">
        <v>1068</v>
      </c>
      <c r="B39" s="1781" t="s">
        <v>1069</v>
      </c>
      <c r="C39" s="1781"/>
      <c r="D39" s="1782"/>
      <c r="E39" s="1782"/>
      <c r="F39" s="1782"/>
      <c r="G39" s="1783"/>
      <c r="H39" s="1784"/>
    </row>
    <row r="40" spans="1:8">
      <c r="A40" s="694" t="s">
        <v>1068</v>
      </c>
      <c r="B40" s="1776" t="s">
        <v>1070</v>
      </c>
      <c r="C40" s="1776"/>
      <c r="D40" s="1777"/>
      <c r="E40" s="1777"/>
      <c r="F40" s="1777"/>
      <c r="G40" s="1778"/>
      <c r="H40" s="1779"/>
    </row>
    <row r="41" spans="1:8">
      <c r="A41" s="694" t="s">
        <v>1068</v>
      </c>
      <c r="B41" s="1780" t="s">
        <v>1071</v>
      </c>
      <c r="C41" s="1780"/>
      <c r="D41" s="1777"/>
      <c r="E41" s="1777"/>
      <c r="F41" s="1777"/>
      <c r="G41" s="1778"/>
      <c r="H41" s="1779"/>
    </row>
  </sheetData>
  <mergeCells count="21">
    <mergeCell ref="B39:C39"/>
    <mergeCell ref="D39:F39"/>
    <mergeCell ref="G39:H39"/>
    <mergeCell ref="A1:H1"/>
    <mergeCell ref="A2:A3"/>
    <mergeCell ref="B2:B3"/>
    <mergeCell ref="C2:E2"/>
    <mergeCell ref="F2:H2"/>
    <mergeCell ref="A4:A22"/>
    <mergeCell ref="C8:F13"/>
    <mergeCell ref="A23:A36"/>
    <mergeCell ref="A37:H37"/>
    <mergeCell ref="B38:C38"/>
    <mergeCell ref="D38:F38"/>
    <mergeCell ref="G38:H38"/>
    <mergeCell ref="B40:C40"/>
    <mergeCell ref="D40:F40"/>
    <mergeCell ref="G40:H40"/>
    <mergeCell ref="B41:C41"/>
    <mergeCell ref="D41:F41"/>
    <mergeCell ref="G41:H41"/>
  </mergeCells>
  <pageMargins left="0.7" right="0.7" top="0.75" bottom="0.75" header="0.3" footer="0.3"/>
  <pageSetup paperSize="9" orientation="portrait" r:id="rId1"/>
  <headerFooter>
    <oddHeader>&amp;C&amp;"Calibri"&amp;10&amp;K000000Confidential&amp;1#</oddHeader>
    <oddFooter>&amp;R&amp;1#&amp;"Calibri"&amp;10&amp;K000000Confidential</oddFooter>
  </headerFooter>
  <legacy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4"/>
  <dimension ref="A2:L55"/>
  <sheetViews>
    <sheetView topLeftCell="A13" workbookViewId="0">
      <selection activeCell="I41" sqref="I41"/>
    </sheetView>
  </sheetViews>
  <sheetFormatPr defaultColWidth="9.140625" defaultRowHeight="14.25"/>
  <cols>
    <col min="1" max="1" width="14.7109375" style="30" customWidth="1"/>
    <col min="2" max="2" width="13.140625" style="30" customWidth="1"/>
    <col min="3" max="3" width="19.42578125" style="30" customWidth="1"/>
    <col min="4" max="11" width="9.140625" style="30"/>
    <col min="12" max="12" width="14" style="30" customWidth="1"/>
    <col min="13" max="16384" width="9.140625" style="30"/>
  </cols>
  <sheetData>
    <row r="2" spans="1:12">
      <c r="A2" s="4"/>
      <c r="B2" s="4"/>
      <c r="C2" s="4"/>
      <c r="D2" s="4"/>
      <c r="E2" s="4"/>
      <c r="F2" s="4"/>
      <c r="G2" s="4"/>
      <c r="H2" s="4"/>
      <c r="I2" s="4"/>
      <c r="J2" s="4"/>
      <c r="K2" s="4"/>
      <c r="L2" s="4"/>
    </row>
    <row r="3" spans="1:12">
      <c r="A3" s="4"/>
      <c r="B3" s="4"/>
      <c r="C3" s="4"/>
      <c r="D3" s="4"/>
      <c r="E3" s="4"/>
      <c r="F3" s="4"/>
      <c r="G3" s="4"/>
      <c r="H3" s="4"/>
      <c r="I3" s="4"/>
      <c r="J3" s="4"/>
      <c r="K3" s="4"/>
      <c r="L3" s="4"/>
    </row>
    <row r="4" spans="1:12">
      <c r="A4" s="4"/>
      <c r="B4" s="4"/>
      <c r="C4" s="4"/>
      <c r="D4" s="4"/>
      <c r="E4" s="4"/>
      <c r="F4" s="4"/>
      <c r="G4" s="4"/>
      <c r="H4" s="4"/>
      <c r="I4" s="4"/>
      <c r="J4" s="4"/>
      <c r="K4" s="4"/>
      <c r="L4" s="4"/>
    </row>
    <row r="5" spans="1:12">
      <c r="A5" s="4"/>
      <c r="B5" s="4"/>
      <c r="C5" s="4"/>
      <c r="D5" s="4"/>
      <c r="E5" s="4"/>
      <c r="F5" s="4"/>
      <c r="G5" s="4"/>
      <c r="H5" s="4"/>
      <c r="I5" s="4"/>
      <c r="J5" s="4"/>
      <c r="K5" s="4"/>
      <c r="L5" s="4"/>
    </row>
    <row r="6" spans="1:12">
      <c r="A6" s="4"/>
      <c r="B6" s="4"/>
      <c r="C6" s="4"/>
      <c r="D6" s="4"/>
      <c r="E6" s="4"/>
      <c r="F6" s="4"/>
      <c r="G6" s="4"/>
      <c r="H6" s="4"/>
      <c r="I6" s="4"/>
      <c r="J6" s="4"/>
      <c r="K6" s="4"/>
      <c r="L6" s="4"/>
    </row>
    <row r="7" spans="1:12">
      <c r="A7" s="4"/>
      <c r="B7" s="4"/>
      <c r="C7" s="4"/>
      <c r="D7" s="4"/>
      <c r="E7" s="4"/>
      <c r="F7" s="4"/>
      <c r="G7" s="4"/>
      <c r="H7" s="4"/>
      <c r="I7" s="4"/>
      <c r="J7" s="4"/>
      <c r="K7" s="4"/>
      <c r="L7" s="4"/>
    </row>
    <row r="8" spans="1:12">
      <c r="A8" s="4"/>
      <c r="B8" s="4"/>
      <c r="C8" s="4"/>
      <c r="D8" s="4"/>
      <c r="E8" s="4"/>
      <c r="F8" s="4"/>
      <c r="G8" s="4"/>
      <c r="H8" s="4"/>
      <c r="I8" s="4"/>
      <c r="J8" s="4"/>
      <c r="K8" s="4"/>
      <c r="L8" s="4"/>
    </row>
    <row r="9" spans="1:12">
      <c r="A9" s="4"/>
      <c r="B9" s="4"/>
      <c r="C9" s="4"/>
      <c r="D9" s="4"/>
      <c r="E9" s="4"/>
      <c r="F9" s="4"/>
      <c r="G9" s="4"/>
      <c r="H9" s="4"/>
      <c r="I9" s="4"/>
      <c r="J9" s="4"/>
      <c r="K9" s="4"/>
      <c r="L9" s="4"/>
    </row>
    <row r="10" spans="1:12">
      <c r="A10" s="4"/>
      <c r="B10" s="4"/>
      <c r="C10" s="4"/>
      <c r="D10" s="4"/>
      <c r="E10" s="4"/>
      <c r="F10" s="4"/>
      <c r="G10" s="4"/>
      <c r="H10" s="4"/>
      <c r="I10" s="4"/>
      <c r="J10" s="4"/>
      <c r="K10" s="4"/>
      <c r="L10" s="4"/>
    </row>
    <row r="11" spans="1:12">
      <c r="A11" s="4"/>
      <c r="B11" s="4"/>
      <c r="C11" s="4"/>
      <c r="D11" s="4"/>
      <c r="E11" s="4"/>
      <c r="F11" s="4"/>
      <c r="G11" s="4"/>
      <c r="H11" s="4"/>
      <c r="I11" s="4"/>
      <c r="J11" s="4"/>
      <c r="K11" s="4"/>
      <c r="L11" s="4"/>
    </row>
    <row r="12" spans="1:12">
      <c r="A12" s="4"/>
      <c r="B12" s="4"/>
      <c r="C12" s="4"/>
      <c r="D12" s="4"/>
      <c r="E12" s="4"/>
      <c r="F12" s="4"/>
      <c r="G12" s="4"/>
      <c r="H12" s="4"/>
      <c r="I12" s="4"/>
      <c r="J12" s="4"/>
      <c r="K12" s="4"/>
      <c r="L12" s="4"/>
    </row>
    <row r="13" spans="1:12" ht="18">
      <c r="A13" s="178" t="s">
        <v>478</v>
      </c>
      <c r="B13" s="177"/>
      <c r="C13" s="177"/>
      <c r="D13" s="3"/>
      <c r="E13" s="3"/>
      <c r="F13" s="3"/>
      <c r="G13" s="3"/>
      <c r="H13" s="3"/>
      <c r="I13" s="3"/>
      <c r="J13" s="3"/>
      <c r="K13" s="4"/>
      <c r="L13" s="4"/>
    </row>
    <row r="14" spans="1:12" ht="21" customHeight="1">
      <c r="A14" s="183"/>
      <c r="B14" s="3"/>
      <c r="C14" s="12"/>
      <c r="D14" s="3"/>
      <c r="E14" s="3"/>
      <c r="F14" s="3"/>
      <c r="G14" s="3"/>
      <c r="H14" s="3"/>
      <c r="I14" s="3"/>
      <c r="J14" s="14"/>
      <c r="K14" s="14"/>
      <c r="L14" s="14"/>
    </row>
    <row r="15" spans="1:12" ht="18" customHeight="1">
      <c r="A15" s="3" t="s">
        <v>479</v>
      </c>
      <c r="B15" s="3"/>
      <c r="C15" s="12"/>
      <c r="D15" s="3"/>
      <c r="E15" s="3"/>
      <c r="F15" s="3"/>
      <c r="G15" s="3"/>
      <c r="H15" s="3"/>
      <c r="I15" s="3"/>
      <c r="J15" s="14"/>
      <c r="K15" s="14"/>
      <c r="L15" s="14"/>
    </row>
    <row r="16" spans="1:12" ht="15.75">
      <c r="A16" s="3" t="s">
        <v>480</v>
      </c>
      <c r="B16" s="4"/>
      <c r="C16" s="4"/>
      <c r="D16" s="120"/>
      <c r="E16" s="121"/>
      <c r="F16" s="121"/>
      <c r="G16" s="121"/>
      <c r="H16" s="3"/>
      <c r="I16" s="3"/>
      <c r="J16" s="3"/>
      <c r="K16" s="4"/>
      <c r="L16" s="4"/>
    </row>
    <row r="17" spans="1:12" ht="15.75">
      <c r="A17" s="3" t="s">
        <v>481</v>
      </c>
      <c r="B17" s="4"/>
      <c r="C17" s="4"/>
      <c r="D17" s="120"/>
      <c r="E17" s="121"/>
      <c r="F17" s="121"/>
      <c r="G17" s="121"/>
      <c r="H17" s="3"/>
      <c r="I17" s="3"/>
      <c r="J17" s="3"/>
      <c r="K17" s="4"/>
      <c r="L17" s="4"/>
    </row>
    <row r="18" spans="1:12">
      <c r="A18" s="3"/>
      <c r="B18" s="4"/>
      <c r="C18" s="4"/>
      <c r="D18" s="3"/>
      <c r="E18" s="12"/>
      <c r="F18" s="3"/>
      <c r="G18" s="3"/>
      <c r="H18" s="3"/>
      <c r="I18" s="3"/>
      <c r="J18" s="3"/>
      <c r="K18" s="179"/>
      <c r="L18" s="3"/>
    </row>
    <row r="19" spans="1:12" ht="15">
      <c r="A19" s="3" t="s">
        <v>482</v>
      </c>
      <c r="B19" s="14"/>
      <c r="C19" s="4"/>
      <c r="D19" s="3"/>
      <c r="E19" s="3"/>
      <c r="F19" s="3"/>
      <c r="G19" s="3"/>
      <c r="H19" s="3"/>
      <c r="I19" s="3"/>
      <c r="J19" s="3"/>
      <c r="K19" s="179"/>
      <c r="L19" s="3"/>
    </row>
    <row r="20" spans="1:12" ht="15">
      <c r="A20" s="3" t="s">
        <v>483</v>
      </c>
      <c r="B20" s="14"/>
      <c r="C20" s="4"/>
      <c r="D20" s="3"/>
      <c r="E20" s="3"/>
      <c r="F20" s="3"/>
      <c r="G20" s="3"/>
      <c r="H20" s="3"/>
      <c r="I20" s="3"/>
      <c r="J20" s="3"/>
      <c r="K20" s="179"/>
      <c r="L20" s="3"/>
    </row>
    <row r="21" spans="1:12" ht="15">
      <c r="A21" s="3" t="s">
        <v>484</v>
      </c>
      <c r="B21" s="14"/>
      <c r="C21" s="4"/>
      <c r="D21" s="3"/>
      <c r="E21" s="3"/>
      <c r="F21" s="3"/>
      <c r="G21" s="3"/>
      <c r="H21" s="3"/>
      <c r="I21" s="3"/>
      <c r="J21" s="3"/>
      <c r="K21" s="179"/>
      <c r="L21" s="3"/>
    </row>
    <row r="22" spans="1:12" ht="15">
      <c r="A22" s="3" t="s">
        <v>485</v>
      </c>
      <c r="B22" s="14"/>
      <c r="C22" s="4"/>
      <c r="D22" s="3"/>
      <c r="E22" s="3"/>
      <c r="F22" s="3"/>
      <c r="G22" s="3"/>
      <c r="H22" s="3"/>
      <c r="I22" s="3"/>
      <c r="J22" s="3"/>
      <c r="K22" s="179"/>
      <c r="L22" s="3"/>
    </row>
    <row r="23" spans="1:12" ht="15">
      <c r="A23" s="3"/>
      <c r="B23" s="14"/>
      <c r="C23" s="4"/>
      <c r="D23" s="3"/>
      <c r="E23" s="3"/>
      <c r="F23" s="3"/>
      <c r="G23" s="3"/>
      <c r="H23" s="3"/>
      <c r="I23" s="3"/>
      <c r="J23" s="3"/>
      <c r="K23" s="179"/>
      <c r="L23" s="3"/>
    </row>
    <row r="24" spans="1:12" ht="15">
      <c r="A24" s="3"/>
      <c r="B24" s="14"/>
      <c r="C24" s="4"/>
      <c r="D24" s="3"/>
      <c r="E24" s="3"/>
      <c r="F24" s="3"/>
      <c r="G24" s="3"/>
      <c r="H24" s="3"/>
      <c r="I24" s="3"/>
      <c r="J24" s="3"/>
      <c r="K24" s="179"/>
      <c r="L24" s="3"/>
    </row>
    <row r="25" spans="1:12" ht="18">
      <c r="A25" s="178" t="s">
        <v>486</v>
      </c>
      <c r="B25" s="4"/>
      <c r="C25" s="4"/>
      <c r="D25" s="3"/>
      <c r="E25" s="3"/>
      <c r="F25" s="3"/>
      <c r="G25" s="3"/>
      <c r="H25" s="3"/>
      <c r="I25" s="3"/>
      <c r="J25" s="3"/>
      <c r="K25" s="179"/>
      <c r="L25" s="3"/>
    </row>
    <row r="26" spans="1:12" ht="12.75" customHeight="1">
      <c r="A26" s="183"/>
      <c r="B26" s="4"/>
      <c r="C26" s="4"/>
      <c r="D26" s="3"/>
      <c r="E26" s="3"/>
      <c r="F26" s="3"/>
      <c r="G26" s="3"/>
      <c r="H26" s="3"/>
      <c r="I26" s="3"/>
      <c r="J26" s="3"/>
      <c r="K26" s="179"/>
      <c r="L26" s="3"/>
    </row>
    <row r="27" spans="1:12">
      <c r="A27" s="3" t="s">
        <v>487</v>
      </c>
      <c r="B27" s="4"/>
      <c r="C27" s="4"/>
      <c r="D27" s="3"/>
      <c r="E27" s="3"/>
      <c r="F27" s="3"/>
      <c r="G27" s="3"/>
      <c r="H27" s="3"/>
      <c r="I27" s="3"/>
      <c r="J27" s="3"/>
      <c r="K27" s="179"/>
      <c r="L27" s="3"/>
    </row>
    <row r="28" spans="1:12">
      <c r="A28" s="3" t="s">
        <v>488</v>
      </c>
      <c r="B28" s="4"/>
      <c r="C28" s="4"/>
      <c r="D28" s="3"/>
      <c r="E28" s="3"/>
      <c r="F28" s="3"/>
      <c r="G28" s="3"/>
      <c r="H28" s="3"/>
      <c r="I28" s="3"/>
      <c r="J28" s="3"/>
      <c r="K28" s="179"/>
      <c r="L28" s="3"/>
    </row>
    <row r="29" spans="1:12">
      <c r="A29" s="3"/>
      <c r="B29" s="4"/>
      <c r="C29" s="4"/>
      <c r="D29" s="3"/>
      <c r="E29" s="3"/>
      <c r="F29" s="3"/>
      <c r="G29" s="3"/>
      <c r="H29" s="3"/>
      <c r="I29" s="3"/>
      <c r="J29" s="3"/>
      <c r="K29" s="179"/>
      <c r="L29" s="3"/>
    </row>
    <row r="30" spans="1:12">
      <c r="A30" s="3"/>
      <c r="B30" s="4"/>
      <c r="C30" s="4"/>
      <c r="D30" s="3"/>
      <c r="E30" s="3"/>
      <c r="F30" s="3"/>
      <c r="G30" s="3"/>
      <c r="H30" s="3"/>
      <c r="I30" s="3"/>
      <c r="J30" s="3"/>
      <c r="K30" s="179"/>
      <c r="L30" s="3"/>
    </row>
    <row r="31" spans="1:12" ht="15">
      <c r="A31" s="3" t="s">
        <v>482</v>
      </c>
      <c r="B31" s="4"/>
      <c r="C31" s="4"/>
      <c r="D31" s="3"/>
      <c r="E31" s="3"/>
      <c r="F31" s="3"/>
      <c r="G31" s="14"/>
      <c r="H31" s="3"/>
      <c r="I31" s="3"/>
      <c r="J31" s="3"/>
      <c r="K31" s="179"/>
      <c r="L31" s="3"/>
    </row>
    <row r="32" spans="1:12">
      <c r="A32" s="3" t="s">
        <v>489</v>
      </c>
      <c r="B32" s="4"/>
      <c r="C32" s="4"/>
      <c r="D32" s="3"/>
      <c r="E32" s="3"/>
      <c r="F32" s="3"/>
      <c r="G32" s="3"/>
      <c r="H32" s="3"/>
      <c r="I32" s="3"/>
      <c r="J32" s="3"/>
      <c r="K32" s="179"/>
      <c r="L32" s="3"/>
    </row>
    <row r="33" spans="1:12" ht="15">
      <c r="A33" s="3" t="s">
        <v>490</v>
      </c>
      <c r="B33" s="4"/>
      <c r="C33" s="4"/>
      <c r="D33" s="3"/>
      <c r="E33" s="3"/>
      <c r="F33" s="3"/>
      <c r="G33" s="14"/>
      <c r="H33" s="3"/>
      <c r="I33" s="3"/>
      <c r="J33" s="3"/>
      <c r="K33" s="179"/>
      <c r="L33" s="3"/>
    </row>
    <row r="34" spans="1:12">
      <c r="A34" s="3"/>
      <c r="B34" s="3"/>
      <c r="C34" s="3"/>
      <c r="D34" s="13"/>
      <c r="E34" s="3"/>
      <c r="F34" s="3"/>
      <c r="G34" s="3"/>
      <c r="H34" s="3"/>
      <c r="I34" s="3"/>
      <c r="J34" s="3"/>
      <c r="K34" s="179"/>
      <c r="L34" s="3"/>
    </row>
    <row r="35" spans="1:12" ht="15">
      <c r="A35" s="3"/>
      <c r="B35" s="14"/>
      <c r="C35" s="3"/>
      <c r="D35" s="13"/>
      <c r="E35" s="3"/>
      <c r="F35" s="3"/>
      <c r="G35" s="3"/>
      <c r="H35" s="3"/>
      <c r="I35" s="3"/>
      <c r="J35" s="3"/>
      <c r="K35" s="179"/>
      <c r="L35" s="3"/>
    </row>
    <row r="36" spans="1:12">
      <c r="A36" s="3"/>
      <c r="B36" s="3"/>
      <c r="C36" s="3"/>
      <c r="D36" s="13"/>
      <c r="E36" s="3"/>
      <c r="F36" s="3"/>
      <c r="G36" s="3"/>
      <c r="H36" s="3"/>
      <c r="I36" s="3"/>
      <c r="J36" s="3"/>
      <c r="K36" s="3"/>
      <c r="L36" s="3"/>
    </row>
    <row r="37" spans="1:12">
      <c r="A37" s="3"/>
      <c r="B37" s="3"/>
      <c r="C37" s="3"/>
      <c r="D37" s="13"/>
      <c r="E37" s="3"/>
      <c r="F37" s="3"/>
      <c r="G37" s="3"/>
      <c r="H37" s="3"/>
      <c r="I37" s="3"/>
      <c r="J37" s="3"/>
      <c r="K37" s="3"/>
      <c r="L37" s="3"/>
    </row>
    <row r="38" spans="1:12">
      <c r="A38" s="3"/>
      <c r="B38" s="3"/>
      <c r="C38" s="3"/>
      <c r="D38" s="13"/>
      <c r="E38" s="4"/>
      <c r="F38" s="3"/>
      <c r="G38" s="3"/>
      <c r="H38" s="3"/>
      <c r="I38" s="3"/>
      <c r="J38" s="3"/>
      <c r="K38" s="3"/>
      <c r="L38" s="3"/>
    </row>
    <row r="39" spans="1:12">
      <c r="A39" s="3"/>
      <c r="B39" s="3"/>
      <c r="C39" s="3"/>
      <c r="D39" s="13"/>
      <c r="E39" s="4"/>
      <c r="F39" s="3"/>
      <c r="G39" s="3"/>
      <c r="H39" s="3"/>
      <c r="I39" s="3"/>
      <c r="J39" s="3"/>
      <c r="K39" s="4"/>
      <c r="L39" s="4"/>
    </row>
    <row r="40" spans="1:12">
      <c r="A40" s="3"/>
      <c r="B40" s="3"/>
      <c r="C40" s="3"/>
      <c r="D40" s="13"/>
      <c r="E40" s="4"/>
      <c r="F40" s="3"/>
      <c r="G40" s="3"/>
      <c r="H40" s="3"/>
      <c r="I40" s="3"/>
      <c r="J40" s="3"/>
      <c r="K40" s="4"/>
      <c r="L40" s="4"/>
    </row>
    <row r="41" spans="1:12">
      <c r="A41" s="3"/>
      <c r="B41" s="3"/>
      <c r="C41" s="3"/>
      <c r="D41" s="13"/>
      <c r="E41" s="4"/>
      <c r="F41" s="3"/>
      <c r="G41" s="3"/>
      <c r="H41" s="3"/>
      <c r="I41" s="3"/>
      <c r="J41" s="3"/>
      <c r="K41" s="4"/>
      <c r="L41" s="4"/>
    </row>
    <row r="42" spans="1:12">
      <c r="A42" s="3"/>
      <c r="B42" s="3"/>
      <c r="C42" s="180"/>
      <c r="D42" s="181"/>
      <c r="E42" s="4"/>
      <c r="F42" s="4"/>
      <c r="G42" s="4"/>
      <c r="H42" s="4"/>
      <c r="I42" s="4"/>
      <c r="J42" s="4"/>
      <c r="K42" s="4"/>
      <c r="L42" s="4"/>
    </row>
    <row r="43" spans="1:12">
      <c r="A43" s="3"/>
      <c r="B43" s="3"/>
      <c r="C43" s="3"/>
      <c r="D43" s="3"/>
      <c r="E43" s="3"/>
      <c r="F43" s="4"/>
      <c r="G43" s="4"/>
      <c r="H43" s="4"/>
      <c r="I43" s="4"/>
      <c r="J43" s="4"/>
      <c r="K43" s="4"/>
      <c r="L43" s="4"/>
    </row>
    <row r="44" spans="1:12">
      <c r="A44" s="3"/>
      <c r="B44" s="3"/>
      <c r="C44" s="3"/>
      <c r="D44" s="3"/>
      <c r="E44" s="3"/>
      <c r="F44" s="4"/>
      <c r="G44" s="4"/>
      <c r="H44" s="4"/>
      <c r="I44" s="4"/>
      <c r="J44" s="4"/>
      <c r="K44" s="182"/>
      <c r="L44" s="4"/>
    </row>
    <row r="45" spans="1:12">
      <c r="A45" s="3"/>
      <c r="B45" s="3"/>
      <c r="C45" s="3"/>
      <c r="D45" s="3"/>
      <c r="E45" s="3"/>
      <c r="F45" s="3"/>
      <c r="G45" s="3"/>
      <c r="H45" s="3"/>
      <c r="I45" s="3"/>
      <c r="J45" s="3"/>
      <c r="K45" s="3"/>
      <c r="L45" s="3"/>
    </row>
    <row r="46" spans="1:12">
      <c r="A46" s="3"/>
      <c r="B46" s="3"/>
      <c r="C46" s="3"/>
      <c r="D46" s="3"/>
      <c r="E46" s="3"/>
      <c r="F46" s="3"/>
      <c r="G46" s="3"/>
      <c r="H46" s="3"/>
      <c r="I46" s="3"/>
      <c r="J46" s="3"/>
      <c r="K46" s="3"/>
      <c r="L46" s="3"/>
    </row>
    <row r="47" spans="1:12">
      <c r="A47" s="3"/>
      <c r="B47" s="3"/>
      <c r="C47" s="3"/>
      <c r="D47" s="3"/>
      <c r="E47" s="3"/>
      <c r="F47" s="3"/>
      <c r="G47" s="3"/>
      <c r="H47" s="3"/>
      <c r="I47" s="3"/>
      <c r="J47" s="3"/>
      <c r="K47" s="3"/>
      <c r="L47" s="3"/>
    </row>
    <row r="48" spans="1:12">
      <c r="A48" s="3"/>
      <c r="B48" s="3"/>
      <c r="C48" s="3"/>
      <c r="D48" s="3"/>
      <c r="E48" s="3"/>
      <c r="F48" s="3"/>
      <c r="G48" s="3"/>
      <c r="H48" s="3"/>
      <c r="I48" s="3"/>
      <c r="J48" s="3"/>
      <c r="K48" s="3"/>
      <c r="L48" s="3"/>
    </row>
    <row r="49" spans="1:12">
      <c r="A49" s="3"/>
      <c r="B49" s="3"/>
      <c r="C49" s="3"/>
      <c r="D49" s="3"/>
      <c r="E49" s="3"/>
      <c r="F49" s="3"/>
      <c r="G49" s="3"/>
      <c r="H49" s="3"/>
      <c r="I49" s="3"/>
      <c r="J49" s="3"/>
      <c r="K49" s="3"/>
      <c r="L49" s="3"/>
    </row>
    <row r="50" spans="1:12">
      <c r="A50" s="3"/>
      <c r="B50" s="3"/>
      <c r="C50" s="3"/>
      <c r="D50" s="3"/>
      <c r="E50" s="3"/>
      <c r="F50" s="3"/>
      <c r="G50" s="3"/>
      <c r="H50" s="3"/>
      <c r="I50" s="3"/>
      <c r="J50" s="3"/>
      <c r="K50" s="3"/>
      <c r="L50" s="3"/>
    </row>
    <row r="51" spans="1:12">
      <c r="A51" s="3"/>
      <c r="B51" s="3"/>
      <c r="C51" s="3"/>
      <c r="D51" s="3"/>
      <c r="E51" s="3"/>
      <c r="F51" s="3"/>
      <c r="G51" s="3"/>
      <c r="H51" s="3"/>
      <c r="I51" s="3"/>
      <c r="J51" s="3"/>
      <c r="K51" s="3"/>
      <c r="L51" s="3"/>
    </row>
    <row r="52" spans="1:12">
      <c r="A52" s="3"/>
      <c r="B52" s="3"/>
      <c r="C52" s="3"/>
      <c r="D52" s="3"/>
      <c r="E52" s="3"/>
      <c r="F52" s="3"/>
      <c r="G52" s="3"/>
      <c r="H52" s="3"/>
      <c r="I52" s="3"/>
      <c r="J52" s="3"/>
      <c r="K52" s="3"/>
      <c r="L52" s="3"/>
    </row>
    <row r="53" spans="1:12">
      <c r="A53" s="3"/>
      <c r="B53" s="3"/>
      <c r="C53" s="3"/>
      <c r="D53" s="3"/>
      <c r="E53" s="3"/>
      <c r="F53" s="3"/>
      <c r="G53" s="3"/>
      <c r="H53" s="3"/>
      <c r="I53" s="3"/>
      <c r="J53" s="3"/>
      <c r="K53" s="3"/>
      <c r="L53" s="3"/>
    </row>
    <row r="54" spans="1:12">
      <c r="A54" s="3"/>
      <c r="B54" s="3"/>
      <c r="C54" s="3"/>
      <c r="D54" s="3"/>
      <c r="E54" s="3"/>
      <c r="F54" s="3"/>
      <c r="G54" s="3"/>
      <c r="H54" s="3"/>
      <c r="I54" s="3"/>
      <c r="J54" s="3"/>
      <c r="K54" s="4"/>
      <c r="L54" s="3"/>
    </row>
    <row r="55" spans="1:12">
      <c r="A55" s="3"/>
      <c r="B55" s="3"/>
      <c r="C55" s="3"/>
      <c r="D55" s="3"/>
      <c r="E55" s="3"/>
      <c r="F55" s="3"/>
      <c r="G55" s="3"/>
      <c r="H55" s="3"/>
      <c r="I55" s="3"/>
      <c r="J55" s="3"/>
      <c r="K55" s="182"/>
      <c r="L55" s="4"/>
    </row>
  </sheetData>
  <sheetProtection algorithmName="SHA-512" hashValue="q5i20pk2sS3/7yBJjli0VApBOF3kd9KTuhqQxc8N8jsv0bK+M93mnvwbnSWJR7TnL+D6hRpwB45Ppl+nUQok4g==" saltValue="CgQwn+seLGFhz1E4sakoNA==" spinCount="100000" sheet="1" objects="1" scenarios="1"/>
  <pageMargins left="0.7" right="0.7" top="0.75" bottom="0.75" header="0.3" footer="0.3"/>
  <pageSetup paperSize="9" orientation="portrait" horizontalDpi="1200" r:id="rId1"/>
  <headerFooter>
    <oddHeader>&amp;C&amp;"Calibri"&amp;10&amp;K000000Confidential&amp;1#</oddHeader>
    <oddFooter>&amp;R&amp;1#&amp;"Calibri"&amp;10&amp;K000000Confidential</oddFooter>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5">
    <tabColor indexed="10"/>
    <pageSetUpPr fitToPage="1"/>
  </sheetPr>
  <dimension ref="A1:AC80"/>
  <sheetViews>
    <sheetView zoomScale="80" zoomScaleNormal="80" workbookViewId="0">
      <selection activeCell="P48" sqref="P48"/>
    </sheetView>
  </sheetViews>
  <sheetFormatPr defaultColWidth="9.140625" defaultRowHeight="12.75"/>
  <cols>
    <col min="1" max="1" width="5.7109375" style="233" customWidth="1"/>
    <col min="2" max="15" width="9.140625" style="233"/>
    <col min="16" max="16" width="17.7109375" style="233" bestFit="1" customWidth="1"/>
    <col min="17" max="17" width="9.140625" style="233"/>
    <col min="18" max="18" width="11" style="233" customWidth="1"/>
    <col min="19" max="19" width="21.140625" style="246" bestFit="1" customWidth="1"/>
    <col min="20" max="20" width="11.28515625" style="233" customWidth="1"/>
    <col min="21" max="21" width="10.42578125" style="233" customWidth="1"/>
    <col min="22" max="22" width="2.28515625" style="233" customWidth="1"/>
    <col min="23" max="23" width="10.42578125" style="233" customWidth="1"/>
    <col min="24" max="24" width="12" style="233" customWidth="1"/>
    <col min="25" max="25" width="2.7109375" style="233" customWidth="1"/>
    <col min="26" max="16384" width="9.140625" style="233"/>
  </cols>
  <sheetData>
    <row r="1" spans="1:29" s="217" customFormat="1" ht="6.75" customHeight="1" thickBot="1">
      <c r="B1" s="218"/>
    </row>
    <row r="2" spans="1:29"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row>
    <row r="3" spans="1:29"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c r="X3" s="668"/>
      <c r="Y3" s="668"/>
    </row>
    <row r="4" spans="1:29" s="217" customFormat="1" ht="4.5" customHeight="1">
      <c r="A4" s="221"/>
      <c r="B4" s="222"/>
      <c r="C4" s="222"/>
      <c r="D4" s="222"/>
      <c r="J4" s="222"/>
      <c r="K4" s="222"/>
      <c r="L4" s="222"/>
      <c r="M4" s="222"/>
      <c r="O4" s="222"/>
      <c r="P4" s="222"/>
      <c r="Q4" s="223"/>
      <c r="R4" s="224"/>
      <c r="S4" s="225"/>
    </row>
    <row r="5" spans="1:29" s="217" customFormat="1" ht="22.5">
      <c r="A5" s="1821" t="s">
        <v>491</v>
      </c>
      <c r="B5" s="1821"/>
      <c r="C5" s="1821"/>
      <c r="D5" s="1821"/>
      <c r="E5" s="1821"/>
      <c r="F5" s="1821"/>
      <c r="G5" s="1821"/>
      <c r="H5" s="1821"/>
      <c r="I5" s="1821"/>
      <c r="J5" s="1821"/>
      <c r="K5" s="1821"/>
      <c r="L5" s="1821"/>
      <c r="M5" s="1821"/>
      <c r="N5" s="1821"/>
      <c r="O5" s="1821"/>
      <c r="P5" s="1821"/>
      <c r="Q5" s="1821"/>
      <c r="R5" s="1821"/>
      <c r="S5" s="1821"/>
      <c r="T5" s="1821"/>
      <c r="U5" s="1821"/>
      <c r="V5" s="1821"/>
      <c r="W5" s="1821"/>
      <c r="X5" s="669"/>
      <c r="Y5" s="669"/>
    </row>
    <row r="6" spans="1:29" s="217" customFormat="1" ht="7.5" customHeight="1">
      <c r="A6" s="221"/>
      <c r="B6" s="222"/>
      <c r="C6" s="222"/>
      <c r="D6" s="222"/>
      <c r="J6" s="222"/>
      <c r="K6" s="222"/>
      <c r="L6" s="222"/>
      <c r="M6" s="222"/>
      <c r="O6" s="222"/>
      <c r="P6" s="222"/>
      <c r="Q6" s="223"/>
      <c r="R6" s="224"/>
      <c r="S6" s="225"/>
    </row>
    <row r="7" spans="1:29" s="217" customFormat="1" hidden="1">
      <c r="A7" s="1822">
        <v>43040</v>
      </c>
      <c r="B7" s="1822"/>
      <c r="C7" s="1822"/>
      <c r="D7" s="1822"/>
      <c r="E7" s="1822"/>
      <c r="F7" s="1822"/>
      <c r="G7" s="1822"/>
      <c r="H7" s="1822"/>
      <c r="I7" s="1822"/>
      <c r="J7" s="1822"/>
      <c r="K7" s="1822"/>
      <c r="L7" s="1822"/>
      <c r="M7" s="1822"/>
      <c r="N7" s="1822"/>
      <c r="O7" s="1822"/>
      <c r="P7" s="1822"/>
      <c r="Q7" s="1822"/>
      <c r="R7" s="1822"/>
      <c r="S7" s="1822"/>
      <c r="T7" s="1822"/>
      <c r="U7" s="1822"/>
      <c r="V7" s="1822"/>
      <c r="W7" s="1822"/>
      <c r="X7" s="670"/>
      <c r="Y7" s="670"/>
    </row>
    <row r="8" spans="1:29"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row>
    <row r="9" spans="1:29" s="217" customFormat="1" ht="8.25" customHeight="1">
      <c r="A9" s="228"/>
      <c r="B9" s="229"/>
      <c r="C9" s="229"/>
      <c r="D9" s="229"/>
      <c r="E9" s="229"/>
      <c r="F9" s="229"/>
      <c r="G9" s="229"/>
      <c r="H9" s="229"/>
      <c r="I9" s="229"/>
      <c r="J9" s="229"/>
      <c r="K9" s="229"/>
      <c r="L9" s="230"/>
      <c r="M9" s="229"/>
      <c r="N9" s="229"/>
      <c r="O9" s="229"/>
      <c r="P9" s="229"/>
      <c r="Q9" s="229"/>
      <c r="R9" s="229"/>
      <c r="S9" s="229"/>
      <c r="T9" s="229"/>
      <c r="U9" s="229"/>
      <c r="V9" s="229"/>
      <c r="W9" s="229"/>
      <c r="X9" s="229"/>
      <c r="Y9" s="229"/>
    </row>
    <row r="11" spans="1:29" ht="18">
      <c r="A11" s="1823" t="s">
        <v>492</v>
      </c>
      <c r="B11" s="1823"/>
      <c r="C11" s="1823"/>
      <c r="D11" s="1823"/>
      <c r="E11" s="1823"/>
      <c r="F11" s="1823"/>
      <c r="G11" s="1823"/>
      <c r="H11" s="1823"/>
      <c r="I11" s="1823"/>
      <c r="J11" s="1823"/>
      <c r="K11" s="1823"/>
      <c r="L11" s="1823"/>
      <c r="M11" s="1823"/>
      <c r="N11" s="1823"/>
      <c r="O11" s="1823"/>
      <c r="P11" s="1823"/>
      <c r="Q11" s="1823"/>
      <c r="R11" s="1823"/>
      <c r="S11" s="1823"/>
      <c r="T11" s="1823"/>
      <c r="U11" s="583">
        <v>2009</v>
      </c>
      <c r="V11" s="232"/>
      <c r="W11" s="232"/>
      <c r="X11" s="591">
        <v>2021</v>
      </c>
      <c r="Y11" s="583"/>
      <c r="Z11" s="232"/>
      <c r="AA11" s="232"/>
      <c r="AB11" s="232"/>
      <c r="AC11" s="232"/>
    </row>
    <row r="12" spans="1:29">
      <c r="O12" s="231"/>
      <c r="P12" s="231"/>
      <c r="Q12" s="231"/>
      <c r="R12" s="231"/>
      <c r="S12" s="675" t="s">
        <v>493</v>
      </c>
      <c r="T12" s="275"/>
      <c r="U12" s="675" t="s">
        <v>306</v>
      </c>
      <c r="V12" s="236"/>
      <c r="W12" s="236"/>
      <c r="X12" s="591" t="s">
        <v>306</v>
      </c>
      <c r="Y12" s="583"/>
    </row>
    <row r="13" spans="1:29">
      <c r="O13" s="231"/>
      <c r="P13" s="231"/>
      <c r="Q13" s="231"/>
      <c r="R13" s="231"/>
      <c r="S13" s="234"/>
      <c r="T13" s="275"/>
      <c r="U13" s="231"/>
      <c r="V13" s="231"/>
      <c r="W13" s="231"/>
      <c r="X13" s="587"/>
      <c r="Y13" s="584"/>
    </row>
    <row r="14" spans="1:29">
      <c r="N14" s="235" t="s">
        <v>494</v>
      </c>
      <c r="O14" s="236" t="s">
        <v>495</v>
      </c>
      <c r="P14" s="231"/>
      <c r="Q14" s="231"/>
      <c r="R14" s="231"/>
      <c r="S14" s="234" t="s">
        <v>496</v>
      </c>
      <c r="T14" s="1023"/>
      <c r="U14" s="238">
        <v>1000</v>
      </c>
      <c r="V14" s="231"/>
      <c r="W14" s="239" t="s">
        <v>497</v>
      </c>
      <c r="X14" s="588">
        <f>U14*1.15</f>
        <v>1150</v>
      </c>
      <c r="Y14" s="585"/>
      <c r="Z14" s="233" t="s">
        <v>498</v>
      </c>
    </row>
    <row r="15" spans="1:29">
      <c r="N15" s="231"/>
      <c r="O15" s="231"/>
      <c r="P15" s="231"/>
      <c r="Q15" s="231"/>
      <c r="R15" s="231"/>
      <c r="S15" s="234"/>
      <c r="T15" s="275"/>
      <c r="U15" s="231"/>
      <c r="V15" s="231"/>
      <c r="W15" s="231"/>
      <c r="X15" s="587"/>
      <c r="Y15" s="584"/>
    </row>
    <row r="16" spans="1:29">
      <c r="N16" s="231"/>
      <c r="O16" s="231"/>
      <c r="P16" s="231"/>
      <c r="Q16" s="231"/>
      <c r="R16" s="231"/>
      <c r="S16" s="234"/>
      <c r="T16" s="275"/>
      <c r="U16" s="231"/>
      <c r="V16" s="231"/>
      <c r="W16" s="231"/>
      <c r="X16" s="587"/>
      <c r="Y16" s="584"/>
    </row>
    <row r="17" spans="14:26">
      <c r="N17" s="235" t="s">
        <v>499</v>
      </c>
      <c r="O17" s="236" t="s">
        <v>500</v>
      </c>
      <c r="P17" s="231"/>
      <c r="Q17" s="231"/>
      <c r="R17" s="231"/>
      <c r="S17" s="234" t="s">
        <v>501</v>
      </c>
      <c r="T17" s="275"/>
      <c r="V17" s="231"/>
      <c r="X17" s="587"/>
      <c r="Y17" s="584"/>
    </row>
    <row r="18" spans="14:26">
      <c r="N18" s="231"/>
      <c r="O18" s="231" t="s">
        <v>502</v>
      </c>
      <c r="P18" s="231"/>
      <c r="Q18" s="231"/>
      <c r="R18" s="231"/>
      <c r="S18" s="234"/>
      <c r="T18" s="275"/>
      <c r="U18" s="238">
        <f>ROUND('Code F,C Taxilane &amp; Serv Roads'!AI51,-1)</f>
        <v>700</v>
      </c>
      <c r="V18" s="231"/>
      <c r="W18" s="240" t="s">
        <v>503</v>
      </c>
      <c r="X18" s="589">
        <f>ROUND('Code F,C Taxilane &amp; Serv Roads'!AM51,-1)</f>
        <v>1290</v>
      </c>
      <c r="Y18" s="238"/>
    </row>
    <row r="19" spans="14:26">
      <c r="N19" s="231"/>
      <c r="O19" s="231" t="s">
        <v>504</v>
      </c>
      <c r="P19" s="231"/>
      <c r="Q19" s="231"/>
      <c r="R19" s="231"/>
      <c r="S19" s="234"/>
      <c r="T19" s="275"/>
      <c r="U19" s="238">
        <f>U18</f>
        <v>700</v>
      </c>
      <c r="V19" s="231"/>
      <c r="W19" s="240" t="s">
        <v>503</v>
      </c>
      <c r="X19" s="590"/>
      <c r="Y19" s="586"/>
    </row>
    <row r="20" spans="14:26">
      <c r="N20" s="231"/>
      <c r="O20" s="231" t="s">
        <v>505</v>
      </c>
      <c r="P20" s="231"/>
      <c r="Q20" s="231"/>
      <c r="R20" s="231"/>
      <c r="S20" s="234"/>
      <c r="T20" s="275"/>
      <c r="U20" s="238">
        <f>ROUND('Code F,C Taxilane &amp; Serv Roads'!AV51,-1)</f>
        <v>760</v>
      </c>
      <c r="V20" s="231"/>
      <c r="W20" s="240" t="s">
        <v>503</v>
      </c>
      <c r="X20" s="589">
        <f>ROUND('Code F,C Taxilane &amp; Serv Roads'!AZ51,-1)</f>
        <v>1400</v>
      </c>
      <c r="Y20" s="238"/>
      <c r="Z20" s="231" t="s">
        <v>506</v>
      </c>
    </row>
    <row r="21" spans="14:26">
      <c r="N21" s="231"/>
      <c r="P21" s="231"/>
      <c r="Q21" s="231"/>
      <c r="R21" s="231"/>
      <c r="S21" s="234"/>
      <c r="T21" s="275"/>
      <c r="U21" s="231"/>
      <c r="V21" s="231"/>
      <c r="W21" s="231"/>
      <c r="X21" s="587"/>
      <c r="Y21" s="584"/>
      <c r="Z21" s="231" t="s">
        <v>507</v>
      </c>
    </row>
    <row r="22" spans="14:26">
      <c r="N22" s="231"/>
      <c r="P22" s="231"/>
      <c r="Q22" s="231"/>
      <c r="R22" s="231"/>
      <c r="S22" s="234"/>
      <c r="T22" s="275"/>
      <c r="U22" s="231"/>
      <c r="V22" s="231"/>
      <c r="W22" s="231"/>
      <c r="X22" s="587"/>
      <c r="Y22" s="584"/>
    </row>
    <row r="23" spans="14:26">
      <c r="N23" s="235" t="s">
        <v>508</v>
      </c>
      <c r="O23" s="236" t="s">
        <v>509</v>
      </c>
      <c r="P23" s="231"/>
      <c r="Q23" s="231"/>
      <c r="R23" s="231"/>
      <c r="S23" s="234" t="s">
        <v>510</v>
      </c>
      <c r="T23" s="275"/>
      <c r="U23" s="238">
        <f>U14</f>
        <v>1000</v>
      </c>
      <c r="V23" s="231"/>
      <c r="W23" s="239" t="s">
        <v>497</v>
      </c>
      <c r="X23" s="589">
        <f>X14</f>
        <v>1150</v>
      </c>
      <c r="Y23" s="238"/>
    </row>
    <row r="24" spans="14:26">
      <c r="N24" s="231"/>
      <c r="O24" s="231" t="s">
        <v>511</v>
      </c>
      <c r="P24" s="231"/>
      <c r="Q24" s="231"/>
      <c r="R24" s="231"/>
      <c r="S24" s="234"/>
      <c r="T24" s="275"/>
      <c r="U24" s="231"/>
      <c r="V24" s="231"/>
      <c r="W24" s="231"/>
      <c r="X24" s="587"/>
      <c r="Y24" s="584"/>
    </row>
    <row r="25" spans="14:26">
      <c r="N25" s="231"/>
      <c r="O25" s="231"/>
      <c r="P25" s="231"/>
      <c r="Q25" s="231"/>
      <c r="R25" s="231"/>
      <c r="S25" s="234"/>
      <c r="T25" s="275"/>
      <c r="U25" s="231"/>
      <c r="V25" s="231"/>
      <c r="W25" s="231"/>
      <c r="X25" s="587"/>
      <c r="Y25" s="584"/>
    </row>
    <row r="26" spans="14:26">
      <c r="N26" s="235" t="s">
        <v>512</v>
      </c>
      <c r="O26" s="236" t="s">
        <v>513</v>
      </c>
      <c r="P26" s="231"/>
      <c r="Q26" s="231"/>
      <c r="R26" s="231"/>
      <c r="S26" s="234"/>
      <c r="T26" s="275"/>
      <c r="U26" s="231"/>
      <c r="V26" s="231"/>
      <c r="W26" s="231"/>
      <c r="X26" s="587"/>
      <c r="Y26" s="584"/>
    </row>
    <row r="27" spans="14:26">
      <c r="N27" s="231"/>
      <c r="O27" s="236"/>
      <c r="P27" s="231"/>
      <c r="Q27" s="231"/>
      <c r="R27" s="231"/>
      <c r="S27" s="234"/>
      <c r="T27" s="275"/>
      <c r="U27" s="231"/>
      <c r="V27" s="231"/>
      <c r="W27" s="231"/>
      <c r="X27" s="587"/>
      <c r="Y27" s="584"/>
    </row>
    <row r="28" spans="14:26">
      <c r="N28" s="231"/>
      <c r="O28" s="231"/>
      <c r="P28" s="241" t="s">
        <v>514</v>
      </c>
      <c r="Q28" s="241" t="s">
        <v>515</v>
      </c>
      <c r="R28" s="241" t="s">
        <v>516</v>
      </c>
      <c r="S28" s="241"/>
      <c r="T28" s="275"/>
      <c r="U28" s="231"/>
      <c r="V28" s="231"/>
      <c r="W28" s="231"/>
      <c r="X28" s="587"/>
      <c r="Y28" s="584"/>
    </row>
    <row r="29" spans="14:26">
      <c r="N29" s="231"/>
      <c r="O29" s="231" t="s">
        <v>517</v>
      </c>
      <c r="P29" s="231" t="s">
        <v>518</v>
      </c>
      <c r="Q29" s="242">
        <v>80</v>
      </c>
      <c r="R29" s="242">
        <v>85</v>
      </c>
      <c r="S29" s="243">
        <f>Q29*R29</f>
        <v>6800</v>
      </c>
      <c r="T29" s="275"/>
      <c r="U29" s="238">
        <f>ROUND('Code C,E &amp; F stands'!H75,-1)</f>
        <v>1770</v>
      </c>
      <c r="V29" s="236"/>
      <c r="W29" s="592" t="s">
        <v>519</v>
      </c>
      <c r="X29" s="238">
        <f>ROUND('Code C,E &amp; F stands'!L75,-1)</f>
        <v>3170</v>
      </c>
      <c r="Y29" s="238"/>
    </row>
    <row r="30" spans="14:26">
      <c r="N30" s="231"/>
      <c r="O30" s="231" t="s">
        <v>520</v>
      </c>
      <c r="P30" s="231" t="s">
        <v>521</v>
      </c>
      <c r="Q30" s="242">
        <v>65</v>
      </c>
      <c r="R30" s="242">
        <v>80</v>
      </c>
      <c r="S30" s="243">
        <f>Q30*R30</f>
        <v>5200</v>
      </c>
      <c r="T30" s="275"/>
      <c r="U30" s="238">
        <f>ROUND('Code C,E &amp; F stands'!U75,-1)</f>
        <v>1840</v>
      </c>
      <c r="V30" s="231"/>
      <c r="W30" s="592" t="s">
        <v>519</v>
      </c>
      <c r="X30" s="238">
        <f>ROUND('Code C,E &amp; F stands'!Y75,-1)</f>
        <v>3290</v>
      </c>
      <c r="Y30" s="238"/>
    </row>
    <row r="31" spans="14:26">
      <c r="N31" s="231"/>
      <c r="O31" s="231" t="s">
        <v>522</v>
      </c>
      <c r="P31" s="231" t="s">
        <v>523</v>
      </c>
      <c r="Q31" s="242">
        <v>40</v>
      </c>
      <c r="R31" s="242">
        <v>56</v>
      </c>
      <c r="S31" s="243">
        <f>Q31*R31</f>
        <v>2240</v>
      </c>
      <c r="T31" s="275"/>
      <c r="U31" s="238">
        <f>ROUND('Code C,E &amp; F stands'!AH75,-1)</f>
        <v>2090</v>
      </c>
      <c r="V31" s="231"/>
      <c r="W31" s="592" t="s">
        <v>519</v>
      </c>
      <c r="X31" s="238">
        <f>ROUND('Code C,E &amp; F stands'!AL75,-1)</f>
        <v>3750</v>
      </c>
      <c r="Y31" s="238"/>
    </row>
    <row r="32" spans="14:26">
      <c r="N32" s="231"/>
      <c r="O32" s="231"/>
      <c r="P32" s="231"/>
      <c r="Q32" s="242"/>
      <c r="R32" s="242"/>
      <c r="S32" s="243"/>
      <c r="T32" s="275"/>
      <c r="U32" s="238"/>
      <c r="V32" s="231"/>
      <c r="W32" s="231"/>
      <c r="X32" s="587"/>
      <c r="Y32" s="584"/>
    </row>
    <row r="33" spans="14:25">
      <c r="N33" s="231"/>
      <c r="O33" s="244" t="s">
        <v>524</v>
      </c>
      <c r="P33" s="244" t="s">
        <v>525</v>
      </c>
      <c r="Q33" s="242"/>
      <c r="R33" s="242"/>
      <c r="S33" s="243"/>
      <c r="T33" s="275"/>
      <c r="U33" s="238"/>
      <c r="V33" s="231"/>
      <c r="W33" s="231"/>
      <c r="X33" s="587"/>
      <c r="Y33" s="584"/>
    </row>
    <row r="34" spans="14:25">
      <c r="N34" s="231"/>
      <c r="O34" s="231"/>
      <c r="P34" s="231"/>
      <c r="Q34" s="231"/>
      <c r="R34" s="231"/>
      <c r="S34" s="234"/>
      <c r="T34" s="275"/>
      <c r="U34" s="231"/>
      <c r="V34" s="231"/>
      <c r="W34" s="231"/>
      <c r="X34" s="587"/>
      <c r="Y34" s="584"/>
    </row>
    <row r="35" spans="14:25">
      <c r="N35" s="231"/>
      <c r="O35" s="231"/>
      <c r="P35" s="231"/>
      <c r="Q35" s="231"/>
      <c r="R35" s="231"/>
      <c r="S35" s="234"/>
      <c r="T35" s="275"/>
      <c r="U35" s="231"/>
      <c r="V35" s="231"/>
      <c r="W35" s="275"/>
      <c r="X35" s="584"/>
      <c r="Y35" s="584"/>
    </row>
    <row r="36" spans="14:25">
      <c r="N36" s="235" t="s">
        <v>526</v>
      </c>
      <c r="O36" s="236" t="s">
        <v>527</v>
      </c>
      <c r="P36" s="231"/>
      <c r="Q36" s="231"/>
      <c r="R36" s="231"/>
      <c r="S36" s="234"/>
      <c r="T36" s="275"/>
      <c r="U36" s="238">
        <f>U23</f>
        <v>1000</v>
      </c>
      <c r="V36" s="231"/>
      <c r="W36" s="593" t="s">
        <v>497</v>
      </c>
      <c r="X36" s="238">
        <f>X23</f>
        <v>1150</v>
      </c>
      <c r="Y36" s="238"/>
    </row>
    <row r="37" spans="14:25">
      <c r="N37" s="231"/>
      <c r="O37" s="231" t="s">
        <v>528</v>
      </c>
      <c r="P37" s="231"/>
      <c r="Q37" s="231"/>
      <c r="S37" s="245">
        <v>7.5</v>
      </c>
      <c r="T37" s="275"/>
      <c r="U37" s="231"/>
      <c r="V37" s="231"/>
      <c r="W37" s="275"/>
      <c r="X37" s="584"/>
      <c r="Y37" s="584"/>
    </row>
    <row r="38" spans="14:25">
      <c r="N38" s="231"/>
      <c r="O38" s="231" t="s">
        <v>522</v>
      </c>
      <c r="P38" s="231"/>
      <c r="Q38" s="231"/>
      <c r="S38" s="245">
        <v>7.5</v>
      </c>
      <c r="T38" s="275"/>
      <c r="U38" s="231"/>
      <c r="V38" s="231"/>
      <c r="W38" s="275"/>
      <c r="X38" s="584"/>
      <c r="Y38" s="584"/>
    </row>
    <row r="39" spans="14:25">
      <c r="N39" s="231"/>
      <c r="O39" s="231"/>
      <c r="P39" s="231"/>
      <c r="Q39" s="231"/>
      <c r="R39" s="231"/>
      <c r="S39" s="234"/>
      <c r="T39" s="275"/>
      <c r="U39" s="231"/>
      <c r="V39" s="231"/>
      <c r="W39" s="275"/>
      <c r="X39" s="584"/>
      <c r="Y39" s="584"/>
    </row>
    <row r="40" spans="14:25">
      <c r="N40" s="231"/>
      <c r="O40" s="231"/>
      <c r="P40" s="231"/>
      <c r="Q40" s="231"/>
      <c r="R40" s="231"/>
      <c r="S40" s="234"/>
      <c r="T40" s="275"/>
      <c r="U40" s="231"/>
      <c r="V40" s="231"/>
      <c r="W40" s="275"/>
      <c r="X40" s="584"/>
      <c r="Y40" s="584"/>
    </row>
    <row r="41" spans="14:25">
      <c r="N41" s="235" t="s">
        <v>529</v>
      </c>
      <c r="O41" s="236" t="s">
        <v>530</v>
      </c>
      <c r="P41" s="231"/>
      <c r="Q41" s="231"/>
      <c r="R41" s="231"/>
      <c r="S41" s="234" t="s">
        <v>531</v>
      </c>
      <c r="T41" s="275"/>
      <c r="U41" s="238">
        <f>U47</f>
        <v>660</v>
      </c>
      <c r="V41" s="231"/>
      <c r="W41" s="592" t="s">
        <v>503</v>
      </c>
      <c r="X41" s="238">
        <f>X47</f>
        <v>1220</v>
      </c>
      <c r="Y41" s="238"/>
    </row>
    <row r="42" spans="14:25">
      <c r="N42" s="231"/>
      <c r="O42" s="231"/>
      <c r="P42" s="231"/>
      <c r="Q42" s="231"/>
      <c r="R42" s="231"/>
      <c r="S42" s="234"/>
      <c r="T42" s="275"/>
      <c r="U42" s="231"/>
      <c r="V42" s="231"/>
      <c r="W42" s="275"/>
      <c r="X42" s="584"/>
      <c r="Y42" s="584"/>
    </row>
    <row r="43" spans="14:25">
      <c r="N43" s="231"/>
      <c r="O43" s="231"/>
      <c r="P43" s="231"/>
      <c r="Q43" s="231"/>
      <c r="R43" s="231"/>
      <c r="S43" s="234"/>
      <c r="T43" s="275"/>
      <c r="U43" s="231"/>
      <c r="V43" s="231"/>
      <c r="W43" s="231"/>
      <c r="X43" s="587"/>
      <c r="Y43" s="584"/>
    </row>
    <row r="44" spans="14:25">
      <c r="N44" s="235" t="s">
        <v>532</v>
      </c>
      <c r="O44" s="236" t="s">
        <v>533</v>
      </c>
      <c r="P44" s="231"/>
      <c r="Q44" s="231"/>
      <c r="R44" s="231"/>
      <c r="S44" s="234"/>
      <c r="T44" s="275"/>
      <c r="U44" s="231"/>
      <c r="V44" s="231"/>
      <c r="W44" s="231"/>
      <c r="X44" s="587"/>
      <c r="Y44" s="584"/>
    </row>
    <row r="45" spans="14:25">
      <c r="N45" s="231"/>
      <c r="O45" s="231" t="s">
        <v>534</v>
      </c>
      <c r="P45" s="231"/>
      <c r="Q45" s="231"/>
      <c r="R45" s="231"/>
      <c r="S45" s="234"/>
      <c r="T45" s="275"/>
      <c r="U45" s="231"/>
      <c r="V45" s="231"/>
      <c r="W45" s="275"/>
      <c r="X45" s="584"/>
      <c r="Y45" s="584"/>
    </row>
    <row r="46" spans="14:25">
      <c r="N46" s="231"/>
      <c r="O46" s="231"/>
      <c r="P46" s="231"/>
      <c r="Q46" s="231"/>
      <c r="R46" s="231"/>
      <c r="S46" s="234"/>
      <c r="T46" s="275"/>
      <c r="U46" s="231"/>
      <c r="V46" s="231"/>
      <c r="W46" s="275"/>
      <c r="X46" s="584"/>
      <c r="Y46" s="584"/>
    </row>
    <row r="47" spans="14:25">
      <c r="N47" s="231"/>
      <c r="O47" s="231" t="s">
        <v>517</v>
      </c>
      <c r="P47" s="245">
        <v>50.5</v>
      </c>
      <c r="Q47" s="231" t="s">
        <v>535</v>
      </c>
      <c r="R47" s="231"/>
      <c r="S47" s="242">
        <f>P47*2</f>
        <v>101</v>
      </c>
      <c r="T47" s="275"/>
      <c r="U47" s="238">
        <f>ROUND('Code F,C Taxilane &amp; Serv Roads'!H51,-1)</f>
        <v>660</v>
      </c>
      <c r="V47" s="231"/>
      <c r="W47" s="592" t="s">
        <v>503</v>
      </c>
      <c r="X47" s="238">
        <f>ROUND('Code F,C Taxilane &amp; Serv Roads'!M51,-1)</f>
        <v>1220</v>
      </c>
      <c r="Y47" s="238"/>
    </row>
    <row r="48" spans="14:25">
      <c r="N48" s="231"/>
      <c r="O48" s="231" t="s">
        <v>520</v>
      </c>
      <c r="P48" s="245">
        <v>42.5</v>
      </c>
      <c r="Q48" s="231" t="s">
        <v>535</v>
      </c>
      <c r="R48" s="231"/>
      <c r="S48" s="242">
        <f>P48*2</f>
        <v>85</v>
      </c>
      <c r="T48" s="275"/>
      <c r="U48" s="238">
        <f>ROUND('Code F,C Taxilane &amp; Serv Roads'!H51,-1)</f>
        <v>660</v>
      </c>
      <c r="V48" s="231"/>
      <c r="W48" s="592" t="s">
        <v>503</v>
      </c>
      <c r="X48" s="238">
        <f>ROUND('Code F,C Taxilane &amp; Serv Roads'!M51,-1)</f>
        <v>1220</v>
      </c>
      <c r="Y48" s="238"/>
    </row>
    <row r="49" spans="14:25">
      <c r="N49" s="231"/>
      <c r="O49" s="231" t="s">
        <v>522</v>
      </c>
      <c r="P49" s="245">
        <v>24.5</v>
      </c>
      <c r="Q49" s="231" t="s">
        <v>535</v>
      </c>
      <c r="R49" s="231"/>
      <c r="S49" s="242">
        <f>P49*2</f>
        <v>49</v>
      </c>
      <c r="T49" s="275"/>
      <c r="U49" s="238">
        <f>ROUND('Code F,C Taxilane &amp; Serv Roads'!V51,-1)</f>
        <v>570</v>
      </c>
      <c r="V49" s="231"/>
      <c r="W49" s="592" t="s">
        <v>503</v>
      </c>
      <c r="X49" s="238">
        <f>ROUND('Code F,C Taxilane &amp; Serv Roads'!Z51,-1)</f>
        <v>1060</v>
      </c>
      <c r="Y49" s="238"/>
    </row>
    <row r="50" spans="14:25">
      <c r="N50" s="231"/>
      <c r="O50" s="231" t="s">
        <v>536</v>
      </c>
      <c r="P50" s="245">
        <v>16.5</v>
      </c>
      <c r="Q50" s="231" t="s">
        <v>535</v>
      </c>
      <c r="R50" s="231"/>
      <c r="S50" s="242">
        <f>P50*2</f>
        <v>33</v>
      </c>
      <c r="T50" s="275"/>
      <c r="U50" s="231"/>
      <c r="V50" s="231"/>
      <c r="W50" s="275"/>
      <c r="X50" s="584"/>
      <c r="Y50" s="584"/>
    </row>
    <row r="51" spans="14:25">
      <c r="N51" s="231"/>
      <c r="O51" s="231" t="s">
        <v>537</v>
      </c>
      <c r="P51" s="245">
        <v>12</v>
      </c>
      <c r="Q51" s="231" t="s">
        <v>535</v>
      </c>
      <c r="R51" s="231"/>
      <c r="S51" s="242">
        <f>P51*2</f>
        <v>24</v>
      </c>
      <c r="T51" s="275"/>
      <c r="U51" s="231"/>
      <c r="V51" s="231"/>
      <c r="W51" s="231"/>
      <c r="X51" s="587"/>
      <c r="Y51" s="584"/>
    </row>
    <row r="52" spans="14:25">
      <c r="N52" s="231"/>
      <c r="O52" s="231"/>
      <c r="P52" s="231"/>
      <c r="Q52" s="231"/>
      <c r="R52" s="231"/>
      <c r="S52" s="234"/>
      <c r="T52" s="275"/>
      <c r="U52" s="231"/>
      <c r="V52" s="231"/>
      <c r="W52" s="231"/>
      <c r="X52" s="584"/>
      <c r="Y52" s="584"/>
    </row>
    <row r="53" spans="14:25">
      <c r="N53" s="235" t="s">
        <v>538</v>
      </c>
      <c r="O53" s="236" t="s">
        <v>539</v>
      </c>
      <c r="P53" s="231"/>
      <c r="Q53" s="231"/>
      <c r="R53" s="231"/>
      <c r="S53" s="234"/>
      <c r="T53" s="275"/>
      <c r="U53" s="231"/>
      <c r="V53" s="231"/>
      <c r="W53" s="231"/>
      <c r="X53" s="584"/>
      <c r="Y53" s="584"/>
    </row>
    <row r="54" spans="14:25">
      <c r="N54" s="231"/>
      <c r="O54" s="231" t="s">
        <v>540</v>
      </c>
      <c r="P54" s="231"/>
      <c r="Q54" s="231"/>
      <c r="R54" s="231"/>
      <c r="S54" s="234"/>
      <c r="T54" s="275"/>
      <c r="U54" s="231"/>
      <c r="V54" s="231"/>
      <c r="W54" s="231"/>
      <c r="X54" s="584"/>
      <c r="Y54" s="584"/>
    </row>
    <row r="55" spans="14:25">
      <c r="N55" s="231"/>
      <c r="O55" s="231" t="s">
        <v>541</v>
      </c>
      <c r="P55" s="231"/>
      <c r="Q55" s="231"/>
      <c r="R55" s="231"/>
      <c r="S55" s="234"/>
      <c r="T55" s="275"/>
      <c r="U55" s="231"/>
      <c r="V55" s="231"/>
      <c r="W55" s="231"/>
      <c r="X55" s="584"/>
      <c r="Y55" s="584"/>
    </row>
    <row r="56" spans="14:25">
      <c r="N56" s="231"/>
      <c r="O56" s="231" t="s">
        <v>542</v>
      </c>
      <c r="P56" s="231"/>
      <c r="Q56" s="231"/>
      <c r="R56" s="231"/>
      <c r="S56" s="234"/>
      <c r="T56" s="275"/>
      <c r="U56" s="231"/>
      <c r="V56" s="231"/>
      <c r="W56" s="231"/>
      <c r="X56" s="584"/>
      <c r="Y56" s="584"/>
    </row>
    <row r="57" spans="14:25">
      <c r="N57" s="231"/>
      <c r="P57" s="231"/>
      <c r="Q57" s="231"/>
      <c r="R57" s="231"/>
      <c r="S57" s="234"/>
      <c r="T57" s="275"/>
      <c r="U57" s="231"/>
      <c r="V57" s="231"/>
      <c r="W57" s="231"/>
      <c r="X57" s="584"/>
      <c r="Y57" s="584"/>
    </row>
    <row r="58" spans="14:25">
      <c r="N58" s="235" t="s">
        <v>543</v>
      </c>
      <c r="O58" s="236" t="s">
        <v>544</v>
      </c>
      <c r="P58" s="231"/>
      <c r="Q58" s="231"/>
      <c r="R58" s="231"/>
      <c r="S58" s="234"/>
      <c r="T58" s="275"/>
      <c r="U58" s="231"/>
      <c r="V58" s="231"/>
      <c r="W58" s="231"/>
      <c r="X58" s="584"/>
      <c r="Y58" s="584"/>
    </row>
    <row r="59" spans="14:25">
      <c r="O59" s="231" t="s">
        <v>545</v>
      </c>
      <c r="P59" s="231"/>
      <c r="Q59" s="231"/>
      <c r="R59" s="231"/>
      <c r="S59" s="234"/>
      <c r="T59" s="275"/>
      <c r="U59" s="231"/>
      <c r="V59" s="231"/>
      <c r="W59" s="231"/>
      <c r="X59" s="584"/>
      <c r="Y59" s="584"/>
    </row>
    <row r="60" spans="14:25">
      <c r="O60" s="231" t="s">
        <v>546</v>
      </c>
      <c r="P60" s="231"/>
      <c r="Q60" s="231"/>
      <c r="R60" s="231"/>
      <c r="S60" s="234"/>
      <c r="T60" s="275"/>
      <c r="U60" s="231"/>
      <c r="V60" s="231"/>
      <c r="W60" s="231"/>
      <c r="X60" s="584"/>
      <c r="Y60" s="584"/>
    </row>
    <row r="61" spans="14:25">
      <c r="O61" s="231" t="s">
        <v>547</v>
      </c>
      <c r="P61" s="231"/>
      <c r="Q61" s="231"/>
      <c r="R61" s="231"/>
      <c r="S61" s="234"/>
      <c r="T61" s="275"/>
      <c r="U61" s="231"/>
      <c r="V61" s="231"/>
      <c r="W61" s="231"/>
      <c r="X61" s="584"/>
      <c r="Y61" s="584"/>
    </row>
    <row r="62" spans="14:25">
      <c r="O62" s="231" t="s">
        <v>548</v>
      </c>
      <c r="P62" s="231"/>
      <c r="Q62" s="231"/>
      <c r="R62" s="231"/>
      <c r="S62" s="234"/>
      <c r="T62" s="275"/>
      <c r="U62" s="231"/>
      <c r="V62" s="231"/>
      <c r="W62" s="231"/>
      <c r="X62" s="584"/>
      <c r="Y62" s="584"/>
    </row>
    <row r="63" spans="14:25">
      <c r="N63" s="231"/>
      <c r="O63" s="231" t="s">
        <v>549</v>
      </c>
      <c r="P63" s="231"/>
      <c r="Q63" s="231"/>
      <c r="R63" s="231"/>
      <c r="S63" s="234"/>
      <c r="T63" s="275"/>
      <c r="U63" s="231"/>
      <c r="V63" s="231"/>
      <c r="W63" s="231"/>
      <c r="X63" s="584"/>
      <c r="Y63" s="584"/>
    </row>
    <row r="64" spans="14:25">
      <c r="O64" s="231" t="s">
        <v>550</v>
      </c>
      <c r="P64" s="231"/>
      <c r="Q64" s="231"/>
      <c r="R64" s="231"/>
      <c r="S64" s="234"/>
      <c r="T64" s="275"/>
      <c r="U64" s="231"/>
      <c r="V64" s="231"/>
      <c r="W64" s="231"/>
      <c r="X64" s="584"/>
      <c r="Y64" s="584"/>
    </row>
    <row r="65" spans="14:25">
      <c r="O65" s="231" t="s">
        <v>551</v>
      </c>
      <c r="P65" s="231"/>
      <c r="Q65" s="231"/>
      <c r="R65" s="231"/>
      <c r="S65" s="234"/>
      <c r="T65" s="275"/>
      <c r="U65" s="231"/>
      <c r="V65" s="231"/>
      <c r="W65" s="231"/>
      <c r="X65" s="584"/>
      <c r="Y65" s="584"/>
    </row>
    <row r="66" spans="14:25">
      <c r="O66" s="231" t="s">
        <v>552</v>
      </c>
      <c r="P66" s="231"/>
      <c r="Q66" s="231"/>
      <c r="R66" s="231"/>
      <c r="S66" s="234"/>
      <c r="T66" s="275"/>
      <c r="U66" s="231"/>
      <c r="V66" s="231"/>
      <c r="W66" s="231"/>
      <c r="X66" s="584"/>
      <c r="Y66" s="584"/>
    </row>
    <row r="67" spans="14:25">
      <c r="N67" s="231"/>
      <c r="O67" s="231" t="s">
        <v>553</v>
      </c>
      <c r="P67" s="231"/>
      <c r="Q67" s="231"/>
      <c r="R67" s="231"/>
      <c r="S67" s="234"/>
      <c r="T67" s="275"/>
      <c r="U67" s="231"/>
      <c r="V67" s="231"/>
      <c r="W67" s="231"/>
      <c r="X67" s="584"/>
      <c r="Y67" s="584"/>
    </row>
    <row r="68" spans="14:25">
      <c r="N68" s="231"/>
      <c r="O68" s="231" t="s">
        <v>554</v>
      </c>
      <c r="P68" s="231"/>
      <c r="Q68" s="231"/>
      <c r="R68" s="231"/>
      <c r="S68" s="234"/>
      <c r="T68" s="275"/>
      <c r="U68" s="231"/>
      <c r="V68" s="231"/>
      <c r="W68" s="231"/>
      <c r="X68" s="584"/>
      <c r="Y68" s="584"/>
    </row>
    <row r="69" spans="14:25">
      <c r="N69" s="231"/>
      <c r="O69" s="231" t="s">
        <v>555</v>
      </c>
      <c r="P69" s="231"/>
      <c r="Q69" s="231"/>
      <c r="R69" s="231"/>
      <c r="S69" s="234"/>
      <c r="T69" s="275"/>
      <c r="U69" s="231"/>
      <c r="V69" s="231"/>
      <c r="W69" s="231"/>
      <c r="X69" s="584"/>
      <c r="Y69" s="584"/>
    </row>
    <row r="70" spans="14:25">
      <c r="N70" s="231"/>
      <c r="O70" s="231" t="s">
        <v>556</v>
      </c>
      <c r="P70" s="231"/>
      <c r="Q70" s="231"/>
      <c r="R70" s="231"/>
      <c r="S70" s="234"/>
      <c r="T70" s="275"/>
      <c r="U70" s="231"/>
      <c r="V70" s="231"/>
      <c r="W70" s="231"/>
      <c r="X70" s="584"/>
      <c r="Y70" s="584"/>
    </row>
    <row r="71" spans="14:25">
      <c r="N71" s="231"/>
      <c r="O71" s="231" t="s">
        <v>557</v>
      </c>
      <c r="P71" s="231"/>
      <c r="Q71" s="231"/>
      <c r="R71" s="231"/>
      <c r="S71" s="234"/>
      <c r="T71" s="275"/>
      <c r="U71" s="231"/>
      <c r="V71" s="231"/>
      <c r="W71" s="231"/>
      <c r="X71" s="584"/>
      <c r="Y71" s="584"/>
    </row>
    <row r="72" spans="14:25">
      <c r="N72" s="231"/>
      <c r="O72" s="231" t="s">
        <v>558</v>
      </c>
      <c r="P72" s="231"/>
      <c r="Q72" s="231"/>
      <c r="R72" s="231"/>
      <c r="S72" s="234"/>
      <c r="T72" s="275"/>
      <c r="U72" s="231"/>
      <c r="V72" s="231"/>
      <c r="W72" s="231"/>
      <c r="X72" s="584"/>
      <c r="Y72" s="584"/>
    </row>
    <row r="73" spans="14:25">
      <c r="N73" s="231"/>
      <c r="O73" s="231" t="s">
        <v>559</v>
      </c>
      <c r="P73" s="231"/>
      <c r="Q73" s="231"/>
      <c r="R73" s="231"/>
      <c r="S73" s="234"/>
      <c r="T73" s="275"/>
      <c r="U73" s="231"/>
      <c r="V73" s="231"/>
      <c r="W73" s="231"/>
      <c r="X73" s="584"/>
      <c r="Y73" s="584"/>
    </row>
    <row r="74" spans="14:25">
      <c r="N74" s="231"/>
      <c r="O74" s="231" t="s">
        <v>560</v>
      </c>
      <c r="P74" s="231"/>
      <c r="Q74" s="231"/>
      <c r="R74" s="231"/>
      <c r="S74" s="234"/>
      <c r="T74" s="275"/>
      <c r="U74" s="231"/>
      <c r="V74" s="231"/>
      <c r="W74" s="231"/>
      <c r="X74" s="584"/>
      <c r="Y74" s="584"/>
    </row>
    <row r="75" spans="14:25">
      <c r="N75" s="231"/>
      <c r="O75" s="231" t="s">
        <v>561</v>
      </c>
      <c r="T75" s="1024"/>
      <c r="X75" s="584"/>
      <c r="Y75" s="584"/>
    </row>
    <row r="76" spans="14:25">
      <c r="N76" s="231"/>
      <c r="O76" s="231" t="s">
        <v>562</v>
      </c>
      <c r="T76" s="1024"/>
      <c r="X76" s="584"/>
      <c r="Y76" s="584"/>
    </row>
    <row r="77" spans="14:25">
      <c r="N77" s="231"/>
      <c r="X77" s="584"/>
      <c r="Y77" s="584"/>
    </row>
    <row r="78" spans="14:25">
      <c r="N78" s="231"/>
      <c r="X78" s="584"/>
      <c r="Y78" s="584"/>
    </row>
    <row r="79" spans="14:25">
      <c r="R79" s="233" t="s">
        <v>38</v>
      </c>
    </row>
    <row r="80" spans="14:25">
      <c r="Q80" s="233" t="s">
        <v>64</v>
      </c>
    </row>
  </sheetData>
  <sheetProtection algorithmName="SHA-512" hashValue="CoI9uJwu2hWMP+zFNS28MAvX8FktoG6pMSK8Vdsd+bGTpkmVFCE83TOtvUfNB7EUcNUUbYCFHbAnU9KNKYmKCw==" saltValue="YxhXFpv53N9YjbzZHHc88w==" spinCount="100000" sheet="1" objects="1" scenarios="1"/>
  <mergeCells count="4">
    <mergeCell ref="A3:W3"/>
    <mergeCell ref="A5:W5"/>
    <mergeCell ref="A7:W7"/>
    <mergeCell ref="A11:T11"/>
  </mergeCells>
  <printOptions horizontalCentered="1"/>
  <pageMargins left="0.15748031496062992" right="0.15748031496062992" top="0.35433070866141736" bottom="0.15748031496062992" header="0.15748031496062992" footer="0.15748031496062992"/>
  <pageSetup paperSize="8" scale="79" firstPageNumber="2" orientation="landscape" useFirstPageNumber="1" r:id="rId1"/>
  <headerFooter alignWithMargins="0">
    <oddHeader>&amp;C&amp;"Calibri"&amp;10&amp;K000000Confidential&amp;1#</oddHeader>
    <oddFooter>&amp;C- &amp;P -&amp;R&amp;1#&amp;"Calibri"&amp;10&amp;K000000Confidential</oddFooter>
  </headerFooter>
  <drawing r:id="rId2"/>
  <legacy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6">
    <tabColor theme="9" tint="-0.249977111117893"/>
    <pageSetUpPr fitToPage="1"/>
  </sheetPr>
  <dimension ref="A1:AP91"/>
  <sheetViews>
    <sheetView topLeftCell="A4" zoomScale="80" zoomScaleNormal="80" workbookViewId="0">
      <pane ySplit="16" topLeftCell="A47" activePane="bottomLeft" state="frozen"/>
      <selection activeCell="L110" sqref="L110"/>
      <selection pane="bottomLeft" activeCell="O79" sqref="O79"/>
    </sheetView>
  </sheetViews>
  <sheetFormatPr defaultColWidth="9.140625" defaultRowHeight="12.75" outlineLevelRow="1" outlineLevelCol="1"/>
  <cols>
    <col min="1" max="1" width="6.28515625" style="231" customWidth="1"/>
    <col min="2" max="2" width="29" style="231" customWidth="1"/>
    <col min="3" max="3" width="9.42578125" style="231" bestFit="1" customWidth="1"/>
    <col min="4" max="4" width="10.85546875" style="231" customWidth="1"/>
    <col min="5" max="5" width="11.7109375" style="326" customWidth="1"/>
    <col min="6" max="6" width="0.140625" style="327" customWidth="1" outlineLevel="1"/>
    <col min="7" max="7" width="1.140625" style="328" customWidth="1" outlineLevel="1"/>
    <col min="8" max="8" width="10.5703125" style="329" hidden="1" customWidth="1"/>
    <col min="9" max="9" width="5.7109375" style="231" hidden="1" customWidth="1"/>
    <col min="10" max="10" width="16.42578125" style="231" hidden="1" customWidth="1"/>
    <col min="11" max="11" width="1.140625" style="231" hidden="1" customWidth="1"/>
    <col min="12" max="12" width="13.28515625" style="231" customWidth="1"/>
    <col min="13" max="13" width="5.140625" style="231" customWidth="1"/>
    <col min="14" max="14" width="7.42578125" style="231" customWidth="1"/>
    <col min="15" max="15" width="29" style="231" bestFit="1" customWidth="1"/>
    <col min="16" max="16" width="13.85546875" style="231" bestFit="1" customWidth="1"/>
    <col min="17" max="17" width="9.140625" style="231"/>
    <col min="18" max="18" width="13.7109375" style="329" bestFit="1" customWidth="1"/>
    <col min="19" max="20" width="9.140625" style="231" hidden="1" customWidth="1" outlineLevel="1"/>
    <col min="21" max="21" width="9.7109375" style="329" hidden="1" customWidth="1" collapsed="1"/>
    <col min="22" max="22" width="5.140625" style="231" hidden="1" customWidth="1"/>
    <col min="23" max="23" width="9.42578125" style="231" hidden="1" customWidth="1"/>
    <col min="24" max="24" width="7.28515625" style="231" hidden="1" customWidth="1"/>
    <col min="25" max="25" width="11.28515625" style="231" customWidth="1"/>
    <col min="26" max="26" width="6.42578125" style="231" customWidth="1"/>
    <col min="27" max="27" width="6.28515625" style="231" customWidth="1"/>
    <col min="28" max="28" width="31.5703125" style="231" bestFit="1" customWidth="1"/>
    <col min="29" max="30" width="9.140625" style="231"/>
    <col min="31" max="31" width="13.7109375" style="329" bestFit="1" customWidth="1"/>
    <col min="32" max="33" width="9.140625" style="231" hidden="1" customWidth="1" outlineLevel="1"/>
    <col min="34" max="34" width="11.85546875" style="231" hidden="1" customWidth="1" collapsed="1"/>
    <col min="35" max="35" width="5.42578125" style="231" hidden="1" customWidth="1"/>
    <col min="36" max="37" width="0" style="231" hidden="1" customWidth="1"/>
    <col min="38" max="16384" width="9.140625" style="231"/>
  </cols>
  <sheetData>
    <row r="1" spans="1:39" s="217" customFormat="1" ht="6.75" customHeight="1" thickBot="1">
      <c r="B1" s="218"/>
    </row>
    <row r="2" spans="1:39"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H2" s="219"/>
      <c r="AI2" s="219"/>
    </row>
    <row r="3" spans="1:39"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c r="X3" s="1820"/>
      <c r="Y3" s="1820"/>
      <c r="Z3" s="1820"/>
      <c r="AA3" s="1820"/>
      <c r="AB3" s="1820"/>
      <c r="AC3" s="1820"/>
      <c r="AD3" s="1820"/>
      <c r="AE3" s="1820"/>
      <c r="AF3" s="1820"/>
      <c r="AG3" s="1820"/>
      <c r="AH3" s="1820"/>
      <c r="AI3" s="1820"/>
    </row>
    <row r="4" spans="1:39" s="217" customFormat="1" ht="4.5" customHeight="1">
      <c r="A4" s="221"/>
      <c r="B4" s="222"/>
      <c r="C4" s="222"/>
      <c r="D4" s="222"/>
      <c r="N4" s="222"/>
      <c r="O4" s="222"/>
      <c r="P4" s="222"/>
      <c r="Q4" s="222"/>
      <c r="S4" s="222"/>
      <c r="T4" s="222"/>
      <c r="U4" s="223"/>
      <c r="V4" s="224"/>
      <c r="W4" s="224"/>
      <c r="X4" s="224"/>
      <c r="Y4" s="224"/>
      <c r="Z4" s="224"/>
      <c r="AA4" s="225"/>
    </row>
    <row r="5" spans="1:39" s="217" customFormat="1" ht="22.5">
      <c r="A5" s="1821" t="str">
        <f>'Master Apron stands'!A5:W5</f>
        <v>2.  STANDS, TAXILANES AND SERVICE ROADS</v>
      </c>
      <c r="B5" s="1821"/>
      <c r="C5" s="1821"/>
      <c r="D5" s="1821"/>
      <c r="E5" s="1821"/>
      <c r="F5" s="1821"/>
      <c r="G5" s="1821"/>
      <c r="H5" s="1821"/>
      <c r="I5" s="1821"/>
      <c r="J5" s="1821"/>
      <c r="K5" s="1821"/>
      <c r="L5" s="1821"/>
      <c r="M5" s="1821"/>
      <c r="N5" s="1821"/>
      <c r="O5" s="1821"/>
      <c r="P5" s="1821"/>
      <c r="Q5" s="1821"/>
      <c r="R5" s="1821"/>
      <c r="S5" s="1821"/>
      <c r="T5" s="1821"/>
      <c r="U5" s="1821"/>
      <c r="V5" s="1821"/>
      <c r="W5" s="1821"/>
      <c r="X5" s="1821"/>
      <c r="Y5" s="1821"/>
      <c r="Z5" s="1821"/>
      <c r="AA5" s="1821"/>
      <c r="AB5" s="1821"/>
      <c r="AC5" s="1821"/>
      <c r="AD5" s="1821"/>
      <c r="AE5" s="1821"/>
      <c r="AF5" s="1821"/>
      <c r="AG5" s="1821"/>
      <c r="AH5" s="1821"/>
      <c r="AI5" s="1821"/>
    </row>
    <row r="6" spans="1:39" s="217" customFormat="1" ht="7.5" customHeight="1">
      <c r="A6" s="221"/>
      <c r="B6" s="222"/>
      <c r="C6" s="222"/>
      <c r="D6" s="222"/>
      <c r="N6" s="222"/>
      <c r="O6" s="222"/>
      <c r="P6" s="222"/>
      <c r="Q6" s="222"/>
      <c r="S6" s="222"/>
      <c r="T6" s="222"/>
      <c r="U6" s="223"/>
      <c r="V6" s="224"/>
      <c r="W6" s="224"/>
      <c r="X6" s="224"/>
      <c r="Y6" s="224"/>
      <c r="Z6" s="224"/>
      <c r="AA6" s="225"/>
    </row>
    <row r="7" spans="1:39" s="217" customFormat="1" hidden="1">
      <c r="A7" s="1822">
        <f>'Master Apron stands'!A7</f>
        <v>43040</v>
      </c>
      <c r="B7" s="1822"/>
      <c r="C7" s="1822"/>
      <c r="D7" s="1822"/>
      <c r="E7" s="1822"/>
      <c r="F7" s="1822"/>
      <c r="G7" s="1822"/>
      <c r="H7" s="1822"/>
      <c r="I7" s="1822"/>
      <c r="J7" s="1822"/>
      <c r="K7" s="1822"/>
      <c r="L7" s="1822"/>
      <c r="M7" s="1822"/>
      <c r="N7" s="1822"/>
      <c r="O7" s="1822"/>
      <c r="P7" s="1822"/>
      <c r="Q7" s="1822"/>
      <c r="R7" s="1822"/>
      <c r="S7" s="1822"/>
      <c r="T7" s="1822"/>
      <c r="U7" s="1822"/>
      <c r="V7" s="1822"/>
      <c r="W7" s="1822"/>
      <c r="X7" s="1822"/>
      <c r="Y7" s="1822"/>
      <c r="Z7" s="1822"/>
      <c r="AA7" s="1822"/>
      <c r="AB7" s="1822"/>
      <c r="AC7" s="1822"/>
      <c r="AD7" s="1822"/>
      <c r="AE7" s="1822"/>
      <c r="AF7" s="1822"/>
      <c r="AG7" s="1822"/>
      <c r="AH7" s="1822"/>
      <c r="AI7" s="1822"/>
    </row>
    <row r="8" spans="1:39"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c r="X8" s="226"/>
      <c r="Y8" s="226"/>
      <c r="Z8" s="226"/>
      <c r="AA8" s="226"/>
      <c r="AB8" s="226"/>
      <c r="AC8" s="226"/>
      <c r="AD8" s="226"/>
      <c r="AE8" s="226"/>
      <c r="AH8" s="226"/>
      <c r="AI8" s="226"/>
    </row>
    <row r="9" spans="1:39" s="217" customFormat="1" ht="8.25" customHeight="1">
      <c r="A9" s="228"/>
      <c r="B9" s="229"/>
      <c r="C9" s="229"/>
      <c r="D9" s="229"/>
      <c r="E9" s="229"/>
      <c r="F9" s="229"/>
      <c r="G9" s="229"/>
      <c r="H9" s="229"/>
      <c r="I9" s="229"/>
      <c r="J9" s="229"/>
      <c r="K9" s="229"/>
      <c r="L9" s="229"/>
      <c r="M9" s="229"/>
      <c r="N9" s="229"/>
      <c r="O9" s="229"/>
      <c r="P9" s="230"/>
      <c r="Q9" s="229"/>
      <c r="R9" s="229"/>
      <c r="S9" s="229"/>
      <c r="T9" s="229"/>
      <c r="U9" s="229"/>
      <c r="V9" s="229"/>
      <c r="W9" s="229"/>
      <c r="X9" s="229"/>
      <c r="Y9" s="229"/>
      <c r="Z9" s="229"/>
      <c r="AA9" s="229"/>
      <c r="AB9" s="229"/>
      <c r="AC9" s="229"/>
      <c r="AD9" s="229"/>
      <c r="AE9" s="229"/>
      <c r="AH9" s="229"/>
      <c r="AI9" s="229"/>
    </row>
    <row r="10" spans="1:39" s="217" customFormat="1" ht="15">
      <c r="A10" s="228"/>
      <c r="B10" s="229"/>
      <c r="C10" s="229"/>
      <c r="D10" s="229"/>
      <c r="E10" s="229"/>
      <c r="F10" s="229"/>
      <c r="G10" s="229"/>
      <c r="H10" s="229"/>
      <c r="I10" s="229"/>
      <c r="J10" s="229"/>
      <c r="K10" s="229"/>
      <c r="L10" s="229"/>
      <c r="M10" s="229"/>
      <c r="N10" s="229"/>
      <c r="O10" s="229"/>
      <c r="P10" s="230"/>
      <c r="Q10" s="229"/>
      <c r="R10" s="229"/>
      <c r="S10" s="229"/>
      <c r="T10" s="229"/>
      <c r="U10" s="229"/>
      <c r="V10" s="229"/>
      <c r="W10" s="229"/>
      <c r="X10" s="229"/>
      <c r="Y10" s="229"/>
      <c r="Z10" s="229"/>
      <c r="AA10" s="229"/>
      <c r="AB10" s="229"/>
      <c r="AC10" s="229"/>
      <c r="AD10" s="229"/>
      <c r="AE10" s="229"/>
    </row>
    <row r="11" spans="1:39" s="217" customFormat="1" ht="18.75" thickBot="1">
      <c r="A11" s="1823" t="s">
        <v>563</v>
      </c>
      <c r="B11" s="1823"/>
      <c r="C11" s="1823"/>
      <c r="D11" s="1823"/>
      <c r="E11" s="1823"/>
      <c r="F11" s="1823"/>
      <c r="G11" s="1823"/>
      <c r="H11" s="1823"/>
      <c r="I11" s="1823"/>
      <c r="J11" s="1823"/>
      <c r="K11" s="1823"/>
      <c r="L11" s="1823"/>
      <c r="M11" s="1823"/>
      <c r="N11" s="1823"/>
      <c r="O11" s="1823"/>
      <c r="P11" s="1823"/>
      <c r="Q11" s="1823"/>
      <c r="R11" s="1823"/>
      <c r="S11" s="1823"/>
      <c r="T11" s="1823"/>
      <c r="U11" s="1823"/>
      <c r="V11" s="1823"/>
      <c r="W11" s="1823"/>
      <c r="X11" s="1823"/>
      <c r="Y11" s="1823"/>
      <c r="Z11" s="1823"/>
      <c r="AA11" s="1823"/>
      <c r="AB11" s="1823"/>
      <c r="AC11" s="1823"/>
      <c r="AD11" s="1823"/>
      <c r="AE11" s="1823"/>
      <c r="AF11" s="1823"/>
      <c r="AG11" s="1823"/>
      <c r="AH11" s="1823"/>
      <c r="AI11" s="1823"/>
    </row>
    <row r="12" spans="1:39" s="217" customFormat="1" ht="18.75" thickBot="1">
      <c r="A12" s="671"/>
      <c r="B12" s="1834" t="s">
        <v>185</v>
      </c>
      <c r="C12" s="1835"/>
      <c r="D12" s="1835"/>
      <c r="E12" s="552"/>
      <c r="F12" s="555"/>
      <c r="G12"/>
      <c r="H12"/>
      <c r="I12"/>
      <c r="J12"/>
      <c r="K12"/>
      <c r="L12"/>
      <c r="M12"/>
      <c r="N12" s="671"/>
      <c r="O12" s="671"/>
      <c r="P12" s="671"/>
      <c r="Q12" s="671"/>
      <c r="R12" s="671"/>
      <c r="S12" s="671"/>
      <c r="T12" s="671"/>
      <c r="U12" s="671"/>
      <c r="V12" s="671"/>
      <c r="W12" s="671"/>
      <c r="X12" s="671"/>
      <c r="Y12" s="671"/>
      <c r="Z12" s="671"/>
      <c r="AA12" s="671"/>
      <c r="AB12" s="671"/>
      <c r="AC12" s="671"/>
      <c r="AD12" s="671"/>
      <c r="AE12" s="671"/>
      <c r="AF12" s="671"/>
      <c r="AG12" s="671"/>
      <c r="AH12" s="671"/>
      <c r="AI12" s="671"/>
    </row>
    <row r="13" spans="1:39" s="217" customFormat="1" ht="15.75">
      <c r="A13" s="228"/>
      <c r="B13" s="549" t="s">
        <v>186</v>
      </c>
      <c r="C13" s="547">
        <v>43040</v>
      </c>
      <c r="D13" s="553">
        <v>217.6</v>
      </c>
      <c r="E13" s="1836" t="str">
        <f>'New Bldg Rates'!M4</f>
        <v>Reference 2021 Q4 Table 2 - BER Building Cost Index</v>
      </c>
      <c r="F13" s="1837"/>
      <c r="G13" s="1837"/>
      <c r="H13" s="1837"/>
      <c r="I13" s="1837"/>
      <c r="J13" s="1837"/>
      <c r="K13" s="1837"/>
      <c r="L13" s="1837"/>
      <c r="M13" s="1837"/>
      <c r="N13" s="1838"/>
      <c r="O13" s="551"/>
      <c r="P13" s="230"/>
      <c r="Q13" s="229"/>
      <c r="R13" s="229"/>
      <c r="S13" s="229"/>
      <c r="T13" s="229"/>
      <c r="U13" s="229"/>
      <c r="V13" s="229"/>
      <c r="W13" s="229"/>
      <c r="X13" s="229"/>
      <c r="Y13" s="229"/>
      <c r="Z13" s="229"/>
      <c r="AA13" s="229"/>
      <c r="AB13" s="229"/>
      <c r="AC13" s="229"/>
      <c r="AD13" s="229"/>
      <c r="AE13" s="229"/>
    </row>
    <row r="14" spans="1:39" ht="15.75" thickBot="1">
      <c r="B14" s="550" t="s">
        <v>187</v>
      </c>
      <c r="C14" s="548">
        <v>44621</v>
      </c>
      <c r="D14" s="554">
        <f>'New Bldg Rates'!L5</f>
        <v>267.26587999999998</v>
      </c>
      <c r="E14" s="1839"/>
      <c r="F14" s="1840"/>
      <c r="G14" s="1840"/>
      <c r="H14" s="1840"/>
      <c r="I14" s="1840"/>
      <c r="J14" s="1840"/>
      <c r="K14" s="1840"/>
      <c r="L14" s="1840"/>
      <c r="M14" s="1840"/>
      <c r="N14" s="1841"/>
    </row>
    <row r="15" spans="1:39" ht="15">
      <c r="B15"/>
      <c r="C15" s="545"/>
      <c r="D15" s="546"/>
      <c r="E15" s="556"/>
      <c r="F15" s="556"/>
      <c r="G15" s="211"/>
      <c r="H15" s="211"/>
      <c r="I15" s="211"/>
      <c r="J15" s="211"/>
      <c r="K15" s="211"/>
      <c r="L15" s="211"/>
      <c r="M15" s="211"/>
      <c r="AH15" s="347"/>
      <c r="AI15" s="347"/>
      <c r="AJ15" s="347"/>
      <c r="AK15" s="347"/>
      <c r="AL15" s="347"/>
      <c r="AM15" s="347"/>
    </row>
    <row r="16" spans="1:39" ht="14.45" customHeight="1">
      <c r="A16" s="247"/>
      <c r="B16" s="248"/>
      <c r="C16" s="248"/>
      <c r="D16" s="248"/>
      <c r="E16" s="249"/>
      <c r="F16" s="250" t="s">
        <v>564</v>
      </c>
      <c r="G16" s="251"/>
      <c r="H16" s="1842" t="s">
        <v>565</v>
      </c>
      <c r="I16" s="1843"/>
      <c r="J16" s="1843"/>
      <c r="K16" s="1843"/>
      <c r="L16" s="1843"/>
      <c r="M16" s="1844"/>
      <c r="N16" s="247"/>
      <c r="O16" s="248"/>
      <c r="P16" s="248"/>
      <c r="Q16" s="248"/>
      <c r="R16" s="249"/>
      <c r="S16" s="250" t="s">
        <v>564</v>
      </c>
      <c r="T16" s="251"/>
      <c r="U16" s="1842" t="str">
        <f>'Code C,E &amp; F stands'!$H$16</f>
        <v>Estimated Rates</v>
      </c>
      <c r="V16" s="1843"/>
      <c r="W16" s="1843"/>
      <c r="X16" s="1843"/>
      <c r="Y16" s="1843"/>
      <c r="Z16" s="1844"/>
      <c r="AA16" s="247"/>
      <c r="AB16" s="248"/>
      <c r="AC16" s="248"/>
      <c r="AD16" s="248"/>
      <c r="AE16" s="249"/>
      <c r="AF16" s="250" t="s">
        <v>564</v>
      </c>
      <c r="AG16" s="251"/>
      <c r="AH16" s="1842" t="str">
        <f>'Code C,E &amp; F stands'!$H$16</f>
        <v>Estimated Rates</v>
      </c>
      <c r="AI16" s="1843"/>
      <c r="AJ16" s="1843"/>
      <c r="AK16" s="1843"/>
      <c r="AL16" s="1843"/>
      <c r="AM16" s="1844"/>
    </row>
    <row r="17" spans="1:39" ht="18.75">
      <c r="A17" s="1832" t="s">
        <v>566</v>
      </c>
      <c r="B17" s="1833"/>
      <c r="C17" s="253" t="s">
        <v>515</v>
      </c>
      <c r="D17" s="253" t="s">
        <v>516</v>
      </c>
      <c r="E17" s="254"/>
      <c r="F17" s="255"/>
      <c r="G17" s="256"/>
      <c r="H17" s="1845"/>
      <c r="I17" s="1846"/>
      <c r="J17" s="1846"/>
      <c r="K17" s="1846"/>
      <c r="L17" s="1846"/>
      <c r="M17" s="1847"/>
      <c r="N17" s="1832" t="s">
        <v>567</v>
      </c>
      <c r="O17" s="1833"/>
      <c r="P17" s="253" t="s">
        <v>515</v>
      </c>
      <c r="Q17" s="253" t="s">
        <v>516</v>
      </c>
      <c r="R17" s="254"/>
      <c r="S17" s="255"/>
      <c r="T17" s="256"/>
      <c r="U17" s="1845"/>
      <c r="V17" s="1846"/>
      <c r="W17" s="1846"/>
      <c r="X17" s="1846"/>
      <c r="Y17" s="1846"/>
      <c r="Z17" s="1847"/>
      <c r="AA17" s="1832" t="s">
        <v>568</v>
      </c>
      <c r="AB17" s="1833"/>
      <c r="AC17" s="253" t="s">
        <v>515</v>
      </c>
      <c r="AD17" s="253" t="s">
        <v>516</v>
      </c>
      <c r="AE17" s="254"/>
      <c r="AF17" s="255"/>
      <c r="AG17" s="256"/>
      <c r="AH17" s="1845"/>
      <c r="AI17" s="1846"/>
      <c r="AJ17" s="1846"/>
      <c r="AK17" s="1846"/>
      <c r="AL17" s="1846"/>
      <c r="AM17" s="1847"/>
    </row>
    <row r="18" spans="1:39">
      <c r="A18" s="1824" t="s">
        <v>569</v>
      </c>
      <c r="B18" s="1825"/>
      <c r="C18" s="257">
        <f>'Master Apron stands'!Q29</f>
        <v>80</v>
      </c>
      <c r="D18" s="257">
        <f>'Master Apron stands'!R29</f>
        <v>85</v>
      </c>
      <c r="E18" s="258">
        <f>C18*D18</f>
        <v>6800</v>
      </c>
      <c r="F18" s="255"/>
      <c r="G18" s="256"/>
      <c r="H18" s="1826" t="s">
        <v>570</v>
      </c>
      <c r="I18" s="1827"/>
      <c r="J18" s="1828" t="s">
        <v>571</v>
      </c>
      <c r="K18" s="1827"/>
      <c r="L18" s="1829">
        <f>C14</f>
        <v>44621</v>
      </c>
      <c r="M18" s="1831"/>
      <c r="N18" s="259"/>
      <c r="O18" s="260"/>
      <c r="P18" s="257">
        <f>'Master Apron stands'!Q30</f>
        <v>65</v>
      </c>
      <c r="Q18" s="257">
        <f>'Master Apron stands'!R30</f>
        <v>80</v>
      </c>
      <c r="R18" s="258">
        <f>P18*Q18</f>
        <v>5200</v>
      </c>
      <c r="S18" s="255"/>
      <c r="T18" s="256"/>
      <c r="U18" s="1826" t="str">
        <f>'Code C,E &amp; F stands'!$H$18</f>
        <v>Base Date Jan '09</v>
      </c>
      <c r="V18" s="1827"/>
      <c r="W18" s="1828" t="s">
        <v>571</v>
      </c>
      <c r="X18" s="1827"/>
      <c r="Y18" s="1829">
        <f>L18</f>
        <v>44621</v>
      </c>
      <c r="Z18" s="1830"/>
      <c r="AA18" s="259"/>
      <c r="AB18" s="260"/>
      <c r="AC18" s="257">
        <f>'Master Apron stands'!Q31</f>
        <v>40</v>
      </c>
      <c r="AD18" s="257">
        <f>'Master Apron stands'!R31</f>
        <v>56</v>
      </c>
      <c r="AE18" s="258">
        <f>AC18*AD18</f>
        <v>2240</v>
      </c>
      <c r="AF18" s="255"/>
      <c r="AG18" s="256"/>
      <c r="AH18" s="1826" t="str">
        <f>'Code C,E &amp; F stands'!$H$18</f>
        <v>Base Date Jan '09</v>
      </c>
      <c r="AI18" s="1827"/>
      <c r="AJ18" s="1828" t="s">
        <v>571</v>
      </c>
      <c r="AK18" s="1827"/>
      <c r="AL18" s="1829">
        <f>L18</f>
        <v>44621</v>
      </c>
      <c r="AM18" s="1830"/>
    </row>
    <row r="19" spans="1:39">
      <c r="A19" s="261"/>
      <c r="B19" s="262"/>
      <c r="C19" s="263"/>
      <c r="D19" s="263"/>
      <c r="E19" s="264"/>
      <c r="F19" s="265"/>
      <c r="G19" s="266"/>
      <c r="H19" s="267"/>
      <c r="I19" s="268"/>
      <c r="J19" s="457"/>
      <c r="K19" s="268"/>
      <c r="L19" s="262"/>
      <c r="M19" s="262"/>
      <c r="N19" s="261"/>
      <c r="O19" s="262"/>
      <c r="P19" s="263"/>
      <c r="Q19" s="263"/>
      <c r="R19" s="264"/>
      <c r="S19" s="265"/>
      <c r="T19" s="266"/>
      <c r="U19" s="267"/>
      <c r="V19" s="268"/>
      <c r="W19" s="457"/>
      <c r="X19" s="268"/>
      <c r="Y19" s="262"/>
      <c r="Z19" s="262"/>
      <c r="AA19" s="261"/>
      <c r="AB19" s="262"/>
      <c r="AC19" s="263"/>
      <c r="AD19" s="263"/>
      <c r="AE19" s="264"/>
      <c r="AF19" s="265"/>
      <c r="AG19" s="266"/>
      <c r="AH19" s="267"/>
      <c r="AI19" s="268"/>
      <c r="AJ19" s="457"/>
      <c r="AK19" s="268"/>
      <c r="AL19" s="262"/>
      <c r="AM19" s="268"/>
    </row>
    <row r="20" spans="1:39">
      <c r="A20" s="269"/>
      <c r="C20" s="270"/>
      <c r="D20" s="270"/>
      <c r="E20" s="271"/>
      <c r="F20" s="272"/>
      <c r="G20" s="273"/>
      <c r="H20" s="274"/>
      <c r="I20" s="275"/>
      <c r="J20" s="438"/>
      <c r="K20" s="275"/>
      <c r="N20" s="269"/>
      <c r="P20" s="270"/>
      <c r="Q20" s="270"/>
      <c r="R20" s="271"/>
      <c r="S20" s="272"/>
      <c r="T20" s="273"/>
      <c r="U20" s="276"/>
      <c r="V20" s="275"/>
      <c r="W20" s="438"/>
      <c r="X20" s="275"/>
      <c r="AA20" s="269"/>
      <c r="AC20" s="270"/>
      <c r="AD20" s="270"/>
      <c r="AE20" s="271"/>
      <c r="AF20" s="272"/>
      <c r="AG20" s="273"/>
      <c r="AH20" s="276"/>
      <c r="AI20" s="275"/>
      <c r="AJ20" s="438"/>
      <c r="AK20" s="275"/>
      <c r="AM20" s="275"/>
    </row>
    <row r="21" spans="1:39">
      <c r="A21" s="277" t="s">
        <v>573</v>
      </c>
      <c r="E21" s="278"/>
      <c r="F21" s="279"/>
      <c r="G21" s="280"/>
      <c r="H21" s="281"/>
      <c r="I21" s="275"/>
      <c r="J21" s="438"/>
      <c r="K21" s="275"/>
      <c r="N21" s="277" t="s">
        <v>573</v>
      </c>
      <c r="R21" s="278"/>
      <c r="S21" s="279"/>
      <c r="T21" s="280"/>
      <c r="U21" s="282"/>
      <c r="V21" s="275"/>
      <c r="W21" s="438"/>
      <c r="X21" s="275"/>
      <c r="AA21" s="277" t="s">
        <v>573</v>
      </c>
      <c r="AE21" s="278"/>
      <c r="AF21" s="279"/>
      <c r="AG21" s="280"/>
      <c r="AH21" s="282"/>
      <c r="AI21" s="275"/>
      <c r="AJ21" s="438"/>
      <c r="AK21" s="275"/>
      <c r="AM21" s="275"/>
    </row>
    <row r="22" spans="1:39" ht="15">
      <c r="A22" s="283" t="s">
        <v>574</v>
      </c>
      <c r="B22" s="231" t="s">
        <v>575</v>
      </c>
      <c r="E22" s="278"/>
      <c r="F22" s="279">
        <v>5.93</v>
      </c>
      <c r="G22" s="280"/>
      <c r="H22" s="282">
        <v>8</v>
      </c>
      <c r="I22" s="275"/>
      <c r="J22" s="572">
        <f>(H22*(217/145-1))+H22</f>
        <v>11.972413793103449</v>
      </c>
      <c r="K22" s="575"/>
      <c r="L22" s="573">
        <f>(J22*($D$14/$D$13-1))+J22</f>
        <v>14.705044614604462</v>
      </c>
      <c r="M22" s="557"/>
      <c r="N22" s="283" t="s">
        <v>574</v>
      </c>
      <c r="O22" s="231" t="s">
        <v>575</v>
      </c>
      <c r="R22" s="278"/>
      <c r="S22" s="279">
        <v>5.93</v>
      </c>
      <c r="T22" s="280"/>
      <c r="U22" s="282">
        <v>8</v>
      </c>
      <c r="V22" s="275"/>
      <c r="W22" s="572">
        <f>(U22*(217/145-1))+U22</f>
        <v>11.972413793103449</v>
      </c>
      <c r="X22" s="575"/>
      <c r="Y22" s="573">
        <f>(W22*($D$14/$D$13-1))+W22</f>
        <v>14.705044614604462</v>
      </c>
      <c r="Z22" s="557"/>
      <c r="AA22" s="283" t="s">
        <v>574</v>
      </c>
      <c r="AB22" s="231" t="s">
        <v>575</v>
      </c>
      <c r="AE22" s="278"/>
      <c r="AF22" s="279">
        <v>5.93</v>
      </c>
      <c r="AG22" s="280"/>
      <c r="AH22" s="282">
        <v>8</v>
      </c>
      <c r="AI22" s="275"/>
      <c r="AJ22" s="572">
        <f>(AH22*(217/145-1))+AH22</f>
        <v>11.972413793103449</v>
      </c>
      <c r="AK22" s="575"/>
      <c r="AL22" s="573">
        <f>(AJ22*($D$14/$D$13-1))+AJ22</f>
        <v>14.705044614604462</v>
      </c>
      <c r="AM22" s="562"/>
    </row>
    <row r="23" spans="1:39" ht="15">
      <c r="A23" s="283" t="s">
        <v>574</v>
      </c>
      <c r="B23" s="231" t="s">
        <v>576</v>
      </c>
      <c r="E23" s="278"/>
      <c r="F23" s="279">
        <f>6.9+6.9</f>
        <v>13.8</v>
      </c>
      <c r="G23" s="280"/>
      <c r="H23" s="282">
        <f>14+7</f>
        <v>21</v>
      </c>
      <c r="I23" s="275"/>
      <c r="J23" s="572">
        <f t="shared" ref="J23:J34" si="0">(H23*(217/145-1))+H23</f>
        <v>31.427586206896553</v>
      </c>
      <c r="K23" s="575"/>
      <c r="L23" s="573">
        <f t="shared" ref="L23:L34" si="1">(H23*($D$14/$D$13-1))+J23</f>
        <v>36.220708817190669</v>
      </c>
      <c r="M23" s="557"/>
      <c r="N23" s="283" t="s">
        <v>574</v>
      </c>
      <c r="O23" s="231" t="s">
        <v>576</v>
      </c>
      <c r="R23" s="278"/>
      <c r="S23" s="279">
        <f>6.9+6.9</f>
        <v>13.8</v>
      </c>
      <c r="T23" s="280"/>
      <c r="U23" s="282">
        <f>14+7</f>
        <v>21</v>
      </c>
      <c r="V23" s="275"/>
      <c r="W23" s="572">
        <f t="shared" ref="W23:W34" si="2">(U23*(217/145-1))+U23</f>
        <v>31.427586206896553</v>
      </c>
      <c r="X23" s="575"/>
      <c r="Y23" s="573">
        <f t="shared" ref="Y23:Y34" si="3">(U23*($D$14/$D$13-1))+W23</f>
        <v>36.220708817190669</v>
      </c>
      <c r="Z23" s="557"/>
      <c r="AA23" s="283" t="s">
        <v>574</v>
      </c>
      <c r="AB23" s="231" t="s">
        <v>576</v>
      </c>
      <c r="AE23" s="278"/>
      <c r="AF23" s="279">
        <f>6.9+6.9</f>
        <v>13.8</v>
      </c>
      <c r="AG23" s="280"/>
      <c r="AH23" s="282">
        <f>14+7</f>
        <v>21</v>
      </c>
      <c r="AI23" s="275"/>
      <c r="AJ23" s="572">
        <f t="shared" ref="AJ23:AJ34" si="4">(AH23*(217/145-1))+AH23</f>
        <v>31.427586206896553</v>
      </c>
      <c r="AK23" s="575"/>
      <c r="AL23" s="573">
        <f t="shared" ref="AL23:AL34" si="5">(AH23*($D$14/$D$13-1))+AJ23</f>
        <v>36.220708817190669</v>
      </c>
      <c r="AM23" s="562"/>
    </row>
    <row r="24" spans="1:39" ht="15">
      <c r="A24" s="283" t="s">
        <v>574</v>
      </c>
      <c r="B24" s="231" t="s">
        <v>577</v>
      </c>
      <c r="E24" s="284"/>
      <c r="F24" s="279">
        <v>41</v>
      </c>
      <c r="G24" s="280"/>
      <c r="H24" s="282">
        <f>+F24*1.1</f>
        <v>45.1</v>
      </c>
      <c r="I24" s="275"/>
      <c r="J24" s="572">
        <f t="shared" si="0"/>
        <v>67.494482758620691</v>
      </c>
      <c r="K24" s="575"/>
      <c r="L24" s="573">
        <f t="shared" si="1"/>
        <v>77.788284174061872</v>
      </c>
      <c r="M24" s="557"/>
      <c r="N24" s="283" t="s">
        <v>574</v>
      </c>
      <c r="O24" s="231" t="s">
        <v>577</v>
      </c>
      <c r="R24" s="278"/>
      <c r="S24" s="279">
        <v>41</v>
      </c>
      <c r="T24" s="280"/>
      <c r="U24" s="282">
        <f>+S24*1.1</f>
        <v>45.1</v>
      </c>
      <c r="V24" s="275"/>
      <c r="W24" s="572">
        <f t="shared" si="2"/>
        <v>67.494482758620691</v>
      </c>
      <c r="X24" s="575"/>
      <c r="Y24" s="573">
        <f t="shared" si="3"/>
        <v>77.788284174061872</v>
      </c>
      <c r="Z24" s="557"/>
      <c r="AA24" s="283" t="s">
        <v>574</v>
      </c>
      <c r="AB24" s="231" t="s">
        <v>577</v>
      </c>
      <c r="AE24" s="278"/>
      <c r="AF24" s="279">
        <v>58</v>
      </c>
      <c r="AG24" s="280"/>
      <c r="AH24" s="282">
        <f>+AF24*1.1</f>
        <v>63.800000000000004</v>
      </c>
      <c r="AI24" s="275"/>
      <c r="AJ24" s="572">
        <f t="shared" si="4"/>
        <v>95.480000000000018</v>
      </c>
      <c r="AK24" s="575"/>
      <c r="AL24" s="573">
        <f t="shared" si="5"/>
        <v>110.0419629779412</v>
      </c>
      <c r="AM24" s="562"/>
    </row>
    <row r="25" spans="1:39" ht="15">
      <c r="A25" s="283" t="s">
        <v>574</v>
      </c>
      <c r="B25" s="231" t="s">
        <v>578</v>
      </c>
      <c r="E25" s="285">
        <v>1150</v>
      </c>
      <c r="F25" s="279">
        <f>414+1150*0.01</f>
        <v>425.5</v>
      </c>
      <c r="G25" s="280"/>
      <c r="H25" s="282">
        <f>E25*0.37</f>
        <v>425.5</v>
      </c>
      <c r="I25" s="275"/>
      <c r="J25" s="572">
        <f t="shared" si="0"/>
        <v>636.78275862068972</v>
      </c>
      <c r="K25" s="575"/>
      <c r="L25" s="573">
        <f t="shared" si="1"/>
        <v>733.90055246260147</v>
      </c>
      <c r="M25" s="557"/>
      <c r="N25" s="283" t="s">
        <v>574</v>
      </c>
      <c r="O25" s="231" t="s">
        <v>578</v>
      </c>
      <c r="R25" s="286">
        <f t="shared" ref="R25:R30" si="6">E25</f>
        <v>1150</v>
      </c>
      <c r="S25" s="279">
        <f>414+1150*0.01</f>
        <v>425.5</v>
      </c>
      <c r="T25" s="280"/>
      <c r="U25" s="282">
        <f>R25*0.37</f>
        <v>425.5</v>
      </c>
      <c r="V25" s="275"/>
      <c r="W25" s="572">
        <f t="shared" si="2"/>
        <v>636.78275862068972</v>
      </c>
      <c r="X25" s="575"/>
      <c r="Y25" s="573">
        <f t="shared" si="3"/>
        <v>733.90055246260147</v>
      </c>
      <c r="Z25" s="557"/>
      <c r="AA25" s="283" t="s">
        <v>574</v>
      </c>
      <c r="AB25" s="231" t="s">
        <v>579</v>
      </c>
      <c r="AE25" s="286">
        <f>R25</f>
        <v>1150</v>
      </c>
      <c r="AF25" s="279">
        <f>399.5/0.325*0.33</f>
        <v>405.64615384615388</v>
      </c>
      <c r="AG25" s="280"/>
      <c r="AH25" s="282">
        <f>AE25*0.345</f>
        <v>396.74999999999994</v>
      </c>
      <c r="AI25" s="275"/>
      <c r="AJ25" s="572">
        <f t="shared" si="4"/>
        <v>593.75689655172414</v>
      </c>
      <c r="AK25" s="575"/>
      <c r="AL25" s="573">
        <f t="shared" si="5"/>
        <v>684.31267729620936</v>
      </c>
      <c r="AM25" s="562"/>
    </row>
    <row r="26" spans="1:39" ht="15">
      <c r="A26" s="283" t="s">
        <v>574</v>
      </c>
      <c r="B26" s="231" t="s">
        <v>580</v>
      </c>
      <c r="E26" s="285">
        <v>385</v>
      </c>
      <c r="F26" s="279"/>
      <c r="G26" s="280"/>
      <c r="H26" s="282">
        <f>E26*0.2</f>
        <v>77</v>
      </c>
      <c r="I26" s="275"/>
      <c r="J26" s="572">
        <f t="shared" si="0"/>
        <v>115.2344827586207</v>
      </c>
      <c r="K26" s="575"/>
      <c r="L26" s="573">
        <f t="shared" si="1"/>
        <v>132.80926566303248</v>
      </c>
      <c r="M26" s="557"/>
      <c r="N26" s="283" t="s">
        <v>574</v>
      </c>
      <c r="O26" s="231" t="s">
        <v>580</v>
      </c>
      <c r="R26" s="286">
        <f t="shared" si="6"/>
        <v>385</v>
      </c>
      <c r="S26" s="279"/>
      <c r="T26" s="280"/>
      <c r="U26" s="282">
        <f>R26*0.2</f>
        <v>77</v>
      </c>
      <c r="V26" s="275"/>
      <c r="W26" s="572">
        <f t="shared" si="2"/>
        <v>115.2344827586207</v>
      </c>
      <c r="X26" s="575"/>
      <c r="Y26" s="573">
        <f t="shared" si="3"/>
        <v>132.80926566303248</v>
      </c>
      <c r="Z26" s="557"/>
      <c r="AA26" s="283" t="s">
        <v>574</v>
      </c>
      <c r="AB26" s="231" t="s">
        <v>581</v>
      </c>
      <c r="AE26" s="286">
        <f>R27</f>
        <v>375</v>
      </c>
      <c r="AF26" s="279"/>
      <c r="AG26" s="280"/>
      <c r="AH26" s="282">
        <f>AE26*0.15</f>
        <v>56.25</v>
      </c>
      <c r="AI26" s="275"/>
      <c r="AJ26" s="572">
        <f t="shared" si="4"/>
        <v>84.181034482758633</v>
      </c>
      <c r="AK26" s="575"/>
      <c r="AL26" s="573">
        <f t="shared" si="5"/>
        <v>97.01975576033216</v>
      </c>
      <c r="AM26" s="562"/>
    </row>
    <row r="27" spans="1:39" ht="15">
      <c r="A27" s="283" t="s">
        <v>574</v>
      </c>
      <c r="B27" s="231" t="s">
        <v>581</v>
      </c>
      <c r="E27" s="285">
        <v>375</v>
      </c>
      <c r="F27" s="279">
        <f>+F28</f>
        <v>61.793999999999997</v>
      </c>
      <c r="G27" s="280"/>
      <c r="H27" s="282">
        <f>E27*0.15</f>
        <v>56.25</v>
      </c>
      <c r="I27" s="275"/>
      <c r="J27" s="572">
        <f t="shared" si="0"/>
        <v>84.181034482758633</v>
      </c>
      <c r="K27" s="575"/>
      <c r="L27" s="573">
        <f t="shared" si="1"/>
        <v>97.01975576033216</v>
      </c>
      <c r="M27" s="557"/>
      <c r="N27" s="283" t="s">
        <v>574</v>
      </c>
      <c r="O27" s="231" t="s">
        <v>581</v>
      </c>
      <c r="R27" s="286">
        <f t="shared" si="6"/>
        <v>375</v>
      </c>
      <c r="S27" s="279">
        <f>+S28</f>
        <v>61.793999999999997</v>
      </c>
      <c r="T27" s="280"/>
      <c r="U27" s="282">
        <f>R27*0.15</f>
        <v>56.25</v>
      </c>
      <c r="V27" s="275"/>
      <c r="W27" s="572">
        <f t="shared" si="2"/>
        <v>84.181034482758633</v>
      </c>
      <c r="X27" s="575"/>
      <c r="Y27" s="573">
        <f t="shared" si="3"/>
        <v>97.01975576033216</v>
      </c>
      <c r="Z27" s="557"/>
      <c r="AA27" s="283" t="s">
        <v>574</v>
      </c>
      <c r="AB27" s="231" t="s">
        <v>582</v>
      </c>
      <c r="AE27" s="286">
        <f>R28</f>
        <v>360</v>
      </c>
      <c r="AF27" s="279">
        <f>146.85*0.15+265.11*0.15</f>
        <v>61.793999999999997</v>
      </c>
      <c r="AG27" s="280"/>
      <c r="AH27" s="282">
        <f>AE27*0.15</f>
        <v>54</v>
      </c>
      <c r="AI27" s="275"/>
      <c r="AJ27" s="572">
        <f t="shared" si="4"/>
        <v>80.81379310344829</v>
      </c>
      <c r="AK27" s="575"/>
      <c r="AL27" s="573">
        <f t="shared" si="5"/>
        <v>93.138965529918877</v>
      </c>
      <c r="AM27" s="562"/>
    </row>
    <row r="28" spans="1:39" ht="15">
      <c r="A28" s="283" t="s">
        <v>574</v>
      </c>
      <c r="B28" s="231" t="s">
        <v>583</v>
      </c>
      <c r="E28" s="285">
        <v>360</v>
      </c>
      <c r="F28" s="279">
        <f>146.85*0.15+265.11*0.15</f>
        <v>61.793999999999997</v>
      </c>
      <c r="G28" s="280"/>
      <c r="H28" s="282">
        <f>E28*0.15</f>
        <v>54</v>
      </c>
      <c r="I28" s="275"/>
      <c r="J28" s="572">
        <f t="shared" si="0"/>
        <v>80.81379310344829</v>
      </c>
      <c r="K28" s="575"/>
      <c r="L28" s="573">
        <f t="shared" si="1"/>
        <v>93.138965529918877</v>
      </c>
      <c r="M28" s="557"/>
      <c r="N28" s="283" t="s">
        <v>574</v>
      </c>
      <c r="O28" s="231" t="s">
        <v>582</v>
      </c>
      <c r="R28" s="286">
        <f t="shared" si="6"/>
        <v>360</v>
      </c>
      <c r="S28" s="279">
        <f>146.85*0.15+265.11*0.15</f>
        <v>61.793999999999997</v>
      </c>
      <c r="T28" s="280"/>
      <c r="U28" s="282">
        <f>R28*0.15</f>
        <v>54</v>
      </c>
      <c r="V28" s="275"/>
      <c r="W28" s="572">
        <f t="shared" si="2"/>
        <v>80.81379310344829</v>
      </c>
      <c r="X28" s="575"/>
      <c r="Y28" s="573">
        <f t="shared" si="3"/>
        <v>93.138965529918877</v>
      </c>
      <c r="Z28" s="557"/>
      <c r="AA28" s="283" t="s">
        <v>574</v>
      </c>
      <c r="AB28" s="231" t="s">
        <v>584</v>
      </c>
      <c r="AE28" s="286">
        <f>R29</f>
        <v>190</v>
      </c>
      <c r="AF28" s="279">
        <f>+AF29</f>
        <v>27</v>
      </c>
      <c r="AG28" s="280"/>
      <c r="AH28" s="282">
        <f>AE28*0.15</f>
        <v>28.5</v>
      </c>
      <c r="AI28" s="275"/>
      <c r="AJ28" s="572">
        <f t="shared" si="4"/>
        <v>42.651724137931041</v>
      </c>
      <c r="AK28" s="575"/>
      <c r="AL28" s="573">
        <f t="shared" si="5"/>
        <v>49.156676251901629</v>
      </c>
      <c r="AM28" s="562"/>
    </row>
    <row r="29" spans="1:39" ht="15">
      <c r="A29" s="283" t="s">
        <v>574</v>
      </c>
      <c r="B29" s="231" t="s">
        <v>585</v>
      </c>
      <c r="E29" s="285">
        <v>190</v>
      </c>
      <c r="F29" s="279">
        <f>170.66*0.15</f>
        <v>25.599</v>
      </c>
      <c r="G29" s="280"/>
      <c r="H29" s="282">
        <f>E29*0.15</f>
        <v>28.5</v>
      </c>
      <c r="I29" s="275"/>
      <c r="J29" s="572">
        <f t="shared" si="0"/>
        <v>42.651724137931041</v>
      </c>
      <c r="K29" s="575"/>
      <c r="L29" s="573">
        <f t="shared" si="1"/>
        <v>49.156676251901629</v>
      </c>
      <c r="M29" s="557"/>
      <c r="N29" s="283" t="s">
        <v>574</v>
      </c>
      <c r="O29" s="231" t="s">
        <v>584</v>
      </c>
      <c r="R29" s="286">
        <f t="shared" si="6"/>
        <v>190</v>
      </c>
      <c r="S29" s="279">
        <f>170.66*0.15</f>
        <v>25.599</v>
      </c>
      <c r="T29" s="280"/>
      <c r="U29" s="282">
        <f>R29*0.15</f>
        <v>28.5</v>
      </c>
      <c r="V29" s="275"/>
      <c r="W29" s="572">
        <f t="shared" si="2"/>
        <v>42.651724137931041</v>
      </c>
      <c r="X29" s="575"/>
      <c r="Y29" s="573">
        <f t="shared" si="3"/>
        <v>49.156676251901629</v>
      </c>
      <c r="Z29" s="557"/>
      <c r="AA29" s="283" t="s">
        <v>574</v>
      </c>
      <c r="AB29" s="231" t="s">
        <v>585</v>
      </c>
      <c r="AE29" s="286">
        <f>AE28</f>
        <v>190</v>
      </c>
      <c r="AF29" s="279">
        <f>180*0.15</f>
        <v>27</v>
      </c>
      <c r="AG29" s="280"/>
      <c r="AH29" s="282">
        <f>AE29*0.15</f>
        <v>28.5</v>
      </c>
      <c r="AI29" s="275"/>
      <c r="AJ29" s="572">
        <f t="shared" si="4"/>
        <v>42.651724137931041</v>
      </c>
      <c r="AK29" s="575"/>
      <c r="AL29" s="573">
        <f t="shared" si="5"/>
        <v>49.156676251901629</v>
      </c>
      <c r="AM29" s="562"/>
    </row>
    <row r="30" spans="1:39" ht="15">
      <c r="A30" s="283" t="s">
        <v>574</v>
      </c>
      <c r="B30" s="231" t="s">
        <v>586</v>
      </c>
      <c r="E30" s="285">
        <v>160</v>
      </c>
      <c r="F30" s="279">
        <f>170.66*0.15</f>
        <v>25.599</v>
      </c>
      <c r="G30" s="280"/>
      <c r="H30" s="282">
        <f>E30*0.15</f>
        <v>24</v>
      </c>
      <c r="I30" s="275"/>
      <c r="J30" s="572">
        <f t="shared" si="0"/>
        <v>35.917241379310347</v>
      </c>
      <c r="K30" s="575"/>
      <c r="L30" s="573">
        <f t="shared" si="1"/>
        <v>41.39509579107505</v>
      </c>
      <c r="M30" s="557"/>
      <c r="N30" s="283" t="s">
        <v>574</v>
      </c>
      <c r="O30" s="231" t="s">
        <v>586</v>
      </c>
      <c r="R30" s="286">
        <f t="shared" si="6"/>
        <v>160</v>
      </c>
      <c r="S30" s="279">
        <f>170.66*0.15</f>
        <v>25.599</v>
      </c>
      <c r="T30" s="280"/>
      <c r="U30" s="282">
        <f>R30*0.15</f>
        <v>24</v>
      </c>
      <c r="V30" s="275"/>
      <c r="W30" s="572">
        <f t="shared" si="2"/>
        <v>35.917241379310347</v>
      </c>
      <c r="X30" s="575"/>
      <c r="Y30" s="573">
        <f t="shared" si="3"/>
        <v>41.39509579107505</v>
      </c>
      <c r="Z30" s="557"/>
      <c r="AA30" s="283" t="s">
        <v>574</v>
      </c>
      <c r="AB30" s="231" t="s">
        <v>586</v>
      </c>
      <c r="AE30" s="286">
        <f>R30</f>
        <v>160</v>
      </c>
      <c r="AF30" s="279">
        <f>170.66*0.15</f>
        <v>25.599</v>
      </c>
      <c r="AG30" s="280"/>
      <c r="AH30" s="282">
        <f>AE30*0.15</f>
        <v>24</v>
      </c>
      <c r="AI30" s="275"/>
      <c r="AJ30" s="572">
        <f t="shared" si="4"/>
        <v>35.917241379310347</v>
      </c>
      <c r="AK30" s="575"/>
      <c r="AL30" s="573">
        <f t="shared" si="5"/>
        <v>41.39509579107505</v>
      </c>
      <c r="AM30" s="562"/>
    </row>
    <row r="31" spans="1:39" ht="15">
      <c r="A31" s="283" t="s">
        <v>574</v>
      </c>
      <c r="B31" s="231" t="s">
        <v>587</v>
      </c>
      <c r="E31" s="285"/>
      <c r="F31" s="279"/>
      <c r="G31" s="280"/>
      <c r="H31" s="282">
        <v>10</v>
      </c>
      <c r="I31" s="275"/>
      <c r="J31" s="572">
        <f t="shared" si="0"/>
        <v>14.965517241379311</v>
      </c>
      <c r="K31" s="575"/>
      <c r="L31" s="573">
        <f t="shared" si="1"/>
        <v>17.247956579614605</v>
      </c>
      <c r="M31" s="557"/>
      <c r="N31" s="283" t="s">
        <v>574</v>
      </c>
      <c r="O31" s="231" t="s">
        <v>587</v>
      </c>
      <c r="R31" s="286"/>
      <c r="S31" s="279"/>
      <c r="T31" s="280"/>
      <c r="U31" s="282">
        <f>'Code C,E &amp; F stands'!$H$31</f>
        <v>10</v>
      </c>
      <c r="V31" s="275"/>
      <c r="W31" s="572">
        <f t="shared" si="2"/>
        <v>14.965517241379311</v>
      </c>
      <c r="X31" s="575"/>
      <c r="Y31" s="573">
        <f t="shared" si="3"/>
        <v>17.247956579614605</v>
      </c>
      <c r="Z31" s="557"/>
      <c r="AA31" s="283" t="s">
        <v>574</v>
      </c>
      <c r="AB31" s="231" t="s">
        <v>587</v>
      </c>
      <c r="AE31" s="286"/>
      <c r="AF31" s="279"/>
      <c r="AG31" s="280"/>
      <c r="AH31" s="282">
        <f>'Code C,E &amp; F stands'!$H$31</f>
        <v>10</v>
      </c>
      <c r="AI31" s="275"/>
      <c r="AJ31" s="572">
        <f t="shared" si="4"/>
        <v>14.965517241379311</v>
      </c>
      <c r="AK31" s="575"/>
      <c r="AL31" s="573">
        <f t="shared" si="5"/>
        <v>17.247956579614605</v>
      </c>
      <c r="AM31" s="562"/>
    </row>
    <row r="32" spans="1:39" ht="15">
      <c r="A32" s="283" t="s">
        <v>574</v>
      </c>
      <c r="B32" s="231" t="s">
        <v>588</v>
      </c>
      <c r="E32" s="285"/>
      <c r="F32" s="279">
        <v>16.733685752598575</v>
      </c>
      <c r="G32" s="280"/>
      <c r="H32" s="282">
        <f>+F32*1.05</f>
        <v>17.570370040228504</v>
      </c>
      <c r="I32" s="275"/>
      <c r="J32" s="572">
        <f t="shared" si="0"/>
        <v>26.294967577445419</v>
      </c>
      <c r="K32" s="575"/>
      <c r="L32" s="573">
        <f t="shared" si="1"/>
        <v>30.305297954162256</v>
      </c>
      <c r="M32" s="557"/>
      <c r="N32" s="283" t="s">
        <v>574</v>
      </c>
      <c r="O32" s="231" t="s">
        <v>588</v>
      </c>
      <c r="P32" s="287"/>
      <c r="R32" s="286"/>
      <c r="S32" s="279">
        <v>16.733685752598575</v>
      </c>
      <c r="T32" s="280"/>
      <c r="U32" s="282">
        <f>+S32*1.05</f>
        <v>17.570370040228504</v>
      </c>
      <c r="V32" s="275"/>
      <c r="W32" s="572">
        <f t="shared" si="2"/>
        <v>26.294967577445419</v>
      </c>
      <c r="X32" s="575"/>
      <c r="Y32" s="573">
        <f t="shared" si="3"/>
        <v>30.305297954162256</v>
      </c>
      <c r="Z32" s="557"/>
      <c r="AA32" s="283" t="s">
        <v>574</v>
      </c>
      <c r="AB32" s="231" t="s">
        <v>588</v>
      </c>
      <c r="AE32" s="286"/>
      <c r="AF32" s="279">
        <v>16.388063222458126</v>
      </c>
      <c r="AG32" s="280"/>
      <c r="AH32" s="282">
        <f>+AF32*1.05</f>
        <v>17.207466383581032</v>
      </c>
      <c r="AI32" s="275"/>
      <c r="AJ32" s="572">
        <f t="shared" si="4"/>
        <v>25.751863484393684</v>
      </c>
      <c r="AK32" s="575"/>
      <c r="AL32" s="573">
        <f t="shared" si="5"/>
        <v>29.679363302918361</v>
      </c>
      <c r="AM32" s="562"/>
    </row>
    <row r="33" spans="1:42" ht="15">
      <c r="A33" s="283" t="s">
        <v>574</v>
      </c>
      <c r="B33" s="231" t="s">
        <v>589</v>
      </c>
      <c r="E33" s="285">
        <v>55</v>
      </c>
      <c r="F33" s="279">
        <f>(1*45)*0.975</f>
        <v>43.875</v>
      </c>
      <c r="G33" s="280"/>
      <c r="H33" s="282">
        <f>(E33)*(0.37+0.2+0.15*4)</f>
        <v>64.349999999999994</v>
      </c>
      <c r="I33" s="275"/>
      <c r="J33" s="572">
        <f t="shared" si="0"/>
        <v>96.303103448275863</v>
      </c>
      <c r="K33" s="575"/>
      <c r="L33" s="573">
        <f t="shared" si="1"/>
        <v>110.99060058981998</v>
      </c>
      <c r="M33" s="557"/>
      <c r="N33" s="283" t="s">
        <v>574</v>
      </c>
      <c r="O33" s="231" t="s">
        <v>589</v>
      </c>
      <c r="P33" s="287"/>
      <c r="R33" s="286">
        <f>E33</f>
        <v>55</v>
      </c>
      <c r="S33" s="279">
        <f>(1*45)*0.975</f>
        <v>43.875</v>
      </c>
      <c r="T33" s="280"/>
      <c r="U33" s="282">
        <f>(R33)*(0.37+0.2+0.15*4)</f>
        <v>64.349999999999994</v>
      </c>
      <c r="V33" s="275"/>
      <c r="W33" s="572">
        <f t="shared" si="2"/>
        <v>96.303103448275863</v>
      </c>
      <c r="X33" s="575"/>
      <c r="Y33" s="573">
        <f t="shared" si="3"/>
        <v>110.99060058981998</v>
      </c>
      <c r="Z33" s="557"/>
      <c r="AA33" s="283" t="s">
        <v>574</v>
      </c>
      <c r="AB33" s="231" t="s">
        <v>589</v>
      </c>
      <c r="AE33" s="286">
        <f>R33</f>
        <v>55</v>
      </c>
      <c r="AF33" s="279">
        <f>(1*45)*1.08</f>
        <v>48.6</v>
      </c>
      <c r="AG33" s="280"/>
      <c r="AH33" s="282">
        <f>(AE33)*(0.345+0.15*5)</f>
        <v>60.225000000000001</v>
      </c>
      <c r="AI33" s="275"/>
      <c r="AJ33" s="572">
        <f t="shared" si="4"/>
        <v>90.1298275862069</v>
      </c>
      <c r="AK33" s="575"/>
      <c r="AL33" s="573">
        <f t="shared" si="5"/>
        <v>103.87581850072895</v>
      </c>
      <c r="AM33" s="562"/>
    </row>
    <row r="34" spans="1:42" ht="15">
      <c r="A34" s="283" t="s">
        <v>574</v>
      </c>
      <c r="B34" s="231" t="s">
        <v>590</v>
      </c>
      <c r="E34" s="284"/>
      <c r="F34" s="288">
        <f>11544.79/10000</f>
        <v>1.154479</v>
      </c>
      <c r="G34" s="289"/>
      <c r="H34" s="290">
        <f>+F34*1.1</f>
        <v>1.2699269000000002</v>
      </c>
      <c r="I34" s="291"/>
      <c r="J34" s="578">
        <f t="shared" si="0"/>
        <v>1.9005112917241385</v>
      </c>
      <c r="K34" s="576"/>
      <c r="L34" s="578">
        <f t="shared" si="1"/>
        <v>2.1903644030484584</v>
      </c>
      <c r="M34" s="1379"/>
      <c r="N34" s="283" t="s">
        <v>574</v>
      </c>
      <c r="O34" s="231" t="s">
        <v>590</v>
      </c>
      <c r="P34" s="287"/>
      <c r="R34" s="278"/>
      <c r="S34" s="288">
        <f>11544.79/10000</f>
        <v>1.154479</v>
      </c>
      <c r="T34" s="289"/>
      <c r="U34" s="290">
        <f>+S34*1.1</f>
        <v>1.2699269000000002</v>
      </c>
      <c r="V34" s="291"/>
      <c r="W34" s="578">
        <f t="shared" si="2"/>
        <v>1.9005112917241385</v>
      </c>
      <c r="X34" s="576"/>
      <c r="Y34" s="577">
        <f t="shared" si="3"/>
        <v>2.1903644030484584</v>
      </c>
      <c r="Z34" s="565"/>
      <c r="AA34" s="283" t="s">
        <v>574</v>
      </c>
      <c r="AB34" s="231" t="s">
        <v>590</v>
      </c>
      <c r="AE34" s="278"/>
      <c r="AF34" s="288">
        <f>11544.79/10000</f>
        <v>1.154479</v>
      </c>
      <c r="AG34" s="289"/>
      <c r="AH34" s="290">
        <f>+AF34*1.1</f>
        <v>1.2699269000000002</v>
      </c>
      <c r="AI34" s="291"/>
      <c r="AJ34" s="578">
        <f t="shared" si="4"/>
        <v>1.9005112917241385</v>
      </c>
      <c r="AK34" s="576"/>
      <c r="AL34" s="577">
        <f t="shared" si="5"/>
        <v>2.1903644030484584</v>
      </c>
      <c r="AM34" s="565"/>
    </row>
    <row r="35" spans="1:42">
      <c r="A35" s="283"/>
      <c r="B35" s="236" t="s">
        <v>591</v>
      </c>
      <c r="C35" s="236"/>
      <c r="D35" s="236"/>
      <c r="E35" s="292"/>
      <c r="F35" s="293">
        <f>SUM(F22:F34)</f>
        <v>722.77916475259872</v>
      </c>
      <c r="G35" s="294" t="s">
        <v>272</v>
      </c>
      <c r="H35" s="295">
        <f>SUM(H22:H34)</f>
        <v>832.54029694022847</v>
      </c>
      <c r="I35" s="296" t="s">
        <v>592</v>
      </c>
      <c r="J35" s="561">
        <f>SUM(J22:J34)</f>
        <v>1245.9396168002042</v>
      </c>
      <c r="K35" s="296" t="s">
        <v>592</v>
      </c>
      <c r="L35" s="360">
        <f>SUM(L22:L34)</f>
        <v>1436.868568591364</v>
      </c>
      <c r="M35" s="1377" t="s">
        <v>592</v>
      </c>
      <c r="N35" s="283"/>
      <c r="O35" s="236" t="s">
        <v>591</v>
      </c>
      <c r="P35" s="297"/>
      <c r="Q35" s="236"/>
      <c r="R35" s="292"/>
      <c r="S35" s="293">
        <f>SUM(S22:S34)</f>
        <v>722.77916475259872</v>
      </c>
      <c r="T35" s="294" t="s">
        <v>272</v>
      </c>
      <c r="U35" s="295">
        <f>SUM(U22:U34)</f>
        <v>832.54029694022847</v>
      </c>
      <c r="V35" s="296" t="s">
        <v>592</v>
      </c>
      <c r="W35" s="561">
        <f>SUM(W22:W34)</f>
        <v>1245.9396168002042</v>
      </c>
      <c r="X35" s="296" t="s">
        <v>592</v>
      </c>
      <c r="Y35" s="360">
        <f>SUM(Y22:Y34)</f>
        <v>1436.868568591364</v>
      </c>
      <c r="Z35" s="296" t="s">
        <v>592</v>
      </c>
      <c r="AA35" s="283"/>
      <c r="AB35" s="236" t="s">
        <v>591</v>
      </c>
      <c r="AC35" s="236"/>
      <c r="AD35" s="236"/>
      <c r="AE35" s="292"/>
      <c r="AF35" s="293">
        <f>SUM(AF22:AF34)</f>
        <v>690.91169606861206</v>
      </c>
      <c r="AG35" s="294" t="s">
        <v>272</v>
      </c>
      <c r="AH35" s="295">
        <f>SUM(AH22:AH34)</f>
        <v>769.502393283581</v>
      </c>
      <c r="AI35" s="296" t="s">
        <v>592</v>
      </c>
      <c r="AJ35" s="561">
        <f>SUM(AJ22:AJ34)</f>
        <v>1151.6001333968075</v>
      </c>
      <c r="AK35" s="296" t="s">
        <v>592</v>
      </c>
      <c r="AL35" s="360">
        <f>SUM(AL22:AL34)</f>
        <v>1328.1410660773854</v>
      </c>
      <c r="AM35" s="296" t="s">
        <v>592</v>
      </c>
      <c r="AN35" s="236"/>
      <c r="AO35" s="236"/>
      <c r="AP35" s="236"/>
    </row>
    <row r="36" spans="1:42">
      <c r="A36" s="277"/>
      <c r="E36" s="278"/>
      <c r="F36" s="293"/>
      <c r="G36" s="294"/>
      <c r="H36" s="295"/>
      <c r="I36" s="296"/>
      <c r="J36" s="559"/>
      <c r="K36" s="296"/>
      <c r="L36" s="544"/>
      <c r="M36" s="544"/>
      <c r="N36" s="277"/>
      <c r="P36" s="287"/>
      <c r="R36" s="278"/>
      <c r="S36" s="293"/>
      <c r="T36" s="294"/>
      <c r="U36" s="295"/>
      <c r="V36" s="296"/>
      <c r="W36" s="559"/>
      <c r="X36" s="296"/>
      <c r="Y36" s="544"/>
      <c r="Z36" s="544"/>
      <c r="AA36" s="277"/>
      <c r="AE36" s="278"/>
      <c r="AF36" s="293"/>
      <c r="AG36" s="294"/>
      <c r="AH36" s="295"/>
      <c r="AI36" s="296"/>
      <c r="AJ36" s="559"/>
      <c r="AK36" s="296"/>
      <c r="AL36" s="544"/>
      <c r="AM36" s="296"/>
    </row>
    <row r="37" spans="1:42">
      <c r="A37" s="277"/>
      <c r="E37" s="278"/>
      <c r="F37" s="293"/>
      <c r="G37" s="294"/>
      <c r="H37" s="295"/>
      <c r="I37" s="296"/>
      <c r="J37" s="559"/>
      <c r="K37" s="296"/>
      <c r="L37" s="544"/>
      <c r="M37" s="544"/>
      <c r="N37" s="277"/>
      <c r="P37" s="287"/>
      <c r="R37" s="278"/>
      <c r="S37" s="293"/>
      <c r="T37" s="294"/>
      <c r="U37" s="295"/>
      <c r="V37" s="296"/>
      <c r="W37" s="559"/>
      <c r="X37" s="296"/>
      <c r="Y37" s="544"/>
      <c r="Z37" s="544"/>
      <c r="AA37" s="277"/>
      <c r="AE37" s="278"/>
      <c r="AF37" s="293"/>
      <c r="AG37" s="294"/>
      <c r="AH37" s="295"/>
      <c r="AI37" s="296"/>
      <c r="AJ37" s="559"/>
      <c r="AK37" s="296"/>
      <c r="AL37" s="544"/>
      <c r="AM37" s="296"/>
    </row>
    <row r="38" spans="1:42">
      <c r="A38" s="277" t="s">
        <v>593</v>
      </c>
      <c r="E38" s="278"/>
      <c r="F38" s="279"/>
      <c r="G38" s="280"/>
      <c r="H38" s="282"/>
      <c r="I38" s="275"/>
      <c r="J38" s="438"/>
      <c r="K38" s="275"/>
      <c r="N38" s="277" t="s">
        <v>593</v>
      </c>
      <c r="P38" s="287"/>
      <c r="R38" s="278"/>
      <c r="S38" s="279"/>
      <c r="T38" s="280"/>
      <c r="U38" s="282"/>
      <c r="V38" s="275"/>
      <c r="W38" s="438"/>
      <c r="X38" s="275"/>
      <c r="AA38" s="277" t="s">
        <v>593</v>
      </c>
      <c r="AE38" s="278"/>
      <c r="AF38" s="279"/>
      <c r="AG38" s="280"/>
      <c r="AH38" s="282"/>
      <c r="AI38" s="275"/>
      <c r="AJ38" s="438"/>
      <c r="AK38" s="275"/>
      <c r="AM38" s="275"/>
    </row>
    <row r="39" spans="1:42" ht="15">
      <c r="A39" s="283" t="s">
        <v>574</v>
      </c>
      <c r="B39" s="231" t="s">
        <v>594</v>
      </c>
      <c r="C39" s="287"/>
      <c r="E39" s="278"/>
      <c r="F39" s="279">
        <f>+E44/E18</f>
        <v>251.67058823529416</v>
      </c>
      <c r="G39" s="298"/>
      <c r="H39" s="295">
        <f>+E44/E18</f>
        <v>251.67058823529416</v>
      </c>
      <c r="I39" s="275"/>
      <c r="J39" s="560">
        <f t="shared" ref="J39" si="7">(H39*(217/145-1))+H39</f>
        <v>376.6380527383368</v>
      </c>
      <c r="K39" s="275"/>
      <c r="L39" s="557">
        <f t="shared" ref="L39" si="8">(J39*($D$14/$D$13-1))+J39</f>
        <v>462.60340352296873</v>
      </c>
      <c r="N39" s="283" t="s">
        <v>574</v>
      </c>
      <c r="O39" s="231" t="s">
        <v>594</v>
      </c>
      <c r="P39" s="287"/>
      <c r="R39" s="278"/>
      <c r="S39" s="279">
        <f>+R44/R18</f>
        <v>298.9538461538462</v>
      </c>
      <c r="T39" s="298"/>
      <c r="U39" s="295">
        <f>+R44/R18</f>
        <v>298.9538461538462</v>
      </c>
      <c r="V39" s="275"/>
      <c r="W39" s="560">
        <f t="shared" ref="W39" si="9">(U39*(217/145-1))+U39</f>
        <v>447.39989389920436</v>
      </c>
      <c r="X39" s="275"/>
      <c r="Y39" s="557">
        <f t="shared" ref="Y39" si="10">(W39*($D$14/$D$13-1))+W39</f>
        <v>549.51620567498844</v>
      </c>
      <c r="AA39" s="283" t="s">
        <v>574</v>
      </c>
      <c r="AB39" s="231" t="s">
        <v>594</v>
      </c>
      <c r="AE39" s="278"/>
      <c r="AF39" s="279">
        <f>+AE44/AE18</f>
        <v>167.5</v>
      </c>
      <c r="AG39" s="298"/>
      <c r="AH39" s="295">
        <f>AE44/AE18</f>
        <v>167.5</v>
      </c>
      <c r="AI39" s="275"/>
      <c r="AJ39" s="560">
        <f t="shared" ref="AJ39" si="11">(AH39*(217/145-1))+AH39</f>
        <v>250.67241379310346</v>
      </c>
      <c r="AK39" s="275"/>
      <c r="AL39" s="557">
        <f t="shared" ref="AL39" si="12">(AJ39*($D$14/$D$13-1))+AJ39</f>
        <v>307.88687161828091</v>
      </c>
      <c r="AM39" s="275"/>
    </row>
    <row r="40" spans="1:42">
      <c r="A40" s="283" t="s">
        <v>574</v>
      </c>
      <c r="B40" s="231" t="s">
        <v>595</v>
      </c>
      <c r="C40" s="287">
        <f>D18*2+C18</f>
        <v>250</v>
      </c>
      <c r="D40" s="299">
        <f>5200*1.12</f>
        <v>5824.0000000000009</v>
      </c>
      <c r="E40" s="278">
        <f>+D40*C40</f>
        <v>1456000.0000000002</v>
      </c>
      <c r="F40" s="279"/>
      <c r="G40" s="298"/>
      <c r="H40" s="295"/>
      <c r="I40" s="275"/>
      <c r="J40" s="438"/>
      <c r="K40" s="275"/>
      <c r="N40" s="283" t="s">
        <v>574</v>
      </c>
      <c r="O40" s="231" t="s">
        <v>595</v>
      </c>
      <c r="P40" s="287">
        <f>Q18*2+P18</f>
        <v>225</v>
      </c>
      <c r="Q40" s="287">
        <f>5200*1.12</f>
        <v>5824.0000000000009</v>
      </c>
      <c r="R40" s="278">
        <f>+Q40*P40</f>
        <v>1310400.0000000002</v>
      </c>
      <c r="S40" s="279"/>
      <c r="T40" s="298"/>
      <c r="U40" s="295"/>
      <c r="V40" s="275"/>
      <c r="W40" s="438"/>
      <c r="X40" s="275"/>
      <c r="AA40" s="283" t="s">
        <v>574</v>
      </c>
      <c r="AB40" s="231" t="s">
        <v>595</v>
      </c>
      <c r="AC40" s="287">
        <f>AC18</f>
        <v>40</v>
      </c>
      <c r="AD40" s="287">
        <f>5200*1.12</f>
        <v>5824.0000000000009</v>
      </c>
      <c r="AE40" s="278">
        <f>+AD40*AC40</f>
        <v>232960.00000000003</v>
      </c>
      <c r="AF40" s="279"/>
      <c r="AG40" s="298"/>
      <c r="AH40" s="295"/>
      <c r="AI40" s="275"/>
      <c r="AJ40" s="438"/>
      <c r="AK40" s="275"/>
      <c r="AM40" s="275"/>
    </row>
    <row r="41" spans="1:42">
      <c r="A41" s="283" t="s">
        <v>574</v>
      </c>
      <c r="B41" s="231" t="s">
        <v>596</v>
      </c>
      <c r="C41" s="287">
        <f>D18</f>
        <v>85</v>
      </c>
      <c r="D41" s="299">
        <f>2000*1.12</f>
        <v>2240</v>
      </c>
      <c r="E41" s="300">
        <f>+D41*C41</f>
        <v>190400</v>
      </c>
      <c r="F41" s="279"/>
      <c r="G41" s="298"/>
      <c r="H41" s="295"/>
      <c r="I41" s="275"/>
      <c r="J41" s="438"/>
      <c r="K41" s="275"/>
      <c r="N41" s="283" t="s">
        <v>574</v>
      </c>
      <c r="O41" s="231" t="s">
        <v>596</v>
      </c>
      <c r="P41" s="287">
        <f>Q18</f>
        <v>80</v>
      </c>
      <c r="Q41" s="287">
        <f>2000*1.12</f>
        <v>2240</v>
      </c>
      <c r="R41" s="300">
        <f>+Q41*P41</f>
        <v>179200</v>
      </c>
      <c r="S41" s="279"/>
      <c r="T41" s="298"/>
      <c r="U41" s="295"/>
      <c r="V41" s="275"/>
      <c r="W41" s="438"/>
      <c r="X41" s="275"/>
      <c r="AA41" s="283" t="s">
        <v>574</v>
      </c>
      <c r="AB41" s="231" t="s">
        <v>596</v>
      </c>
      <c r="AC41" s="287">
        <f>AC18</f>
        <v>40</v>
      </c>
      <c r="AD41" s="287">
        <f>2000*1.12</f>
        <v>2240</v>
      </c>
      <c r="AE41" s="300">
        <f>+AD41*AC41</f>
        <v>89600</v>
      </c>
      <c r="AF41" s="279"/>
      <c r="AG41" s="298"/>
      <c r="AH41" s="295"/>
      <c r="AI41" s="275"/>
      <c r="AJ41" s="438"/>
      <c r="AK41" s="275"/>
      <c r="AM41" s="275"/>
    </row>
    <row r="42" spans="1:42">
      <c r="A42" s="283" t="s">
        <v>574</v>
      </c>
      <c r="B42" s="231" t="s">
        <v>597</v>
      </c>
      <c r="C42" s="287">
        <v>1</v>
      </c>
      <c r="D42" s="299">
        <f>25000*1.12</f>
        <v>28000.000000000004</v>
      </c>
      <c r="E42" s="300">
        <f>+D42*C42</f>
        <v>28000.000000000004</v>
      </c>
      <c r="F42" s="279"/>
      <c r="G42" s="280"/>
      <c r="H42" s="295"/>
      <c r="I42" s="275"/>
      <c r="J42" s="438"/>
      <c r="K42" s="275"/>
      <c r="N42" s="283" t="s">
        <v>574</v>
      </c>
      <c r="O42" s="231" t="s">
        <v>597</v>
      </c>
      <c r="P42" s="287">
        <v>1</v>
      </c>
      <c r="Q42" s="287">
        <f>25000*1.12</f>
        <v>28000.000000000004</v>
      </c>
      <c r="R42" s="300">
        <f>+Q42*P42</f>
        <v>28000.000000000004</v>
      </c>
      <c r="S42" s="279"/>
      <c r="T42" s="280"/>
      <c r="U42" s="295"/>
      <c r="V42" s="275"/>
      <c r="W42" s="438"/>
      <c r="X42" s="275"/>
      <c r="AA42" s="283" t="s">
        <v>574</v>
      </c>
      <c r="AB42" s="231" t="s">
        <v>597</v>
      </c>
      <c r="AC42" s="287">
        <v>1</v>
      </c>
      <c r="AD42" s="287">
        <f>25000*1.12</f>
        <v>28000.000000000004</v>
      </c>
      <c r="AE42" s="300">
        <f>+AD42*AC42</f>
        <v>28000.000000000004</v>
      </c>
      <c r="AF42" s="279"/>
      <c r="AG42" s="280"/>
      <c r="AH42" s="295"/>
      <c r="AI42" s="275"/>
      <c r="AJ42" s="438"/>
      <c r="AK42" s="275"/>
      <c r="AM42" s="275"/>
    </row>
    <row r="43" spans="1:42">
      <c r="A43" s="283" t="s">
        <v>574</v>
      </c>
      <c r="B43" s="231" t="s">
        <v>598</v>
      </c>
      <c r="C43" s="287">
        <v>3</v>
      </c>
      <c r="D43" s="299">
        <f>11000*1.12</f>
        <v>12320.000000000002</v>
      </c>
      <c r="E43" s="301">
        <f>+D43*C43</f>
        <v>36960.000000000007</v>
      </c>
      <c r="F43" s="279"/>
      <c r="G43" s="298"/>
      <c r="H43" s="295"/>
      <c r="I43" s="275"/>
      <c r="J43" s="438"/>
      <c r="K43" s="275"/>
      <c r="N43" s="283" t="s">
        <v>574</v>
      </c>
      <c r="O43" s="231" t="s">
        <v>598</v>
      </c>
      <c r="P43" s="287">
        <v>3</v>
      </c>
      <c r="Q43" s="287">
        <f>11000*1.12</f>
        <v>12320.000000000002</v>
      </c>
      <c r="R43" s="301">
        <f>+Q43*P43</f>
        <v>36960.000000000007</v>
      </c>
      <c r="S43" s="279"/>
      <c r="T43" s="298"/>
      <c r="U43" s="295"/>
      <c r="V43" s="275"/>
      <c r="W43" s="438"/>
      <c r="X43" s="275"/>
      <c r="AA43" s="283" t="s">
        <v>574</v>
      </c>
      <c r="AB43" s="231" t="s">
        <v>598</v>
      </c>
      <c r="AC43" s="287">
        <v>2</v>
      </c>
      <c r="AD43" s="287">
        <f>11000*1.12</f>
        <v>12320.000000000002</v>
      </c>
      <c r="AE43" s="301">
        <f>+AD43*AC43</f>
        <v>24640.000000000004</v>
      </c>
      <c r="AF43" s="279"/>
      <c r="AG43" s="298"/>
      <c r="AH43" s="295"/>
      <c r="AI43" s="275"/>
      <c r="AJ43" s="438"/>
      <c r="AK43" s="275"/>
      <c r="AM43" s="275"/>
    </row>
    <row r="44" spans="1:42">
      <c r="A44" s="277"/>
      <c r="C44" s="287"/>
      <c r="D44" s="287"/>
      <c r="E44" s="278">
        <f>SUM(E40:E43)</f>
        <v>1711360.0000000002</v>
      </c>
      <c r="F44" s="279"/>
      <c r="G44" s="298"/>
      <c r="H44" s="295"/>
      <c r="I44" s="275"/>
      <c r="J44" s="438"/>
      <c r="K44" s="275"/>
      <c r="N44" s="277"/>
      <c r="P44" s="287"/>
      <c r="Q44" s="287"/>
      <c r="R44" s="278">
        <f>SUM(R40:R43)</f>
        <v>1554560.0000000002</v>
      </c>
      <c r="S44" s="279"/>
      <c r="T44" s="298"/>
      <c r="U44" s="295"/>
      <c r="V44" s="275"/>
      <c r="W44" s="438"/>
      <c r="X44" s="275"/>
      <c r="AA44" s="277"/>
      <c r="AC44" s="287"/>
      <c r="AD44" s="287"/>
      <c r="AE44" s="278">
        <f>SUM(AE40:AE43)</f>
        <v>375200</v>
      </c>
      <c r="AF44" s="279"/>
      <c r="AG44" s="298"/>
      <c r="AH44" s="295"/>
      <c r="AI44" s="275"/>
      <c r="AJ44" s="438"/>
      <c r="AK44" s="275"/>
      <c r="AM44" s="275"/>
    </row>
    <row r="45" spans="1:42">
      <c r="A45" s="277"/>
      <c r="C45" s="287"/>
      <c r="D45" s="287"/>
      <c r="E45" s="278"/>
      <c r="F45" s="279"/>
      <c r="G45" s="298"/>
      <c r="H45" s="295"/>
      <c r="I45" s="275"/>
      <c r="J45" s="438"/>
      <c r="K45" s="275"/>
      <c r="N45" s="277"/>
      <c r="P45" s="287"/>
      <c r="Q45" s="287"/>
      <c r="R45" s="278"/>
      <c r="S45" s="279"/>
      <c r="T45" s="298"/>
      <c r="U45" s="295"/>
      <c r="V45" s="275"/>
      <c r="W45" s="438"/>
      <c r="X45" s="275"/>
      <c r="AA45" s="277"/>
      <c r="AC45" s="287"/>
      <c r="AD45" s="287"/>
      <c r="AE45" s="278"/>
      <c r="AF45" s="279"/>
      <c r="AG45" s="298"/>
      <c r="AH45" s="295"/>
      <c r="AI45" s="275"/>
      <c r="AJ45" s="438"/>
      <c r="AK45" s="275"/>
      <c r="AM45" s="275"/>
    </row>
    <row r="46" spans="1:42" ht="15">
      <c r="A46" s="277" t="s">
        <v>599</v>
      </c>
      <c r="C46" s="287"/>
      <c r="D46" s="287"/>
      <c r="E46" s="278"/>
      <c r="F46" s="279">
        <f>+E51/E18</f>
        <v>129.70588235294119</v>
      </c>
      <c r="G46" s="280"/>
      <c r="H46" s="295">
        <f>E51/E18</f>
        <v>129.70588235294119</v>
      </c>
      <c r="I46" s="275"/>
      <c r="J46" s="560">
        <f t="shared" ref="J46" si="13">(H46*(217/145-1))+H46</f>
        <v>194.11156186612578</v>
      </c>
      <c r="K46" s="275"/>
      <c r="L46" s="557">
        <f t="shared" ref="L46" si="14">(J46*($D$14/$D$13-1))+J46</f>
        <v>238.41634834707972</v>
      </c>
      <c r="N46" s="277" t="s">
        <v>599</v>
      </c>
      <c r="P46" s="287"/>
      <c r="Q46" s="287"/>
      <c r="R46" s="278"/>
      <c r="S46" s="279">
        <f>+R51/R18</f>
        <v>156.34230769230771</v>
      </c>
      <c r="T46" s="280"/>
      <c r="U46" s="295">
        <f>R51/R18</f>
        <v>156.34230769230771</v>
      </c>
      <c r="V46" s="275"/>
      <c r="W46" s="560">
        <f t="shared" ref="W46" si="15">(U46*(217/145-1))+U46</f>
        <v>233.97435013262606</v>
      </c>
      <c r="X46" s="275"/>
      <c r="Y46" s="557">
        <f t="shared" ref="Y46" si="16">(W46*($D$14/$D$13-1))+W46</f>
        <v>287.37757622070046</v>
      </c>
      <c r="AA46" s="277" t="s">
        <v>599</v>
      </c>
      <c r="AC46" s="287"/>
      <c r="AD46" s="287"/>
      <c r="AE46" s="278"/>
      <c r="AF46" s="279">
        <f>+AE51/AE18</f>
        <v>153.00000000000003</v>
      </c>
      <c r="AG46" s="280"/>
      <c r="AH46" s="295">
        <f>AE51/AE18</f>
        <v>153.00000000000003</v>
      </c>
      <c r="AI46" s="275"/>
      <c r="AJ46" s="560">
        <f t="shared" ref="AJ46" si="17">(AH46*(217/145-1))+AH46</f>
        <v>228.9724137931035</v>
      </c>
      <c r="AK46" s="275"/>
      <c r="AL46" s="557">
        <f t="shared" ref="AL46" si="18">(AJ46*($D$14/$D$13-1))+AJ46</f>
        <v>281.23397825431039</v>
      </c>
      <c r="AM46" s="275"/>
    </row>
    <row r="47" spans="1:42">
      <c r="A47" s="283" t="s">
        <v>574</v>
      </c>
      <c r="B47" s="231" t="s">
        <v>600</v>
      </c>
      <c r="C47" s="299">
        <f>D18+C18/4</f>
        <v>105</v>
      </c>
      <c r="D47" s="287">
        <f>100*12*1.12</f>
        <v>1344.0000000000002</v>
      </c>
      <c r="E47" s="278">
        <f>+D47*C47</f>
        <v>141120.00000000003</v>
      </c>
      <c r="F47" s="279"/>
      <c r="G47" s="280"/>
      <c r="H47" s="295"/>
      <c r="I47" s="275"/>
      <c r="J47" s="438"/>
      <c r="K47" s="275"/>
      <c r="N47" s="283" t="s">
        <v>574</v>
      </c>
      <c r="O47" s="231" t="s">
        <v>600</v>
      </c>
      <c r="P47" s="299">
        <f>Q18+P18/4</f>
        <v>96.25</v>
      </c>
      <c r="Q47" s="287">
        <f>100*12*1.12</f>
        <v>1344.0000000000002</v>
      </c>
      <c r="R47" s="278">
        <f>+Q47*P47</f>
        <v>129360.00000000003</v>
      </c>
      <c r="S47" s="279"/>
      <c r="T47" s="280"/>
      <c r="U47" s="295"/>
      <c r="V47" s="275"/>
      <c r="W47" s="438"/>
      <c r="X47" s="275"/>
      <c r="AA47" s="283" t="s">
        <v>574</v>
      </c>
      <c r="AB47" s="231" t="s">
        <v>600</v>
      </c>
      <c r="AC47" s="287">
        <f>AC18</f>
        <v>40</v>
      </c>
      <c r="AD47" s="287">
        <f>100*12*1.12</f>
        <v>1344.0000000000002</v>
      </c>
      <c r="AE47" s="278">
        <f>+AD47*AC47</f>
        <v>53760.000000000007</v>
      </c>
      <c r="AF47" s="279"/>
      <c r="AG47" s="280"/>
      <c r="AH47" s="295"/>
      <c r="AI47" s="275"/>
      <c r="AJ47" s="438"/>
      <c r="AK47" s="275"/>
      <c r="AM47" s="275"/>
    </row>
    <row r="48" spans="1:42">
      <c r="A48" s="283" t="s">
        <v>574</v>
      </c>
      <c r="B48" s="231" t="s">
        <v>601</v>
      </c>
      <c r="C48" s="287">
        <f>D18*3</f>
        <v>255</v>
      </c>
      <c r="D48" s="287">
        <f>200*1.12</f>
        <v>224.00000000000003</v>
      </c>
      <c r="E48" s="300">
        <f>+D48*C48</f>
        <v>57120.000000000007</v>
      </c>
      <c r="F48" s="279"/>
      <c r="G48" s="280"/>
      <c r="H48" s="295"/>
      <c r="I48" s="275"/>
      <c r="J48" s="438"/>
      <c r="K48" s="275"/>
      <c r="N48" s="283" t="s">
        <v>574</v>
      </c>
      <c r="O48" s="231" t="s">
        <v>601</v>
      </c>
      <c r="P48" s="287">
        <f>Q18*3</f>
        <v>240</v>
      </c>
      <c r="Q48" s="287">
        <f>200*1.12</f>
        <v>224.00000000000003</v>
      </c>
      <c r="R48" s="300">
        <f>+Q48*P48</f>
        <v>53760.000000000007</v>
      </c>
      <c r="S48" s="279"/>
      <c r="T48" s="280"/>
      <c r="U48" s="295"/>
      <c r="V48" s="275"/>
      <c r="W48" s="438"/>
      <c r="X48" s="275"/>
      <c r="AA48" s="283" t="s">
        <v>574</v>
      </c>
      <c r="AB48" s="231" t="s">
        <v>602</v>
      </c>
      <c r="AC48" s="287">
        <f>AC18*2</f>
        <v>80</v>
      </c>
      <c r="AD48" s="287">
        <f>200*1.12</f>
        <v>224.00000000000003</v>
      </c>
      <c r="AE48" s="300">
        <f>+AD48*AC48</f>
        <v>17920.000000000004</v>
      </c>
      <c r="AF48" s="279"/>
      <c r="AG48" s="280"/>
      <c r="AH48" s="295"/>
      <c r="AI48" s="275"/>
      <c r="AJ48" s="438"/>
      <c r="AK48" s="275"/>
      <c r="AM48" s="275"/>
    </row>
    <row r="49" spans="1:39">
      <c r="A49" s="283" t="s">
        <v>574</v>
      </c>
      <c r="B49" s="231" t="s">
        <v>603</v>
      </c>
      <c r="C49" s="287">
        <f>+C47</f>
        <v>105</v>
      </c>
      <c r="D49" s="287">
        <f>5500*1.12</f>
        <v>6160.0000000000009</v>
      </c>
      <c r="E49" s="300">
        <f>+D49*C49</f>
        <v>646800.00000000012</v>
      </c>
      <c r="F49" s="279"/>
      <c r="G49" s="280"/>
      <c r="H49" s="295"/>
      <c r="I49" s="275"/>
      <c r="J49" s="438"/>
      <c r="K49" s="275"/>
      <c r="N49" s="283" t="s">
        <v>574</v>
      </c>
      <c r="O49" s="231" t="s">
        <v>603</v>
      </c>
      <c r="P49" s="287">
        <f>+P47</f>
        <v>96.25</v>
      </c>
      <c r="Q49" s="287">
        <f>5500*1.12</f>
        <v>6160.0000000000009</v>
      </c>
      <c r="R49" s="300">
        <f>+Q49*P49</f>
        <v>592900.00000000012</v>
      </c>
      <c r="S49" s="279"/>
      <c r="T49" s="280"/>
      <c r="U49" s="295"/>
      <c r="V49" s="275"/>
      <c r="W49" s="438"/>
      <c r="X49" s="275"/>
      <c r="AA49" s="283" t="s">
        <v>574</v>
      </c>
      <c r="AB49" s="231" t="s">
        <v>603</v>
      </c>
      <c r="AC49" s="287">
        <f>+AC47</f>
        <v>40</v>
      </c>
      <c r="AD49" s="287">
        <f>5500*1.12</f>
        <v>6160.0000000000009</v>
      </c>
      <c r="AE49" s="300">
        <f>+AD49*AC49</f>
        <v>246400.00000000003</v>
      </c>
      <c r="AF49" s="279"/>
      <c r="AG49" s="280"/>
      <c r="AH49" s="295"/>
      <c r="AI49" s="275"/>
      <c r="AJ49" s="438"/>
      <c r="AK49" s="275"/>
      <c r="AM49" s="275"/>
    </row>
    <row r="50" spans="1:39">
      <c r="A50" s="283" t="s">
        <v>574</v>
      </c>
      <c r="B50" s="231" t="s">
        <v>604</v>
      </c>
      <c r="C50" s="287">
        <v>3</v>
      </c>
      <c r="D50" s="287">
        <f>11000*1.12</f>
        <v>12320.000000000002</v>
      </c>
      <c r="E50" s="301">
        <f>+D50*C50</f>
        <v>36960.000000000007</v>
      </c>
      <c r="F50" s="279"/>
      <c r="G50" s="280"/>
      <c r="H50" s="295"/>
      <c r="I50" s="275"/>
      <c r="J50" s="438"/>
      <c r="K50" s="275"/>
      <c r="N50" s="283" t="s">
        <v>574</v>
      </c>
      <c r="O50" s="231" t="s">
        <v>604</v>
      </c>
      <c r="P50" s="287">
        <v>3</v>
      </c>
      <c r="Q50" s="287">
        <f>11000*1.12</f>
        <v>12320.000000000002</v>
      </c>
      <c r="R50" s="301">
        <f>+Q50*P50</f>
        <v>36960.000000000007</v>
      </c>
      <c r="S50" s="279"/>
      <c r="T50" s="280"/>
      <c r="U50" s="295"/>
      <c r="V50" s="275"/>
      <c r="W50" s="438"/>
      <c r="X50" s="275"/>
      <c r="AA50" s="283" t="s">
        <v>574</v>
      </c>
      <c r="AB50" s="231" t="s">
        <v>604</v>
      </c>
      <c r="AC50" s="287">
        <v>2</v>
      </c>
      <c r="AD50" s="287">
        <f>11000*1.12</f>
        <v>12320.000000000002</v>
      </c>
      <c r="AE50" s="301">
        <f>+AD50*AC50</f>
        <v>24640.000000000004</v>
      </c>
      <c r="AF50" s="279"/>
      <c r="AG50" s="280"/>
      <c r="AH50" s="295"/>
      <c r="AI50" s="275"/>
      <c r="AJ50" s="438"/>
      <c r="AK50" s="275"/>
      <c r="AM50" s="275"/>
    </row>
    <row r="51" spans="1:39">
      <c r="A51" s="277"/>
      <c r="C51" s="287"/>
      <c r="D51" s="287"/>
      <c r="E51" s="278">
        <f>SUM(E47:E50)</f>
        <v>882000.00000000012</v>
      </c>
      <c r="F51" s="279"/>
      <c r="G51" s="280"/>
      <c r="H51" s="295"/>
      <c r="I51" s="275"/>
      <c r="J51" s="438"/>
      <c r="K51" s="275"/>
      <c r="N51" s="277"/>
      <c r="P51" s="287"/>
      <c r="Q51" s="287"/>
      <c r="R51" s="278">
        <f>SUM(R47:R50)</f>
        <v>812980.00000000012</v>
      </c>
      <c r="S51" s="279"/>
      <c r="T51" s="280"/>
      <c r="U51" s="295"/>
      <c r="V51" s="275"/>
      <c r="W51" s="438"/>
      <c r="X51" s="275"/>
      <c r="AA51" s="277"/>
      <c r="AC51" s="287"/>
      <c r="AD51" s="287"/>
      <c r="AE51" s="278">
        <f>SUM(AE47:AE50)</f>
        <v>342720.00000000006</v>
      </c>
      <c r="AF51" s="279"/>
      <c r="AG51" s="280"/>
      <c r="AH51" s="295"/>
      <c r="AI51" s="275"/>
      <c r="AJ51" s="438"/>
      <c r="AK51" s="275"/>
      <c r="AM51" s="275"/>
    </row>
    <row r="52" spans="1:39">
      <c r="A52" s="277"/>
      <c r="C52" s="287"/>
      <c r="D52" s="287"/>
      <c r="E52" s="278"/>
      <c r="F52" s="279"/>
      <c r="G52" s="280"/>
      <c r="H52" s="295"/>
      <c r="I52" s="275"/>
      <c r="J52" s="438"/>
      <c r="K52" s="275"/>
      <c r="N52" s="277"/>
      <c r="P52" s="287"/>
      <c r="Q52" s="287"/>
      <c r="R52" s="278"/>
      <c r="S52" s="279"/>
      <c r="T52" s="280"/>
      <c r="U52" s="295"/>
      <c r="V52" s="275"/>
      <c r="W52" s="438"/>
      <c r="X52" s="275"/>
      <c r="AA52" s="277"/>
      <c r="AC52" s="287"/>
      <c r="AD52" s="287"/>
      <c r="AE52" s="278"/>
      <c r="AF52" s="279"/>
      <c r="AG52" s="280"/>
      <c r="AH52" s="295"/>
      <c r="AI52" s="275"/>
      <c r="AJ52" s="438"/>
      <c r="AK52" s="275"/>
      <c r="AM52" s="275"/>
    </row>
    <row r="53" spans="1:39" ht="15">
      <c r="A53" s="277" t="s">
        <v>605</v>
      </c>
      <c r="C53" s="287"/>
      <c r="D53" s="287"/>
      <c r="E53" s="278"/>
      <c r="F53" s="279">
        <f>+E58/E18</f>
        <v>50.605661764705886</v>
      </c>
      <c r="G53" s="280"/>
      <c r="H53" s="295">
        <f>E58/E18</f>
        <v>50.605661764705886</v>
      </c>
      <c r="I53" s="275"/>
      <c r="J53" s="560">
        <f t="shared" ref="J53" si="19">(H53*(217/145-1))+H53</f>
        <v>75.733990365111566</v>
      </c>
      <c r="K53" s="275"/>
      <c r="L53" s="557">
        <f t="shared" ref="L53" si="20">(J53*($D$14/$D$13-1))+J53</f>
        <v>93.019814250197896</v>
      </c>
      <c r="N53" s="277" t="s">
        <v>605</v>
      </c>
      <c r="P53" s="287"/>
      <c r="Q53" s="287"/>
      <c r="R53" s="278"/>
      <c r="S53" s="279">
        <f>+R58/R18</f>
        <v>56.437019230769231</v>
      </c>
      <c r="T53" s="280"/>
      <c r="U53" s="295">
        <f>R58/R18</f>
        <v>56.437019230769231</v>
      </c>
      <c r="V53" s="275"/>
      <c r="W53" s="560">
        <f t="shared" ref="W53" si="21">(U53*(217/145-1))+U53</f>
        <v>84.460918435013269</v>
      </c>
      <c r="X53" s="275"/>
      <c r="Y53" s="557">
        <f t="shared" ref="Y53" si="22">(W53*($D$14/$D$13-1))+W53</f>
        <v>103.73861071296895</v>
      </c>
      <c r="AA53" s="277" t="s">
        <v>605</v>
      </c>
      <c r="AC53" s="287"/>
      <c r="AD53" s="287"/>
      <c r="AE53" s="278"/>
      <c r="AF53" s="279">
        <f>+AE58/AE18</f>
        <v>79.82916772959183</v>
      </c>
      <c r="AG53" s="280"/>
      <c r="AH53" s="295">
        <f>AE58/AE18</f>
        <v>79.82916772959183</v>
      </c>
      <c r="AI53" s="275"/>
      <c r="AJ53" s="560">
        <f t="shared" ref="AJ53" si="23">(AH53*(217/145-1))+AH53</f>
        <v>119.46847860221675</v>
      </c>
      <c r="AK53" s="275"/>
      <c r="AL53" s="557">
        <f t="shared" ref="AL53" si="24">(AJ53*($D$14/$D$13-1))+AJ53</f>
        <v>146.73643412629883</v>
      </c>
      <c r="AM53" s="275"/>
    </row>
    <row r="54" spans="1:39">
      <c r="A54" s="283" t="s">
        <v>574</v>
      </c>
      <c r="B54" s="231" t="s">
        <v>606</v>
      </c>
      <c r="C54" s="287">
        <f>D18+10</f>
        <v>95</v>
      </c>
      <c r="D54" s="287">
        <f>(113+1760+20)*1.1</f>
        <v>2082.3000000000002</v>
      </c>
      <c r="E54" s="278">
        <f>+D54*C54</f>
        <v>197818.50000000003</v>
      </c>
      <c r="F54" s="279"/>
      <c r="G54" s="280"/>
      <c r="H54" s="295"/>
      <c r="I54" s="275"/>
      <c r="J54" s="438"/>
      <c r="K54" s="275"/>
      <c r="N54" s="283" t="s">
        <v>574</v>
      </c>
      <c r="O54" s="231" t="s">
        <v>606</v>
      </c>
      <c r="P54" s="287">
        <f>65+10</f>
        <v>75</v>
      </c>
      <c r="Q54" s="287">
        <f>(113+1760+20)*1.1</f>
        <v>2082.3000000000002</v>
      </c>
      <c r="R54" s="278">
        <f>+Q54*P54</f>
        <v>156172.5</v>
      </c>
      <c r="S54" s="279"/>
      <c r="T54" s="280"/>
      <c r="U54" s="295"/>
      <c r="V54" s="275"/>
      <c r="W54" s="438"/>
      <c r="X54" s="275"/>
      <c r="AA54" s="283" t="s">
        <v>574</v>
      </c>
      <c r="AB54" s="231" t="s">
        <v>606</v>
      </c>
      <c r="AC54" s="287">
        <f>43.5+10</f>
        <v>53.5</v>
      </c>
      <c r="AD54" s="287">
        <f>(113+1760+20)*1.1</f>
        <v>2082.3000000000002</v>
      </c>
      <c r="AE54" s="278">
        <f>+AD54*AC54</f>
        <v>111403.05</v>
      </c>
      <c r="AF54" s="279"/>
      <c r="AG54" s="280"/>
      <c r="AH54" s="295"/>
      <c r="AI54" s="275"/>
      <c r="AJ54" s="438"/>
      <c r="AK54" s="275"/>
      <c r="AM54" s="275"/>
    </row>
    <row r="55" spans="1:39">
      <c r="A55" s="283" t="s">
        <v>574</v>
      </c>
      <c r="B55" s="231" t="s">
        <v>607</v>
      </c>
      <c r="C55" s="287" t="s">
        <v>608</v>
      </c>
      <c r="D55" s="287">
        <f>40000*1.1</f>
        <v>44000</v>
      </c>
      <c r="E55" s="300">
        <f>+D55</f>
        <v>44000</v>
      </c>
      <c r="F55" s="279"/>
      <c r="G55" s="280"/>
      <c r="H55" s="295"/>
      <c r="I55" s="275"/>
      <c r="J55" s="438"/>
      <c r="K55" s="275"/>
      <c r="N55" s="283" t="s">
        <v>574</v>
      </c>
      <c r="O55" s="231" t="s">
        <v>607</v>
      </c>
      <c r="P55" s="287" t="s">
        <v>608</v>
      </c>
      <c r="Q55" s="287">
        <v>35000</v>
      </c>
      <c r="R55" s="300">
        <f>+Q55</f>
        <v>35000</v>
      </c>
      <c r="S55" s="279"/>
      <c r="T55" s="280"/>
      <c r="U55" s="295"/>
      <c r="V55" s="275"/>
      <c r="W55" s="438"/>
      <c r="X55" s="275"/>
      <c r="AA55" s="283" t="s">
        <v>574</v>
      </c>
      <c r="AB55" s="231" t="s">
        <v>607</v>
      </c>
      <c r="AC55" s="287" t="s">
        <v>608</v>
      </c>
      <c r="AD55" s="287">
        <f>20000*1.1</f>
        <v>22000</v>
      </c>
      <c r="AE55" s="300">
        <f>+AD55</f>
        <v>22000</v>
      </c>
      <c r="AF55" s="279"/>
      <c r="AG55" s="280"/>
      <c r="AH55" s="295"/>
      <c r="AI55" s="275"/>
      <c r="AJ55" s="438"/>
      <c r="AK55" s="275"/>
      <c r="AM55" s="275"/>
    </row>
    <row r="56" spans="1:39">
      <c r="A56" s="283" t="s">
        <v>574</v>
      </c>
      <c r="B56" s="231" t="s">
        <v>609</v>
      </c>
      <c r="C56" s="287">
        <v>1</v>
      </c>
      <c r="D56" s="287">
        <f>(70500+2500)*1.1</f>
        <v>80300</v>
      </c>
      <c r="E56" s="300">
        <f>+D56*C56</f>
        <v>80300</v>
      </c>
      <c r="F56" s="279"/>
      <c r="G56" s="280"/>
      <c r="H56" s="295"/>
      <c r="I56" s="275"/>
      <c r="J56" s="438"/>
      <c r="K56" s="275"/>
      <c r="N56" s="283" t="s">
        <v>574</v>
      </c>
      <c r="O56" s="231" t="s">
        <v>609</v>
      </c>
      <c r="P56" s="287">
        <v>1</v>
      </c>
      <c r="Q56" s="287">
        <f>(70500+2500)*1.1</f>
        <v>80300</v>
      </c>
      <c r="R56" s="300">
        <f>+Q56*P56</f>
        <v>80300</v>
      </c>
      <c r="S56" s="279"/>
      <c r="T56" s="280"/>
      <c r="U56" s="295"/>
      <c r="V56" s="275"/>
      <c r="W56" s="438"/>
      <c r="X56" s="275"/>
      <c r="AA56" s="283" t="s">
        <v>574</v>
      </c>
      <c r="AB56" s="231" t="s">
        <v>610</v>
      </c>
      <c r="AC56" s="302">
        <f>3/7</f>
        <v>0.42857142857142855</v>
      </c>
      <c r="AD56" s="287">
        <f>(70500+2500)*1.1</f>
        <v>80300</v>
      </c>
      <c r="AE56" s="300">
        <f>+AD56*AC56</f>
        <v>34414.28571428571</v>
      </c>
      <c r="AF56" s="279"/>
      <c r="AG56" s="280"/>
      <c r="AH56" s="295"/>
      <c r="AI56" s="275"/>
      <c r="AJ56" s="438"/>
      <c r="AK56" s="275"/>
      <c r="AM56" s="275"/>
    </row>
    <row r="57" spans="1:39">
      <c r="A57" s="283" t="s">
        <v>574</v>
      </c>
      <c r="B57" s="231" t="s">
        <v>611</v>
      </c>
      <c r="C57" s="287" t="s">
        <v>608</v>
      </c>
      <c r="D57" s="287"/>
      <c r="E57" s="301">
        <f>20000*1.1</f>
        <v>22000</v>
      </c>
      <c r="F57" s="279"/>
      <c r="G57" s="280"/>
      <c r="H57" s="295"/>
      <c r="I57" s="275"/>
      <c r="J57" s="438"/>
      <c r="K57" s="275"/>
      <c r="N57" s="283" t="s">
        <v>574</v>
      </c>
      <c r="O57" s="231" t="s">
        <v>611</v>
      </c>
      <c r="P57" s="287" t="s">
        <v>608</v>
      </c>
      <c r="Q57" s="287"/>
      <c r="R57" s="301">
        <f>20000*1.1</f>
        <v>22000</v>
      </c>
      <c r="S57" s="279"/>
      <c r="T57" s="280"/>
      <c r="U57" s="295"/>
      <c r="V57" s="275"/>
      <c r="W57" s="438"/>
      <c r="X57" s="275"/>
      <c r="AA57" s="283" t="s">
        <v>574</v>
      </c>
      <c r="AB57" s="231" t="s">
        <v>611</v>
      </c>
      <c r="AC57" s="287" t="s">
        <v>608</v>
      </c>
      <c r="AD57" s="287"/>
      <c r="AE57" s="301">
        <f>10000*1.1</f>
        <v>11000</v>
      </c>
      <c r="AF57" s="279"/>
      <c r="AG57" s="280"/>
      <c r="AH57" s="295"/>
      <c r="AI57" s="275"/>
      <c r="AJ57" s="438"/>
      <c r="AK57" s="275"/>
      <c r="AM57" s="275"/>
    </row>
    <row r="58" spans="1:39">
      <c r="A58" s="277"/>
      <c r="C58" s="287"/>
      <c r="D58" s="287"/>
      <c r="E58" s="278">
        <f>SUM(E54:E57)</f>
        <v>344118.5</v>
      </c>
      <c r="F58" s="279"/>
      <c r="G58" s="280"/>
      <c r="H58" s="295"/>
      <c r="I58" s="275"/>
      <c r="J58" s="438"/>
      <c r="K58" s="275"/>
      <c r="N58" s="277"/>
      <c r="Q58" s="287"/>
      <c r="R58" s="278">
        <f>SUM(R54:R57)</f>
        <v>293472.5</v>
      </c>
      <c r="S58" s="279"/>
      <c r="T58" s="280"/>
      <c r="U58" s="295"/>
      <c r="V58" s="275"/>
      <c r="W58" s="438"/>
      <c r="X58" s="275"/>
      <c r="AA58" s="277"/>
      <c r="AD58" s="287"/>
      <c r="AE58" s="278">
        <f>SUM(AE54:AE57)</f>
        <v>178817.3357142857</v>
      </c>
      <c r="AF58" s="279"/>
      <c r="AG58" s="280"/>
      <c r="AH58" s="295"/>
      <c r="AI58" s="275"/>
      <c r="AJ58" s="438"/>
      <c r="AK58" s="275"/>
      <c r="AM58" s="275"/>
    </row>
    <row r="59" spans="1:39" ht="13.9" hidden="1" customHeight="1">
      <c r="A59" s="277" t="s">
        <v>612</v>
      </c>
      <c r="C59" s="287"/>
      <c r="D59" s="287"/>
      <c r="E59" s="278"/>
      <c r="F59" s="279">
        <f>+E61/E18</f>
        <v>0</v>
      </c>
      <c r="G59" s="280"/>
      <c r="H59" s="295">
        <f>+F59*1.1</f>
        <v>0</v>
      </c>
      <c r="I59" s="275"/>
      <c r="J59" s="438"/>
      <c r="K59" s="275"/>
      <c r="N59" s="277" t="s">
        <v>612</v>
      </c>
      <c r="Q59" s="287"/>
      <c r="R59" s="278"/>
      <c r="S59" s="279">
        <f>+R61/R18</f>
        <v>0</v>
      </c>
      <c r="T59" s="280"/>
      <c r="U59" s="295">
        <f>+S59*1.1</f>
        <v>0</v>
      </c>
      <c r="V59" s="275"/>
      <c r="W59" s="438"/>
      <c r="X59" s="275"/>
      <c r="AA59" s="277" t="s">
        <v>612</v>
      </c>
      <c r="AD59" s="287"/>
      <c r="AE59" s="278"/>
      <c r="AF59" s="279">
        <f>+AE61/AE18</f>
        <v>0</v>
      </c>
      <c r="AG59" s="280"/>
      <c r="AH59" s="295">
        <f>+AF59*1.1</f>
        <v>0</v>
      </c>
      <c r="AI59" s="275"/>
      <c r="AJ59" s="438"/>
      <c r="AK59" s="275"/>
      <c r="AM59" s="275"/>
    </row>
    <row r="60" spans="1:39" ht="13.9" hidden="1" customHeight="1">
      <c r="A60" s="277"/>
      <c r="B60" s="231" t="s">
        <v>613</v>
      </c>
      <c r="C60" s="287">
        <f>83.75*0</f>
        <v>0</v>
      </c>
      <c r="D60" s="287">
        <v>2178</v>
      </c>
      <c r="E60" s="278">
        <f>+D60*C60</f>
        <v>0</v>
      </c>
      <c r="F60" s="279"/>
      <c r="G60" s="280"/>
      <c r="H60" s="295"/>
      <c r="I60" s="275"/>
      <c r="J60" s="438"/>
      <c r="K60" s="275"/>
      <c r="N60" s="277"/>
      <c r="O60" s="231" t="s">
        <v>613</v>
      </c>
      <c r="P60" s="231">
        <f>83.75*0</f>
        <v>0</v>
      </c>
      <c r="Q60" s="287">
        <v>2178</v>
      </c>
      <c r="R60" s="278">
        <f>+Q60*P60</f>
        <v>0</v>
      </c>
      <c r="S60" s="279"/>
      <c r="T60" s="280"/>
      <c r="U60" s="295"/>
      <c r="V60" s="275"/>
      <c r="W60" s="438"/>
      <c r="X60" s="275"/>
      <c r="AA60" s="277"/>
      <c r="AB60" s="231" t="s">
        <v>614</v>
      </c>
      <c r="AC60" s="231">
        <v>0</v>
      </c>
      <c r="AD60" s="287">
        <v>2178</v>
      </c>
      <c r="AE60" s="278">
        <f>+AD60*AC60</f>
        <v>0</v>
      </c>
      <c r="AF60" s="279"/>
      <c r="AG60" s="280"/>
      <c r="AH60" s="295"/>
      <c r="AI60" s="275"/>
      <c r="AJ60" s="438"/>
      <c r="AK60" s="275"/>
      <c r="AM60" s="275"/>
    </row>
    <row r="61" spans="1:39" ht="13.9" hidden="1" customHeight="1">
      <c r="A61" s="277"/>
      <c r="C61" s="287"/>
      <c r="D61" s="287"/>
      <c r="E61" s="278">
        <f>SUM(E60:E60)</f>
        <v>0</v>
      </c>
      <c r="F61" s="279"/>
      <c r="G61" s="280"/>
      <c r="H61" s="295"/>
      <c r="I61" s="275"/>
      <c r="J61" s="438"/>
      <c r="K61" s="275"/>
      <c r="N61" s="277"/>
      <c r="Q61" s="287"/>
      <c r="R61" s="278">
        <f>SUM(R60:R60)</f>
        <v>0</v>
      </c>
      <c r="S61" s="279"/>
      <c r="T61" s="280"/>
      <c r="U61" s="295"/>
      <c r="V61" s="275"/>
      <c r="W61" s="438"/>
      <c r="X61" s="275"/>
      <c r="AA61" s="277"/>
      <c r="AD61" s="287"/>
      <c r="AE61" s="278">
        <f>SUM(AE60:AE60)</f>
        <v>0</v>
      </c>
      <c r="AF61" s="279"/>
      <c r="AG61" s="280"/>
      <c r="AH61" s="295"/>
      <c r="AI61" s="275"/>
      <c r="AJ61" s="438"/>
      <c r="AK61" s="275"/>
      <c r="AM61" s="275"/>
    </row>
    <row r="62" spans="1:39">
      <c r="A62" s="277"/>
      <c r="C62" s="287"/>
      <c r="D62" s="287"/>
      <c r="E62" s="278"/>
      <c r="F62" s="279"/>
      <c r="G62" s="280"/>
      <c r="H62" s="295"/>
      <c r="I62" s="275"/>
      <c r="J62" s="438"/>
      <c r="K62" s="275"/>
      <c r="N62" s="277"/>
      <c r="Q62" s="287"/>
      <c r="R62" s="278"/>
      <c r="S62" s="279"/>
      <c r="T62" s="280"/>
      <c r="U62" s="295"/>
      <c r="V62" s="275"/>
      <c r="W62" s="438"/>
      <c r="X62" s="275"/>
      <c r="AA62" s="277"/>
      <c r="AD62" s="287"/>
      <c r="AE62" s="278"/>
      <c r="AF62" s="279"/>
      <c r="AG62" s="280"/>
      <c r="AH62" s="295"/>
      <c r="AI62" s="275"/>
      <c r="AJ62" s="438"/>
      <c r="AK62" s="275"/>
      <c r="AM62" s="275"/>
    </row>
    <row r="63" spans="1:39" ht="15">
      <c r="A63" s="277" t="s">
        <v>615</v>
      </c>
      <c r="C63" s="287"/>
      <c r="D63" s="287"/>
      <c r="E63" s="278"/>
      <c r="F63" s="279">
        <f>+E67/E18</f>
        <v>143.57637026143792</v>
      </c>
      <c r="G63" s="280"/>
      <c r="H63" s="295">
        <f>E67/E18</f>
        <v>143.57637026143792</v>
      </c>
      <c r="I63" s="275"/>
      <c r="J63" s="560">
        <f t="shared" ref="J63" si="25">(H63*(217/145-1))+H63</f>
        <v>214.86946446022091</v>
      </c>
      <c r="K63" s="275"/>
      <c r="L63" s="557">
        <f t="shared" ref="L63" si="26">(J63*($D$14/$D$13-1))+J63</f>
        <v>263.91211628717679</v>
      </c>
      <c r="N63" s="277" t="s">
        <v>615</v>
      </c>
      <c r="Q63" s="287"/>
      <c r="R63" s="278"/>
      <c r="S63" s="279">
        <f>+R67/R18</f>
        <v>152.06017649572652</v>
      </c>
      <c r="T63" s="280"/>
      <c r="U63" s="295">
        <f>R67/R18</f>
        <v>152.06017649572652</v>
      </c>
      <c r="V63" s="275"/>
      <c r="W63" s="560">
        <f t="shared" ref="W63" si="27">(U63*(217/145-1))+U63</f>
        <v>227.56591930739762</v>
      </c>
      <c r="X63" s="275"/>
      <c r="Y63" s="557">
        <f t="shared" ref="Y63" si="28">(W63*($D$14/$D$13-1))+W63</f>
        <v>279.50645993428589</v>
      </c>
      <c r="AA63" s="277" t="s">
        <v>615</v>
      </c>
      <c r="AD63" s="287"/>
      <c r="AE63" s="278"/>
      <c r="AF63" s="279">
        <f>+AE67/AE18</f>
        <v>274.83318750000007</v>
      </c>
      <c r="AG63" s="280"/>
      <c r="AH63" s="295">
        <f>AE67/AE18</f>
        <v>274.83318750000007</v>
      </c>
      <c r="AI63" s="275"/>
      <c r="AJ63" s="560">
        <f t="shared" ref="AJ63" si="29">(AH63*(217/145-1))+AH63</f>
        <v>411.30208060344842</v>
      </c>
      <c r="AK63" s="275"/>
      <c r="AL63" s="557">
        <f t="shared" ref="AL63" si="30">(AJ63*($D$14/$D$13-1))+AJ63</f>
        <v>505.17928547018187</v>
      </c>
      <c r="AM63" s="275"/>
    </row>
    <row r="64" spans="1:39">
      <c r="A64" s="283" t="s">
        <v>574</v>
      </c>
      <c r="B64" s="231" t="s">
        <v>616</v>
      </c>
      <c r="C64" s="287" t="s">
        <v>608</v>
      </c>
      <c r="D64" s="287"/>
      <c r="E64" s="278">
        <f>(141781+45540+4000+12355+4000+5500+1000+7588*2+1000*2+17090+1000+36200+6500+3*28000+3*11000+3*3000)*1.08*1.12</f>
        <v>505784.56320000009</v>
      </c>
      <c r="F64" s="279"/>
      <c r="G64" s="280"/>
      <c r="H64" s="295"/>
      <c r="I64" s="275"/>
      <c r="J64" s="438"/>
      <c r="K64" s="275"/>
      <c r="N64" s="283" t="s">
        <v>574</v>
      </c>
      <c r="O64" s="231" t="s">
        <v>617</v>
      </c>
      <c r="P64" s="287" t="s">
        <v>608</v>
      </c>
      <c r="Q64" s="287"/>
      <c r="R64" s="278">
        <f>(141781+45540+4000+12355+4000+5500+1000+7588*2+1000*2+17090+1000+36200+6500+1*28000+1*11000+1*3000)*1.08*1.12</f>
        <v>404178.16320000007</v>
      </c>
      <c r="S64" s="279"/>
      <c r="T64" s="280"/>
      <c r="U64" s="295"/>
      <c r="V64" s="275"/>
      <c r="W64" s="438"/>
      <c r="X64" s="275"/>
      <c r="AA64" s="283" t="s">
        <v>574</v>
      </c>
      <c r="AB64" s="231" t="s">
        <v>618</v>
      </c>
      <c r="AC64" s="287" t="s">
        <v>608</v>
      </c>
      <c r="AD64" s="287"/>
      <c r="AE64" s="278">
        <f>(86222+26600+4000+11404+4000+5500+1000+5563*2+1000*2+17090+1000+35200+6500+1*28000+1*11000+1*3000)*1.08*1.12</f>
        <v>306805.36320000008</v>
      </c>
      <c r="AF64" s="279"/>
      <c r="AG64" s="280"/>
      <c r="AH64" s="295"/>
      <c r="AI64" s="275"/>
      <c r="AJ64" s="438"/>
      <c r="AK64" s="275"/>
      <c r="AM64" s="275"/>
    </row>
    <row r="65" spans="1:39">
      <c r="A65" s="283" t="s">
        <v>574</v>
      </c>
      <c r="B65" s="231" t="s">
        <v>619</v>
      </c>
      <c r="C65" s="287" t="s">
        <v>608</v>
      </c>
      <c r="D65" s="287"/>
      <c r="E65" s="303">
        <f>(4010+3400+(4416700+342679-324855-4404160+63201+14137+98868+114576+63386+108253+12146+12260+7922+18810+3465+17655+20460+8085+9735+5885+5940+6820))/16*1.08*1.12</f>
        <v>47580.976800000004</v>
      </c>
      <c r="F65" s="279"/>
      <c r="G65" s="280"/>
      <c r="H65" s="295"/>
      <c r="I65" s="275"/>
      <c r="J65" s="438"/>
      <c r="K65" s="275"/>
      <c r="N65" s="283" t="s">
        <v>574</v>
      </c>
      <c r="O65" s="231" t="s">
        <v>619</v>
      </c>
      <c r="P65" s="287" t="s">
        <v>608</v>
      </c>
      <c r="Q65" s="287"/>
      <c r="R65" s="300">
        <f>(4010+3400+(4416700+342679-324855-4404160+63201+14137+98868+114576+63386+108253+12146+12260+7922+18810+3465+17655+20460+8085+9735+5885+5940+6820))/16*1.08*1.12</f>
        <v>47580.976800000004</v>
      </c>
      <c r="S65" s="279"/>
      <c r="T65" s="280"/>
      <c r="U65" s="295"/>
      <c r="V65" s="275"/>
      <c r="W65" s="438"/>
      <c r="X65" s="275"/>
      <c r="AA65" s="283" t="s">
        <v>574</v>
      </c>
      <c r="AB65" s="231" t="s">
        <v>619</v>
      </c>
      <c r="AC65" s="287" t="s">
        <v>608</v>
      </c>
      <c r="AD65" s="287"/>
      <c r="AE65" s="300">
        <f>(4010+3400+(4416700+342679-324855-4404160+63201+14137+98868+114576+63386+108253+12146+12260+7922+18810+3465+17655+20460+8085+9735+5885+5940+6820))/16*1.08*1.12</f>
        <v>47580.976800000004</v>
      </c>
      <c r="AF65" s="279"/>
      <c r="AG65" s="280"/>
      <c r="AH65" s="295"/>
      <c r="AI65" s="275"/>
      <c r="AJ65" s="438"/>
      <c r="AK65" s="275"/>
      <c r="AM65" s="275"/>
    </row>
    <row r="66" spans="1:39" ht="29.25" customHeight="1">
      <c r="A66" s="304" t="s">
        <v>574</v>
      </c>
      <c r="B66" s="305" t="s">
        <v>620</v>
      </c>
      <c r="C66" s="287" t="s">
        <v>608</v>
      </c>
      <c r="D66" s="287"/>
      <c r="E66" s="306">
        <f>+((195700/9+(338625+5000+6500+3000)/3.5+1500*85*2))*1.12</f>
        <v>422953.77777777781</v>
      </c>
      <c r="F66" s="279"/>
      <c r="G66" s="280"/>
      <c r="H66" s="295"/>
      <c r="I66" s="275"/>
      <c r="J66" s="438"/>
      <c r="K66" s="275"/>
      <c r="N66" s="304" t="s">
        <v>574</v>
      </c>
      <c r="O66" s="305" t="s">
        <v>620</v>
      </c>
      <c r="P66" s="287" t="s">
        <v>608</v>
      </c>
      <c r="Q66" s="287"/>
      <c r="R66" s="301">
        <f>+((195700/9+(338625+5000+6500+3000)/3.5+1500*60*2))*1.12</f>
        <v>338953.77777777781</v>
      </c>
      <c r="S66" s="279"/>
      <c r="T66" s="280"/>
      <c r="U66" s="295"/>
      <c r="V66" s="275"/>
      <c r="W66" s="438"/>
      <c r="X66" s="275"/>
      <c r="AA66" s="304" t="s">
        <v>574</v>
      </c>
      <c r="AB66" s="305" t="s">
        <v>620</v>
      </c>
      <c r="AC66" s="287" t="s">
        <v>608</v>
      </c>
      <c r="AD66" s="287"/>
      <c r="AE66" s="301">
        <f>+(195700/7+(338625+5000+6500+3000)/3.5+43.5*2*1200)*1.12</f>
        <v>261240.00000000003</v>
      </c>
      <c r="AF66" s="279"/>
      <c r="AG66" s="280"/>
      <c r="AH66" s="295"/>
      <c r="AI66" s="275"/>
      <c r="AJ66" s="438"/>
      <c r="AK66" s="275"/>
      <c r="AM66" s="275"/>
    </row>
    <row r="67" spans="1:39">
      <c r="A67" s="277"/>
      <c r="C67" s="287"/>
      <c r="D67" s="287"/>
      <c r="E67" s="278">
        <f>SUM(E64:E66)</f>
        <v>976319.31777777779</v>
      </c>
      <c r="F67" s="279"/>
      <c r="G67" s="280"/>
      <c r="H67" s="295"/>
      <c r="I67" s="275"/>
      <c r="J67" s="438"/>
      <c r="K67" s="275"/>
      <c r="N67" s="277"/>
      <c r="Q67" s="287"/>
      <c r="R67" s="278">
        <f>SUM(R64:R66)</f>
        <v>790712.91777777788</v>
      </c>
      <c r="S67" s="279"/>
      <c r="T67" s="280"/>
      <c r="U67" s="295"/>
      <c r="V67" s="275"/>
      <c r="W67" s="438"/>
      <c r="X67" s="275"/>
      <c r="AA67" s="277"/>
      <c r="AD67" s="287"/>
      <c r="AE67" s="278">
        <f>SUM(AE64:AE66)</f>
        <v>615626.34000000008</v>
      </c>
      <c r="AF67" s="279"/>
      <c r="AG67" s="280"/>
      <c r="AH67" s="295"/>
      <c r="AI67" s="275"/>
      <c r="AJ67" s="438"/>
      <c r="AK67" s="275"/>
      <c r="AM67" s="275"/>
    </row>
    <row r="68" spans="1:39">
      <c r="A68" s="277"/>
      <c r="C68" s="287"/>
      <c r="D68" s="287"/>
      <c r="E68" s="278"/>
      <c r="F68" s="279"/>
      <c r="G68" s="280"/>
      <c r="H68" s="295"/>
      <c r="I68" s="275"/>
      <c r="J68" s="438"/>
      <c r="K68" s="275"/>
      <c r="N68" s="277"/>
      <c r="Q68" s="287"/>
      <c r="R68" s="278"/>
      <c r="S68" s="279"/>
      <c r="T68" s="280"/>
      <c r="U68" s="295"/>
      <c r="V68" s="275"/>
      <c r="W68" s="438"/>
      <c r="X68" s="275"/>
      <c r="AA68" s="277"/>
      <c r="AD68" s="287"/>
      <c r="AE68" s="278"/>
      <c r="AF68" s="279"/>
      <c r="AG68" s="280"/>
      <c r="AH68" s="295"/>
      <c r="AI68" s="275"/>
      <c r="AJ68" s="438"/>
      <c r="AK68" s="275"/>
      <c r="AM68" s="275"/>
    </row>
    <row r="69" spans="1:39" ht="15">
      <c r="A69" s="277" t="s">
        <v>621</v>
      </c>
      <c r="C69" s="287"/>
      <c r="D69" s="287"/>
      <c r="E69" s="278"/>
      <c r="F69" s="279">
        <f>+E72/E18</f>
        <v>366.13995441176479</v>
      </c>
      <c r="G69" s="280"/>
      <c r="H69" s="295">
        <f>E72/E18</f>
        <v>366.13995441176479</v>
      </c>
      <c r="I69" s="275"/>
      <c r="J69" s="560">
        <f t="shared" ref="J69" si="31">(H69*(217/145-1))+H69</f>
        <v>547.94738005071008</v>
      </c>
      <c r="K69" s="275"/>
      <c r="L69" s="557">
        <f t="shared" ref="L69" si="32">(J69*($D$14/$D$13-1))+J69</f>
        <v>673.01304560178062</v>
      </c>
      <c r="N69" s="277" t="s">
        <v>622</v>
      </c>
      <c r="Q69" s="287"/>
      <c r="R69" s="278"/>
      <c r="S69" s="279">
        <f>+R72/R18</f>
        <v>341.97311923076921</v>
      </c>
      <c r="T69" s="280"/>
      <c r="U69" s="295">
        <f>R72/R18</f>
        <v>341.97311923076921</v>
      </c>
      <c r="V69" s="275"/>
      <c r="W69" s="560">
        <f t="shared" ref="W69" si="33">(U69*(217/145-1))+U69</f>
        <v>511.78046119363398</v>
      </c>
      <c r="X69" s="275"/>
      <c r="Y69" s="557">
        <f t="shared" ref="Y69" si="34">(W69*($D$14/$D$13-1))+W69</f>
        <v>628.59124691048908</v>
      </c>
      <c r="AA69" s="277" t="s">
        <v>622</v>
      </c>
      <c r="AD69" s="287"/>
      <c r="AE69" s="278"/>
      <c r="AF69" s="279">
        <f>+AE72/AE18</f>
        <v>640.81255357142857</v>
      </c>
      <c r="AG69" s="280"/>
      <c r="AH69" s="295">
        <f>AE72/AE18</f>
        <v>640.81255357142857</v>
      </c>
      <c r="AI69" s="275"/>
      <c r="AJ69" s="560">
        <f t="shared" ref="AJ69" si="35">(AH69*(217/145-1))+AH69</f>
        <v>959.00913189655171</v>
      </c>
      <c r="AK69" s="275"/>
      <c r="AL69" s="557">
        <f t="shared" ref="AL69" si="36">(AJ69*($D$14/$D$13-1))+AJ69</f>
        <v>1177.8971487333085</v>
      </c>
      <c r="AM69" s="275"/>
    </row>
    <row r="70" spans="1:39" ht="51">
      <c r="A70" s="304" t="s">
        <v>574</v>
      </c>
      <c r="B70" s="307" t="s">
        <v>623</v>
      </c>
      <c r="C70" s="287" t="s">
        <v>608</v>
      </c>
      <c r="D70" s="287"/>
      <c r="E70" s="278">
        <v>2236042.4300000002</v>
      </c>
      <c r="F70" s="279"/>
      <c r="G70" s="280"/>
      <c r="H70" s="295"/>
      <c r="I70" s="275"/>
      <c r="J70" s="438"/>
      <c r="K70" s="275"/>
      <c r="N70" s="304" t="s">
        <v>574</v>
      </c>
      <c r="O70" s="307" t="s">
        <v>624</v>
      </c>
      <c r="P70" s="287" t="s">
        <v>608</v>
      </c>
      <c r="Q70" s="287"/>
      <c r="R70" s="278">
        <v>1584247.26</v>
      </c>
      <c r="S70" s="279"/>
      <c r="T70" s="280"/>
      <c r="U70" s="295"/>
      <c r="V70" s="275"/>
      <c r="W70" s="438"/>
      <c r="X70" s="275"/>
      <c r="AA70" s="304" t="s">
        <v>574</v>
      </c>
      <c r="AB70" s="307" t="s">
        <v>624</v>
      </c>
      <c r="AC70" s="287" t="s">
        <v>608</v>
      </c>
      <c r="AD70" s="287"/>
      <c r="AE70" s="278">
        <v>1315902.6599999999</v>
      </c>
      <c r="AF70" s="279"/>
      <c r="AG70" s="280"/>
      <c r="AH70" s="295"/>
      <c r="AI70" s="275"/>
      <c r="AJ70" s="438"/>
      <c r="AK70" s="275"/>
      <c r="AM70" s="275"/>
    </row>
    <row r="71" spans="1:39">
      <c r="A71" s="283" t="s">
        <v>574</v>
      </c>
      <c r="B71" s="231" t="s">
        <v>625</v>
      </c>
      <c r="C71" s="287" t="s">
        <v>608</v>
      </c>
      <c r="D71" s="287"/>
      <c r="E71" s="301">
        <v>253709.26</v>
      </c>
      <c r="F71" s="279"/>
      <c r="G71" s="280"/>
      <c r="H71" s="295"/>
      <c r="I71" s="275"/>
      <c r="J71" s="438"/>
      <c r="K71" s="275"/>
      <c r="N71" s="283" t="s">
        <v>574</v>
      </c>
      <c r="O71" s="231" t="s">
        <v>625</v>
      </c>
      <c r="P71" s="287" t="s">
        <v>608</v>
      </c>
      <c r="Q71" s="287"/>
      <c r="R71" s="301">
        <v>194012.96</v>
      </c>
      <c r="S71" s="279"/>
      <c r="T71" s="280"/>
      <c r="U71" s="295"/>
      <c r="V71" s="275"/>
      <c r="W71" s="438"/>
      <c r="X71" s="275"/>
      <c r="AA71" s="283" t="s">
        <v>574</v>
      </c>
      <c r="AB71" s="231" t="s">
        <v>625</v>
      </c>
      <c r="AC71" s="287" t="s">
        <v>608</v>
      </c>
      <c r="AD71" s="287"/>
      <c r="AE71" s="301">
        <v>119517.46</v>
      </c>
      <c r="AF71" s="279"/>
      <c r="AG71" s="280"/>
      <c r="AH71" s="295"/>
      <c r="AI71" s="275"/>
      <c r="AJ71" s="438"/>
      <c r="AK71" s="275"/>
      <c r="AM71" s="275"/>
    </row>
    <row r="72" spans="1:39">
      <c r="A72" s="277"/>
      <c r="D72" s="287"/>
      <c r="E72" s="278">
        <f>SUM(E70:E71)</f>
        <v>2489751.6900000004</v>
      </c>
      <c r="F72" s="279"/>
      <c r="G72" s="280"/>
      <c r="H72" s="295"/>
      <c r="I72" s="275"/>
      <c r="J72" s="438"/>
      <c r="K72" s="275"/>
      <c r="N72" s="277"/>
      <c r="Q72" s="287"/>
      <c r="R72" s="278">
        <f>SUM(R70:R71)</f>
        <v>1778260.22</v>
      </c>
      <c r="S72" s="279"/>
      <c r="T72" s="280"/>
      <c r="U72" s="295"/>
      <c r="V72" s="275"/>
      <c r="W72" s="438"/>
      <c r="X72" s="275"/>
      <c r="AA72" s="277"/>
      <c r="AD72" s="287"/>
      <c r="AE72" s="278">
        <f>SUM(AE70:AE71)</f>
        <v>1435420.1199999999</v>
      </c>
      <c r="AF72" s="279"/>
      <c r="AG72" s="280"/>
      <c r="AH72" s="295"/>
      <c r="AI72" s="275"/>
      <c r="AJ72" s="438"/>
      <c r="AK72" s="275"/>
      <c r="AM72" s="275"/>
    </row>
    <row r="73" spans="1:39">
      <c r="A73" s="277"/>
      <c r="D73" s="287"/>
      <c r="E73" s="278"/>
      <c r="F73" s="279"/>
      <c r="G73" s="280"/>
      <c r="H73" s="282"/>
      <c r="I73" s="275"/>
      <c r="J73" s="438"/>
      <c r="K73" s="275"/>
      <c r="N73" s="277"/>
      <c r="Q73" s="287"/>
      <c r="R73" s="278"/>
      <c r="S73" s="279"/>
      <c r="T73" s="280"/>
      <c r="U73" s="295"/>
      <c r="V73" s="275"/>
      <c r="W73" s="438"/>
      <c r="X73" s="275"/>
      <c r="AA73" s="277"/>
      <c r="AD73" s="287"/>
      <c r="AE73" s="278"/>
      <c r="AF73" s="279"/>
      <c r="AG73" s="280"/>
      <c r="AH73" s="282"/>
      <c r="AI73" s="275"/>
      <c r="AJ73" s="438"/>
      <c r="AK73" s="275"/>
      <c r="AM73" s="275"/>
    </row>
    <row r="74" spans="1:39">
      <c r="A74" s="308"/>
      <c r="B74" s="248"/>
      <c r="C74" s="248"/>
      <c r="D74" s="309"/>
      <c r="E74" s="249"/>
      <c r="F74" s="310"/>
      <c r="G74" s="311"/>
      <c r="H74" s="312"/>
      <c r="I74" s="252"/>
      <c r="J74" s="247"/>
      <c r="K74" s="252"/>
      <c r="L74" s="248"/>
      <c r="M74" s="248"/>
      <c r="N74" s="308"/>
      <c r="O74" s="248"/>
      <c r="P74" s="248"/>
      <c r="Q74" s="309"/>
      <c r="R74" s="249"/>
      <c r="S74" s="310"/>
      <c r="T74" s="311"/>
      <c r="U74" s="312"/>
      <c r="V74" s="252"/>
      <c r="W74" s="247"/>
      <c r="X74" s="252"/>
      <c r="Y74" s="248"/>
      <c r="Z74" s="248"/>
      <c r="AA74" s="308"/>
      <c r="AB74" s="248"/>
      <c r="AC74" s="248"/>
      <c r="AD74" s="309"/>
      <c r="AE74" s="249"/>
      <c r="AF74" s="310"/>
      <c r="AG74" s="311"/>
      <c r="AH74" s="312"/>
      <c r="AI74" s="252"/>
      <c r="AJ74" s="247"/>
      <c r="AK74" s="252"/>
      <c r="AL74" s="248"/>
      <c r="AM74" s="252"/>
    </row>
    <row r="75" spans="1:39" s="321" customFormat="1" ht="18.75">
      <c r="A75" s="313"/>
      <c r="B75" s="314" t="s">
        <v>438</v>
      </c>
      <c r="C75" s="314"/>
      <c r="D75" s="315"/>
      <c r="E75" s="316"/>
      <c r="F75" s="317">
        <f>SUM(F35:F74)</f>
        <v>1664.4776217787428</v>
      </c>
      <c r="G75" s="318" t="s">
        <v>272</v>
      </c>
      <c r="H75" s="319">
        <f>ROUND(SUM(H35:H74),-1)</f>
        <v>1770</v>
      </c>
      <c r="I75" s="320" t="s">
        <v>592</v>
      </c>
      <c r="J75" s="319">
        <f>ROUND(SUM(J35:J74),-1)</f>
        <v>2660</v>
      </c>
      <c r="K75" s="320" t="s">
        <v>592</v>
      </c>
      <c r="L75" s="319">
        <f>ROUND(SUM(L35:L74),-1)</f>
        <v>3170</v>
      </c>
      <c r="M75" s="1378" t="s">
        <v>592</v>
      </c>
      <c r="N75" s="313"/>
      <c r="O75" s="314" t="s">
        <v>438</v>
      </c>
      <c r="P75" s="314"/>
      <c r="Q75" s="315"/>
      <c r="R75" s="316"/>
      <c r="S75" s="317">
        <f>SUM(S35:S74)</f>
        <v>1728.5456335560177</v>
      </c>
      <c r="T75" s="318" t="s">
        <v>272</v>
      </c>
      <c r="U75" s="319">
        <f>ROUND(SUM(U35:U74),-1)</f>
        <v>1840</v>
      </c>
      <c r="V75" s="320" t="s">
        <v>592</v>
      </c>
      <c r="W75" s="319">
        <f>ROUND(SUM(W35:W74),-1)</f>
        <v>2750</v>
      </c>
      <c r="X75" s="320" t="s">
        <v>592</v>
      </c>
      <c r="Y75" s="319">
        <f>ROUND(SUM(Y35:Y74),-1)</f>
        <v>3290</v>
      </c>
      <c r="Z75" s="320" t="s">
        <v>592</v>
      </c>
      <c r="AA75" s="313"/>
      <c r="AB75" s="314" t="s">
        <v>438</v>
      </c>
      <c r="AC75" s="314"/>
      <c r="AD75" s="315"/>
      <c r="AE75" s="316"/>
      <c r="AF75" s="317">
        <f>SUM(AF35:AF74)</f>
        <v>2006.8866048696327</v>
      </c>
      <c r="AG75" s="318" t="s">
        <v>272</v>
      </c>
      <c r="AH75" s="319">
        <f>ROUND(SUM(AH35:AH74),-1)</f>
        <v>2090</v>
      </c>
      <c r="AI75" s="320" t="s">
        <v>592</v>
      </c>
      <c r="AJ75" s="319">
        <f>ROUND(SUM(AJ35:AJ74),-1)</f>
        <v>3120</v>
      </c>
      <c r="AK75" s="320" t="s">
        <v>592</v>
      </c>
      <c r="AL75" s="319">
        <f>ROUND(SUM(AL35:AL74),-1)</f>
        <v>3750</v>
      </c>
      <c r="AM75" s="320" t="s">
        <v>592</v>
      </c>
    </row>
    <row r="76" spans="1:39">
      <c r="A76" s="322"/>
      <c r="B76" s="262"/>
      <c r="C76" s="262"/>
      <c r="D76" s="323"/>
      <c r="E76" s="324"/>
      <c r="F76" s="265"/>
      <c r="G76" s="266"/>
      <c r="H76" s="267"/>
      <c r="I76" s="268"/>
      <c r="J76" s="457"/>
      <c r="K76" s="268"/>
      <c r="L76" s="262"/>
      <c r="M76" s="262"/>
      <c r="N76" s="322"/>
      <c r="O76" s="262"/>
      <c r="P76" s="262"/>
      <c r="Q76" s="323"/>
      <c r="R76" s="324"/>
      <c r="S76" s="265"/>
      <c r="T76" s="266"/>
      <c r="U76" s="267"/>
      <c r="V76" s="268"/>
      <c r="W76" s="457"/>
      <c r="X76" s="268"/>
      <c r="Y76" s="262"/>
      <c r="Z76" s="262"/>
      <c r="AA76" s="322"/>
      <c r="AB76" s="262"/>
      <c r="AC76" s="262"/>
      <c r="AD76" s="323"/>
      <c r="AE76" s="324"/>
      <c r="AF76" s="265"/>
      <c r="AG76" s="266"/>
      <c r="AH76" s="325"/>
      <c r="AI76" s="268"/>
      <c r="AJ76" s="457"/>
      <c r="AK76" s="268"/>
      <c r="AL76" s="262"/>
      <c r="AM76" s="268"/>
    </row>
    <row r="77" spans="1:39">
      <c r="A77" s="236"/>
      <c r="D77" s="287"/>
      <c r="J77" s="564"/>
      <c r="K77" s="563"/>
      <c r="L77" s="330"/>
      <c r="M77" s="563"/>
      <c r="N77" s="236"/>
      <c r="Q77" s="287"/>
      <c r="AA77" s="236"/>
      <c r="AH77" s="330"/>
    </row>
    <row r="78" spans="1:39" hidden="1">
      <c r="A78" s="236"/>
      <c r="B78" s="231" t="s">
        <v>626</v>
      </c>
      <c r="D78" s="287"/>
      <c r="F78" s="330"/>
      <c r="N78" s="236"/>
      <c r="Q78" s="287"/>
      <c r="AA78" s="236"/>
      <c r="AH78" s="330"/>
    </row>
    <row r="79" spans="1:39">
      <c r="A79" s="236"/>
      <c r="D79" s="287"/>
      <c r="F79" s="330"/>
      <c r="N79" s="236"/>
      <c r="Q79" s="287"/>
      <c r="AA79" s="236"/>
      <c r="AH79" s="330"/>
      <c r="AM79" s="231" t="s">
        <v>40</v>
      </c>
    </row>
    <row r="80" spans="1:39">
      <c r="A80" s="236"/>
      <c r="D80" s="287"/>
      <c r="F80" s="330"/>
      <c r="N80" s="236"/>
      <c r="Q80" s="287"/>
      <c r="AA80" s="236"/>
      <c r="AH80" s="330"/>
      <c r="AL80" s="231" t="s">
        <v>64</v>
      </c>
    </row>
    <row r="81" spans="1:34">
      <c r="A81" s="236"/>
      <c r="D81" s="287"/>
      <c r="N81" s="236"/>
      <c r="Q81" s="287"/>
      <c r="AA81" s="236"/>
      <c r="AH81" s="330"/>
    </row>
    <row r="82" spans="1:34" hidden="1" outlineLevel="1">
      <c r="A82" s="236"/>
      <c r="B82" s="231" t="s">
        <v>627</v>
      </c>
      <c r="D82" s="287"/>
      <c r="N82" s="236"/>
      <c r="Q82" s="287"/>
      <c r="AA82" s="236"/>
      <c r="AH82" s="330"/>
    </row>
    <row r="83" spans="1:34" hidden="1" outlineLevel="1">
      <c r="A83" s="236"/>
      <c r="B83" s="231" t="s">
        <v>628</v>
      </c>
      <c r="E83" s="231"/>
      <c r="F83" s="331"/>
      <c r="N83" s="236"/>
      <c r="Q83" s="287"/>
      <c r="AA83" s="236"/>
      <c r="AH83" s="330"/>
    </row>
    <row r="84" spans="1:34" hidden="1" outlineLevel="1">
      <c r="A84" s="236"/>
      <c r="B84" s="231" t="s">
        <v>629</v>
      </c>
      <c r="D84" s="332">
        <v>3000</v>
      </c>
      <c r="F84" s="333" t="s">
        <v>301</v>
      </c>
      <c r="N84" s="236"/>
      <c r="AA84" s="236"/>
      <c r="AH84" s="330"/>
    </row>
    <row r="85" spans="1:34" hidden="1" outlineLevel="1">
      <c r="A85" s="236"/>
      <c r="B85" s="231" t="s">
        <v>630</v>
      </c>
      <c r="D85" s="332">
        <v>1400</v>
      </c>
      <c r="F85" s="333" t="s">
        <v>301</v>
      </c>
      <c r="N85" s="236"/>
      <c r="AA85" s="236"/>
      <c r="AH85" s="330"/>
    </row>
    <row r="86" spans="1:34" hidden="1" outlineLevel="1">
      <c r="D86" s="332">
        <v>400</v>
      </c>
      <c r="F86" s="333" t="s">
        <v>301</v>
      </c>
      <c r="N86" s="236"/>
      <c r="AA86" s="236"/>
      <c r="AH86" s="330"/>
    </row>
    <row r="87" spans="1:34" collapsed="1">
      <c r="N87" s="236"/>
      <c r="AA87" s="236"/>
      <c r="AH87" s="330"/>
    </row>
    <row r="88" spans="1:34">
      <c r="N88" s="236"/>
      <c r="AA88" s="236"/>
      <c r="AH88" s="330"/>
    </row>
    <row r="89" spans="1:34">
      <c r="N89" s="236"/>
      <c r="AA89" s="236"/>
      <c r="AH89" s="330"/>
    </row>
    <row r="90" spans="1:34">
      <c r="AH90" s="330"/>
    </row>
    <row r="91" spans="1:34">
      <c r="AH91" s="330"/>
    </row>
  </sheetData>
  <sheetProtection algorithmName="SHA-512" hashValue="jUMr7GsclCjIGH8OD9MNxk7SNTNw2P5ofBwLXc5F40qnoQLmiLgzREINWsr4nF+sx4AIPWnSDe0Cl8wSOHEg5A==" saltValue="WhAf+fQdFSV4bU9iPtDkkg==" spinCount="100000" sheet="1" objects="1" scenarios="1"/>
  <mergeCells count="22">
    <mergeCell ref="A3:AI3"/>
    <mergeCell ref="A5:AI5"/>
    <mergeCell ref="A7:AI7"/>
    <mergeCell ref="A11:AI11"/>
    <mergeCell ref="A17:B17"/>
    <mergeCell ref="N17:O17"/>
    <mergeCell ref="AA17:AB17"/>
    <mergeCell ref="B12:D12"/>
    <mergeCell ref="E13:N14"/>
    <mergeCell ref="AH16:AM17"/>
    <mergeCell ref="H16:M17"/>
    <mergeCell ref="U16:Z17"/>
    <mergeCell ref="A18:B18"/>
    <mergeCell ref="H18:I18"/>
    <mergeCell ref="U18:V18"/>
    <mergeCell ref="AJ18:AK18"/>
    <mergeCell ref="AL18:AM18"/>
    <mergeCell ref="J18:K18"/>
    <mergeCell ref="L18:M18"/>
    <mergeCell ref="W18:X18"/>
    <mergeCell ref="Y18:Z18"/>
    <mergeCell ref="AH18:AI18"/>
  </mergeCells>
  <printOptions horizontalCentered="1" verticalCentered="1"/>
  <pageMargins left="0.15748031496062992" right="0.15748031496062992" top="0.23622047244094491" bottom="0.43307086614173229" header="0.19685039370078741" footer="0.15748031496062992"/>
  <pageSetup paperSize="8" scale="72" firstPageNumber="3"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7">
    <tabColor theme="9" tint="-0.249977111117893"/>
    <pageSetUpPr fitToPage="1"/>
  </sheetPr>
  <dimension ref="A1:BA85"/>
  <sheetViews>
    <sheetView topLeftCell="A13" zoomScale="80" zoomScaleNormal="80" workbookViewId="0">
      <selection activeCell="Q37" sqref="Q37"/>
    </sheetView>
  </sheetViews>
  <sheetFormatPr defaultColWidth="9.140625" defaultRowHeight="12.75" outlineLevelCol="1"/>
  <cols>
    <col min="1" max="1" width="6.28515625" style="231" customWidth="1"/>
    <col min="2" max="2" width="27.140625" style="231" customWidth="1"/>
    <col min="3" max="3" width="8.42578125" style="231" customWidth="1"/>
    <col min="4" max="4" width="10.85546875" style="231" customWidth="1"/>
    <col min="5" max="5" width="10.140625" style="361" bestFit="1" customWidth="1"/>
    <col min="6" max="6" width="18" style="327" hidden="1" customWidth="1" outlineLevel="1"/>
    <col min="7" max="7" width="5.85546875" style="328" hidden="1" customWidth="1" outlineLevel="1"/>
    <col min="8" max="8" width="7.7109375" style="330" hidden="1" customWidth="1" collapsed="1"/>
    <col min="9" max="9" width="6.140625" style="231" hidden="1" customWidth="1"/>
    <col min="10" max="11" width="11" style="231" hidden="1" customWidth="1"/>
    <col min="12" max="12" width="5.42578125" style="231" hidden="1" customWidth="1"/>
    <col min="13" max="13" width="11" style="231" customWidth="1"/>
    <col min="14" max="14" width="5.5703125" style="231" customWidth="1"/>
    <col min="15" max="15" width="7.42578125" style="231" customWidth="1"/>
    <col min="16" max="16" width="18.28515625" style="231" customWidth="1"/>
    <col min="17" max="17" width="9.140625" style="231"/>
    <col min="18" max="18" width="13.140625" style="231" customWidth="1"/>
    <col min="19" max="19" width="10.140625" style="231" bestFit="1" customWidth="1"/>
    <col min="20" max="21" width="9.140625" style="231" hidden="1" customWidth="1" outlineLevel="1"/>
    <col min="22" max="22" width="7.7109375" style="330" hidden="1" customWidth="1" collapsed="1"/>
    <col min="23" max="23" width="6" style="231" hidden="1" customWidth="1"/>
    <col min="24" max="24" width="9.7109375" style="231" hidden="1" customWidth="1"/>
    <col min="25" max="25" width="5.140625" style="231" hidden="1" customWidth="1"/>
    <col min="26" max="26" width="11.7109375" style="231" customWidth="1"/>
    <col min="27" max="27" width="5.42578125" style="231" customWidth="1"/>
    <col min="28" max="28" width="9.140625" style="231"/>
    <col min="29" max="29" width="24.7109375" style="231" bestFit="1" customWidth="1"/>
    <col min="30" max="30" width="9.140625" style="231"/>
    <col min="31" max="31" width="11.42578125" style="231" customWidth="1"/>
    <col min="32" max="32" width="10.140625" style="231" bestFit="1" customWidth="1"/>
    <col min="33" max="34" width="9.140625" style="231" hidden="1" customWidth="1" outlineLevel="1"/>
    <col min="35" max="35" width="7.7109375" style="330" hidden="1" customWidth="1" collapsed="1"/>
    <col min="36" max="36" width="6.28515625" style="231" hidden="1" customWidth="1"/>
    <col min="37" max="37" width="9.42578125" style="231" hidden="1" customWidth="1"/>
    <col min="38" max="38" width="5.42578125" style="231" hidden="1" customWidth="1"/>
    <col min="39" max="39" width="10.85546875" style="231" customWidth="1"/>
    <col min="40" max="40" width="6.7109375" style="231" customWidth="1"/>
    <col min="41" max="41" width="9.140625" style="231"/>
    <col min="42" max="42" width="24.7109375" style="231" bestFit="1" customWidth="1"/>
    <col min="43" max="43" width="9.140625" style="231"/>
    <col min="44" max="44" width="13.5703125" style="231" customWidth="1"/>
    <col min="45" max="45" width="10.140625" style="231" bestFit="1" customWidth="1"/>
    <col min="46" max="47" width="9.140625" style="231" hidden="1" customWidth="1" outlineLevel="1"/>
    <col min="48" max="48" width="8.28515625" style="330" hidden="1" customWidth="1" collapsed="1"/>
    <col min="49" max="49" width="5.42578125" style="231" hidden="1" customWidth="1"/>
    <col min="50" max="51" width="0" style="231" hidden="1" customWidth="1"/>
    <col min="52" max="16384" width="9.140625" style="231"/>
  </cols>
  <sheetData>
    <row r="1" spans="1:53" s="217" customFormat="1" ht="6.75" customHeight="1" thickBot="1">
      <c r="B1" s="218"/>
    </row>
    <row r="2" spans="1:53"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H2" s="219"/>
      <c r="AI2" s="219"/>
      <c r="AJ2" s="219"/>
      <c r="AK2" s="219"/>
      <c r="AL2" s="219"/>
      <c r="AM2" s="219"/>
      <c r="AN2" s="219"/>
      <c r="AO2" s="219"/>
      <c r="AP2" s="219"/>
      <c r="AQ2" s="219"/>
      <c r="AR2" s="219"/>
      <c r="AS2" s="219"/>
      <c r="AT2" s="219"/>
      <c r="AU2" s="219"/>
      <c r="AV2" s="219"/>
      <c r="AW2" s="219"/>
    </row>
    <row r="3" spans="1:53"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c r="X3" s="1820"/>
      <c r="Y3" s="1820"/>
      <c r="Z3" s="1820"/>
      <c r="AA3" s="1820"/>
      <c r="AB3" s="1820"/>
      <c r="AC3" s="1820"/>
      <c r="AD3" s="1820"/>
      <c r="AE3" s="1820"/>
      <c r="AF3" s="1820"/>
      <c r="AG3" s="1820"/>
      <c r="AH3" s="1820"/>
      <c r="AI3" s="1820"/>
      <c r="AJ3" s="1820"/>
      <c r="AK3" s="1820"/>
      <c r="AL3" s="1820"/>
      <c r="AM3" s="1820"/>
      <c r="AN3" s="1820"/>
      <c r="AO3" s="1820"/>
      <c r="AP3" s="1820"/>
      <c r="AQ3" s="1820"/>
      <c r="AR3" s="1820"/>
      <c r="AS3" s="1820"/>
      <c r="AT3" s="1820"/>
      <c r="AU3" s="1820"/>
      <c r="AV3" s="1820"/>
      <c r="AW3" s="1820"/>
    </row>
    <row r="4" spans="1:53" s="217" customFormat="1" ht="4.5" customHeight="1">
      <c r="A4" s="221"/>
      <c r="B4" s="222"/>
      <c r="C4" s="222"/>
      <c r="D4" s="222"/>
      <c r="J4" s="222"/>
      <c r="K4" s="222"/>
      <c r="L4" s="222"/>
      <c r="M4" s="222"/>
      <c r="N4" s="222"/>
      <c r="O4" s="222"/>
      <c r="P4" s="222"/>
      <c r="Q4" s="222"/>
      <c r="S4" s="222"/>
      <c r="T4" s="222"/>
      <c r="U4" s="223"/>
      <c r="V4" s="224"/>
      <c r="W4" s="225"/>
      <c r="X4" s="225"/>
      <c r="Y4" s="225"/>
      <c r="Z4" s="225"/>
      <c r="AA4" s="225"/>
    </row>
    <row r="5" spans="1:53" s="217" customFormat="1" ht="22.5">
      <c r="A5" s="1821" t="str">
        <f>'Master Apron stands'!A5:W5</f>
        <v>2.  STANDS, TAXILANES AND SERVICE ROADS</v>
      </c>
      <c r="B5" s="1821"/>
      <c r="C5" s="1821"/>
      <c r="D5" s="1821"/>
      <c r="E5" s="1821"/>
      <c r="F5" s="1821"/>
      <c r="G5" s="1821"/>
      <c r="H5" s="1821"/>
      <c r="I5" s="1821"/>
      <c r="J5" s="1821"/>
      <c r="K5" s="1821"/>
      <c r="L5" s="1821"/>
      <c r="M5" s="1821"/>
      <c r="N5" s="1821"/>
      <c r="O5" s="1821"/>
      <c r="P5" s="1821"/>
      <c r="Q5" s="1821"/>
      <c r="R5" s="1821"/>
      <c r="S5" s="1821"/>
      <c r="T5" s="1821"/>
      <c r="U5" s="1821"/>
      <c r="V5" s="1821"/>
      <c r="W5" s="1821"/>
      <c r="X5" s="1821"/>
      <c r="Y5" s="1821"/>
      <c r="Z5" s="1821"/>
      <c r="AA5" s="1821"/>
      <c r="AB5" s="1821"/>
      <c r="AC5" s="1821"/>
      <c r="AD5" s="1821"/>
      <c r="AE5" s="1821"/>
      <c r="AF5" s="1821"/>
      <c r="AG5" s="1821"/>
      <c r="AH5" s="1821"/>
      <c r="AI5" s="1821"/>
      <c r="AJ5" s="1821"/>
      <c r="AK5" s="1821"/>
      <c r="AL5" s="1821"/>
      <c r="AM5" s="1821"/>
      <c r="AN5" s="1821"/>
      <c r="AO5" s="1821"/>
      <c r="AP5" s="1821"/>
      <c r="AQ5" s="1821"/>
      <c r="AR5" s="1821"/>
      <c r="AS5" s="1821"/>
      <c r="AT5" s="1821"/>
      <c r="AU5" s="1821"/>
      <c r="AV5" s="1821"/>
      <c r="AW5" s="1821"/>
    </row>
    <row r="6" spans="1:53" s="217" customFormat="1" ht="7.5" customHeight="1">
      <c r="A6" s="221"/>
      <c r="B6" s="222"/>
      <c r="C6" s="222"/>
      <c r="D6" s="222"/>
      <c r="J6" s="222"/>
      <c r="K6" s="222"/>
      <c r="L6" s="222"/>
      <c r="M6" s="222"/>
      <c r="N6" s="222"/>
      <c r="O6" s="222"/>
      <c r="P6" s="222"/>
      <c r="Q6" s="222"/>
      <c r="S6" s="222"/>
      <c r="T6" s="222"/>
      <c r="U6" s="223"/>
      <c r="V6" s="224"/>
      <c r="W6" s="225"/>
      <c r="X6" s="225"/>
      <c r="Y6" s="225"/>
      <c r="Z6" s="225"/>
      <c r="AA6" s="225"/>
    </row>
    <row r="7" spans="1:53" s="217" customFormat="1">
      <c r="A7" s="1822">
        <f>'Master Apron stands'!A7</f>
        <v>43040</v>
      </c>
      <c r="B7" s="1822"/>
      <c r="C7" s="1822"/>
      <c r="D7" s="1822"/>
      <c r="E7" s="1822"/>
      <c r="F7" s="1822"/>
      <c r="G7" s="1822"/>
      <c r="H7" s="1822"/>
      <c r="I7" s="1822"/>
      <c r="J7" s="1822"/>
      <c r="K7" s="1822"/>
      <c r="L7" s="1822"/>
      <c r="M7" s="1822"/>
      <c r="N7" s="1822"/>
      <c r="O7" s="1822"/>
      <c r="P7" s="1822"/>
      <c r="Q7" s="1822"/>
      <c r="R7" s="1822"/>
      <c r="S7" s="1822"/>
      <c r="T7" s="1822"/>
      <c r="U7" s="1822"/>
      <c r="V7" s="1822"/>
      <c r="W7" s="1822"/>
      <c r="X7" s="1822"/>
      <c r="Y7" s="1822"/>
      <c r="Z7" s="1822"/>
      <c r="AA7" s="1822"/>
      <c r="AB7" s="1822"/>
      <c r="AC7" s="1822"/>
      <c r="AD7" s="1822"/>
      <c r="AE7" s="1822"/>
      <c r="AF7" s="1822"/>
      <c r="AG7" s="1822"/>
      <c r="AH7" s="1822"/>
      <c r="AI7" s="1822"/>
      <c r="AJ7" s="1822"/>
      <c r="AK7" s="1822"/>
      <c r="AL7" s="1822"/>
      <c r="AM7" s="1822"/>
      <c r="AN7" s="1822"/>
      <c r="AO7" s="1822"/>
      <c r="AP7" s="1822"/>
      <c r="AQ7" s="1822"/>
      <c r="AR7" s="1822"/>
      <c r="AS7" s="1822"/>
      <c r="AT7" s="1822"/>
      <c r="AU7" s="1822"/>
      <c r="AV7" s="1822"/>
      <c r="AW7" s="1822"/>
    </row>
    <row r="8" spans="1:53"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c r="X8" s="226"/>
      <c r="Y8" s="226"/>
      <c r="Z8" s="226"/>
      <c r="AA8" s="226"/>
      <c r="AB8" s="226"/>
      <c r="AC8" s="226"/>
      <c r="AD8" s="226"/>
      <c r="AE8" s="226"/>
      <c r="AF8" s="226"/>
      <c r="AH8" s="226"/>
      <c r="AI8" s="226"/>
      <c r="AJ8" s="226"/>
      <c r="AK8" s="226"/>
      <c r="AL8" s="226"/>
      <c r="AM8" s="226"/>
      <c r="AN8" s="226"/>
      <c r="AO8" s="226"/>
      <c r="AP8" s="226"/>
      <c r="AQ8" s="226"/>
      <c r="AR8" s="226"/>
      <c r="AS8" s="226"/>
      <c r="AT8" s="226"/>
      <c r="AU8" s="226"/>
      <c r="AV8" s="226"/>
      <c r="AW8" s="226"/>
    </row>
    <row r="9" spans="1:53" s="217" customFormat="1" ht="8.25" customHeight="1">
      <c r="A9" s="228"/>
      <c r="B9" s="229"/>
      <c r="C9" s="229"/>
      <c r="D9" s="229"/>
      <c r="E9" s="229"/>
      <c r="F9" s="229"/>
      <c r="G9" s="229"/>
      <c r="H9" s="229"/>
      <c r="I9" s="229"/>
      <c r="J9" s="229"/>
      <c r="K9" s="229"/>
      <c r="L9" s="229"/>
      <c r="M9" s="229"/>
      <c r="N9" s="229"/>
      <c r="O9" s="229"/>
      <c r="P9" s="230"/>
      <c r="Q9" s="229"/>
      <c r="R9" s="229"/>
      <c r="S9" s="229"/>
      <c r="T9" s="229"/>
      <c r="U9" s="229"/>
      <c r="V9" s="229"/>
      <c r="W9" s="229"/>
      <c r="X9" s="229"/>
      <c r="Y9" s="229"/>
      <c r="Z9" s="229"/>
      <c r="AA9" s="229"/>
      <c r="AB9" s="229"/>
      <c r="AC9" s="229"/>
      <c r="AD9" s="229"/>
      <c r="AE9" s="229"/>
      <c r="AF9" s="229"/>
      <c r="AH9" s="229"/>
      <c r="AI9" s="229"/>
      <c r="AJ9" s="229"/>
      <c r="AK9" s="229"/>
      <c r="AL9" s="229"/>
      <c r="AM9" s="229"/>
      <c r="AN9" s="229"/>
      <c r="AO9" s="229"/>
      <c r="AP9" s="229"/>
      <c r="AQ9" s="229"/>
      <c r="AR9" s="229"/>
      <c r="AS9" s="229"/>
      <c r="AT9" s="229"/>
      <c r="AU9" s="229"/>
      <c r="AV9" s="229"/>
      <c r="AW9" s="229"/>
    </row>
    <row r="10" spans="1:53" s="217" customFormat="1" ht="15">
      <c r="A10" s="228"/>
      <c r="B10" s="229"/>
      <c r="C10" s="229"/>
      <c r="D10" s="229"/>
      <c r="E10" s="229"/>
      <c r="F10" s="229"/>
      <c r="G10" s="229"/>
      <c r="H10" s="229"/>
      <c r="I10" s="229"/>
      <c r="J10" s="229"/>
      <c r="K10" s="229"/>
      <c r="L10" s="229"/>
      <c r="M10" s="229"/>
      <c r="N10" s="229"/>
      <c r="O10" s="229"/>
      <c r="P10" s="230"/>
      <c r="Q10" s="229"/>
      <c r="R10" s="229"/>
      <c r="S10" s="229"/>
      <c r="T10" s="229"/>
      <c r="U10" s="229"/>
      <c r="V10" s="229"/>
      <c r="W10" s="229"/>
      <c r="X10" s="229"/>
      <c r="Y10" s="229"/>
      <c r="Z10" s="229"/>
      <c r="AA10" s="229"/>
      <c r="AB10" s="229"/>
      <c r="AC10" s="229"/>
      <c r="AD10" s="229"/>
      <c r="AE10" s="229"/>
    </row>
    <row r="11" spans="1:53" s="217" customFormat="1" ht="18.75" thickBot="1">
      <c r="A11" s="1823" t="s">
        <v>631</v>
      </c>
      <c r="B11" s="1823"/>
      <c r="C11" s="1823"/>
      <c r="D11" s="1823"/>
      <c r="E11" s="1823"/>
      <c r="F11" s="1823"/>
      <c r="G11" s="1823"/>
      <c r="H11" s="1823"/>
      <c r="I11" s="1823"/>
      <c r="J11" s="1823"/>
      <c r="K11" s="1823"/>
      <c r="L11" s="1823"/>
      <c r="M11" s="1823"/>
      <c r="N11" s="1823"/>
      <c r="O11" s="1823"/>
      <c r="P11" s="1823"/>
      <c r="Q11" s="1823"/>
      <c r="R11" s="1823"/>
      <c r="S11" s="1823"/>
      <c r="T11" s="1823"/>
      <c r="U11" s="1823"/>
      <c r="V11" s="1823"/>
      <c r="W11" s="1823"/>
      <c r="X11" s="1823"/>
      <c r="Y11" s="1823"/>
      <c r="Z11" s="1823"/>
      <c r="AA11" s="1823"/>
      <c r="AB11" s="1823"/>
      <c r="AC11" s="1823"/>
      <c r="AD11" s="1823"/>
      <c r="AE11" s="1823"/>
      <c r="AF11" s="1823"/>
      <c r="AG11" s="1823"/>
      <c r="AH11" s="1823"/>
      <c r="AI11" s="1823"/>
      <c r="AJ11" s="1823"/>
      <c r="AK11" s="1823"/>
      <c r="AL11" s="1823"/>
      <c r="AM11" s="1823"/>
      <c r="AN11" s="1823"/>
      <c r="AO11" s="1823"/>
      <c r="AP11" s="1823"/>
      <c r="AQ11" s="1823"/>
      <c r="AR11" s="1823"/>
      <c r="AS11" s="1823"/>
      <c r="AT11" s="1823"/>
      <c r="AU11" s="1823"/>
      <c r="AV11" s="1823"/>
      <c r="AW11" s="1823"/>
    </row>
    <row r="12" spans="1:53" s="217" customFormat="1" ht="18.75" thickBot="1">
      <c r="A12" s="671"/>
      <c r="B12" s="1834" t="s">
        <v>185</v>
      </c>
      <c r="C12" s="1835"/>
      <c r="D12" s="1835"/>
      <c r="E12" s="552"/>
      <c r="F12" s="555"/>
      <c r="G12"/>
      <c r="H12"/>
      <c r="I12"/>
      <c r="J12"/>
      <c r="K12"/>
      <c r="L12"/>
      <c r="M12"/>
      <c r="N12" s="671"/>
      <c r="O12" s="671"/>
      <c r="P12" s="671"/>
      <c r="Q12" s="671"/>
      <c r="R12" s="671"/>
      <c r="S12" s="671"/>
      <c r="T12" s="671"/>
      <c r="U12" s="671"/>
      <c r="V12" s="671"/>
      <c r="W12" s="671"/>
      <c r="X12" s="671"/>
      <c r="Y12" s="671"/>
      <c r="Z12" s="671"/>
      <c r="AA12" s="671"/>
      <c r="AB12" s="671"/>
      <c r="AC12" s="671"/>
      <c r="AD12" s="671"/>
      <c r="AE12" s="671"/>
      <c r="AF12" s="671"/>
      <c r="AG12" s="671"/>
      <c r="AH12" s="671"/>
      <c r="AI12" s="671"/>
      <c r="AJ12" s="671"/>
      <c r="AK12" s="671"/>
      <c r="AL12" s="671"/>
      <c r="AM12" s="671"/>
      <c r="AN12" s="671"/>
      <c r="AO12" s="671"/>
      <c r="AP12" s="671"/>
      <c r="AQ12" s="671"/>
      <c r="AR12" s="671"/>
      <c r="AS12" s="671"/>
      <c r="AT12" s="671"/>
      <c r="AU12" s="671"/>
      <c r="AV12" s="671"/>
      <c r="AW12" s="671"/>
    </row>
    <row r="13" spans="1:53" s="217" customFormat="1" ht="18">
      <c r="A13" s="671"/>
      <c r="B13" s="549" t="s">
        <v>186</v>
      </c>
      <c r="C13" s="547">
        <v>43040</v>
      </c>
      <c r="D13" s="553">
        <v>217.6</v>
      </c>
      <c r="E13" s="1836" t="str">
        <f>'New Bldg Rates'!M4</f>
        <v>Reference 2021 Q4 Table 2 - BER Building Cost Index</v>
      </c>
      <c r="F13" s="1837"/>
      <c r="G13" s="1837"/>
      <c r="H13" s="1837"/>
      <c r="I13" s="1837"/>
      <c r="J13" s="1837"/>
      <c r="K13" s="1837"/>
      <c r="L13" s="1837"/>
      <c r="M13" s="1837"/>
      <c r="N13" s="1838"/>
      <c r="O13" s="671"/>
      <c r="P13" s="671"/>
      <c r="Q13" s="671"/>
      <c r="R13" s="671"/>
      <c r="S13" s="671"/>
      <c r="T13" s="671"/>
      <c r="U13" s="671"/>
      <c r="V13" s="671"/>
      <c r="W13" s="671"/>
      <c r="X13" s="671"/>
      <c r="Y13" s="671"/>
      <c r="Z13" s="671"/>
      <c r="AA13" s="671"/>
      <c r="AB13" s="671"/>
      <c r="AC13" s="671"/>
      <c r="AD13" s="671"/>
      <c r="AE13" s="671"/>
      <c r="AF13" s="671"/>
      <c r="AG13" s="671"/>
      <c r="AH13" s="671"/>
      <c r="AI13" s="671"/>
      <c r="AJ13" s="671"/>
      <c r="AK13" s="671"/>
      <c r="AL13" s="671"/>
      <c r="AM13" s="671"/>
      <c r="AN13" s="671"/>
      <c r="AO13" s="671"/>
      <c r="AP13" s="671"/>
      <c r="AQ13" s="671"/>
      <c r="AR13" s="671"/>
      <c r="AS13" s="671"/>
      <c r="AT13" s="671"/>
      <c r="AU13" s="671"/>
      <c r="AV13" s="671"/>
      <c r="AW13" s="671"/>
    </row>
    <row r="14" spans="1:53" s="217" customFormat="1" ht="16.5" thickBot="1">
      <c r="A14" s="228"/>
      <c r="B14" s="550" t="s">
        <v>187</v>
      </c>
      <c r="C14" s="548">
        <f>'Code C,E &amp; F stands'!C14</f>
        <v>44621</v>
      </c>
      <c r="D14" s="554">
        <f>'New Bldg Rates'!L5</f>
        <v>267.26587999999998</v>
      </c>
      <c r="E14" s="1839"/>
      <c r="F14" s="1840"/>
      <c r="G14" s="1840"/>
      <c r="H14" s="1840"/>
      <c r="I14" s="1840"/>
      <c r="J14" s="1840"/>
      <c r="K14" s="1840"/>
      <c r="L14" s="1840"/>
      <c r="M14" s="1840"/>
      <c r="N14" s="1841"/>
      <c r="O14" s="229"/>
      <c r="P14" s="230"/>
      <c r="Q14" s="229"/>
      <c r="R14" s="229"/>
      <c r="S14" s="229"/>
      <c r="T14" s="229"/>
      <c r="U14" s="229"/>
      <c r="V14" s="229"/>
      <c r="W14" s="229"/>
      <c r="X14" s="229"/>
      <c r="Y14" s="229"/>
      <c r="Z14" s="229"/>
      <c r="AA14" s="229"/>
      <c r="AB14" s="229"/>
      <c r="AC14" s="229"/>
      <c r="AD14" s="229"/>
      <c r="AE14" s="229"/>
    </row>
    <row r="15" spans="1:53">
      <c r="E15" s="326"/>
      <c r="H15" s="329"/>
      <c r="R15" s="329"/>
      <c r="U15" s="329"/>
      <c r="V15" s="231"/>
      <c r="AE15" s="329"/>
      <c r="AI15" s="231"/>
      <c r="AV15" s="231"/>
    </row>
    <row r="16" spans="1:53" ht="14.45" customHeight="1">
      <c r="A16" s="247"/>
      <c r="B16" s="248"/>
      <c r="C16" s="248"/>
      <c r="D16" s="248"/>
      <c r="E16" s="249"/>
      <c r="F16" s="250" t="s">
        <v>564</v>
      </c>
      <c r="G16" s="1291"/>
      <c r="H16" s="1851" t="str">
        <f>'Code C,E &amp; F stands'!$H$16</f>
        <v>Estimated Rates</v>
      </c>
      <c r="I16" s="1843"/>
      <c r="J16" s="1843"/>
      <c r="K16" s="1843"/>
      <c r="L16" s="1843"/>
      <c r="M16" s="1843"/>
      <c r="N16" s="1844"/>
      <c r="O16" s="248"/>
      <c r="P16" s="248"/>
      <c r="Q16" s="248"/>
      <c r="R16" s="248"/>
      <c r="S16" s="249"/>
      <c r="T16" s="250" t="s">
        <v>564</v>
      </c>
      <c r="U16" s="251"/>
      <c r="V16" s="1842" t="str">
        <f>'Code C,E &amp; F stands'!$H$16</f>
        <v>Estimated Rates</v>
      </c>
      <c r="W16" s="1843"/>
      <c r="X16" s="1843"/>
      <c r="Y16" s="1843"/>
      <c r="Z16" s="1843"/>
      <c r="AA16" s="1844"/>
      <c r="AB16" s="247"/>
      <c r="AC16" s="248"/>
      <c r="AD16" s="248"/>
      <c r="AE16" s="248"/>
      <c r="AF16" s="249"/>
      <c r="AG16" s="250" t="s">
        <v>564</v>
      </c>
      <c r="AH16" s="251"/>
      <c r="AI16" s="1842" t="str">
        <f>'Code C,E &amp; F stands'!$H$16</f>
        <v>Estimated Rates</v>
      </c>
      <c r="AJ16" s="1843"/>
      <c r="AK16" s="1843"/>
      <c r="AL16" s="1843"/>
      <c r="AM16" s="1843"/>
      <c r="AN16" s="1844"/>
      <c r="AO16" s="247"/>
      <c r="AP16" s="248"/>
      <c r="AQ16" s="248"/>
      <c r="AR16" s="248"/>
      <c r="AS16" s="249"/>
      <c r="AT16" s="250" t="s">
        <v>564</v>
      </c>
      <c r="AU16" s="251"/>
      <c r="AV16" s="1842" t="str">
        <f>'Code C,E &amp; F stands'!$H$16</f>
        <v>Estimated Rates</v>
      </c>
      <c r="AW16" s="1843"/>
      <c r="AX16" s="1843"/>
      <c r="AY16" s="1843"/>
      <c r="AZ16" s="1843"/>
      <c r="BA16" s="1844"/>
    </row>
    <row r="17" spans="1:53" ht="18.75">
      <c r="A17" s="1832" t="s">
        <v>632</v>
      </c>
      <c r="B17" s="1833"/>
      <c r="C17" s="253"/>
      <c r="D17" s="253"/>
      <c r="E17" s="254"/>
      <c r="F17" s="255"/>
      <c r="G17" s="1292"/>
      <c r="H17" s="1852"/>
      <c r="I17" s="1846"/>
      <c r="J17" s="1846"/>
      <c r="K17" s="1846"/>
      <c r="L17" s="1846"/>
      <c r="M17" s="1846"/>
      <c r="N17" s="1847"/>
      <c r="O17" s="1853" t="s">
        <v>633</v>
      </c>
      <c r="P17" s="1833"/>
      <c r="Q17" s="253"/>
      <c r="R17" s="253"/>
      <c r="S17" s="254"/>
      <c r="T17" s="255"/>
      <c r="U17" s="256"/>
      <c r="V17" s="1848"/>
      <c r="W17" s="1849"/>
      <c r="X17" s="1849"/>
      <c r="Y17" s="1849"/>
      <c r="Z17" s="1849"/>
      <c r="AA17" s="1850"/>
      <c r="AB17" s="1832" t="s">
        <v>634</v>
      </c>
      <c r="AC17" s="1833"/>
      <c r="AD17" s="1833"/>
      <c r="AE17" s="1833"/>
      <c r="AF17" s="1854"/>
      <c r="AG17" s="255"/>
      <c r="AH17" s="256"/>
      <c r="AI17" s="1845"/>
      <c r="AJ17" s="1846"/>
      <c r="AK17" s="1846"/>
      <c r="AL17" s="1846"/>
      <c r="AM17" s="1846"/>
      <c r="AN17" s="1847"/>
      <c r="AO17" s="1832" t="s">
        <v>635</v>
      </c>
      <c r="AP17" s="1833"/>
      <c r="AQ17" s="1833"/>
      <c r="AR17" s="1833"/>
      <c r="AS17" s="1854"/>
      <c r="AT17" s="255"/>
      <c r="AU17" s="256"/>
      <c r="AV17" s="1845"/>
      <c r="AW17" s="1846"/>
      <c r="AX17" s="1846"/>
      <c r="AY17" s="1846"/>
      <c r="AZ17" s="1846"/>
      <c r="BA17" s="1847"/>
    </row>
    <row r="18" spans="1:53">
      <c r="A18" s="259"/>
      <c r="B18" s="260"/>
      <c r="C18" s="257"/>
      <c r="D18" s="257"/>
      <c r="E18" s="258"/>
      <c r="F18" s="255"/>
      <c r="G18" s="1292"/>
      <c r="H18" s="1828" t="str">
        <f>'Code C,E &amp; F stands'!$H$18</f>
        <v>Base Date Jan '09</v>
      </c>
      <c r="I18" s="1827"/>
      <c r="J18" s="334"/>
      <c r="K18" s="1828" t="s">
        <v>571</v>
      </c>
      <c r="L18" s="1827"/>
      <c r="M18" s="1829">
        <f>'Code C,E &amp; F stands'!L18</f>
        <v>44621</v>
      </c>
      <c r="N18" s="1830"/>
      <c r="O18" s="1276"/>
      <c r="P18" s="260"/>
      <c r="Q18" s="257"/>
      <c r="R18" s="257"/>
      <c r="S18" s="258"/>
      <c r="T18" s="255"/>
      <c r="U18" s="256"/>
      <c r="V18" s="1826" t="str">
        <f>'Code C,E &amp; F stands'!$H$18</f>
        <v>Base Date Jan '09</v>
      </c>
      <c r="W18" s="1827"/>
      <c r="X18" s="1828" t="s">
        <v>571</v>
      </c>
      <c r="Y18" s="1827"/>
      <c r="Z18" s="1829">
        <f>'Code C,E &amp; F stands'!L18</f>
        <v>44621</v>
      </c>
      <c r="AA18" s="1830"/>
      <c r="AB18" s="259"/>
      <c r="AC18" s="260"/>
      <c r="AD18" s="257"/>
      <c r="AE18" s="257"/>
      <c r="AF18" s="258"/>
      <c r="AG18" s="255"/>
      <c r="AH18" s="256"/>
      <c r="AI18" s="1826" t="str">
        <f>'Code C,E &amp; F stands'!$H$18</f>
        <v>Base Date Jan '09</v>
      </c>
      <c r="AJ18" s="1827"/>
      <c r="AK18" s="1828" t="s">
        <v>571</v>
      </c>
      <c r="AL18" s="1827"/>
      <c r="AM18" s="1829">
        <f>Z18</f>
        <v>44621</v>
      </c>
      <c r="AN18" s="1830"/>
      <c r="AO18" s="259"/>
      <c r="AP18" s="260" t="s">
        <v>636</v>
      </c>
      <c r="AQ18" s="257"/>
      <c r="AR18" s="257"/>
      <c r="AS18" s="258"/>
      <c r="AT18" s="255"/>
      <c r="AU18" s="256"/>
      <c r="AV18" s="1826" t="str">
        <f>'Code C,E &amp; F stands'!$H$18</f>
        <v>Base Date Jan '09</v>
      </c>
      <c r="AW18" s="1827"/>
      <c r="AX18" s="1828" t="s">
        <v>571</v>
      </c>
      <c r="AY18" s="1827"/>
      <c r="AZ18" s="1828">
        <f>Z18</f>
        <v>44621</v>
      </c>
      <c r="BA18" s="1827"/>
    </row>
    <row r="19" spans="1:53">
      <c r="A19" s="261"/>
      <c r="B19" s="262"/>
      <c r="C19" s="263"/>
      <c r="D19" s="263"/>
      <c r="E19" s="264"/>
      <c r="F19" s="265"/>
      <c r="G19" s="1293"/>
      <c r="H19" s="1299"/>
      <c r="I19" s="268"/>
      <c r="J19" s="334"/>
      <c r="K19" s="1828"/>
      <c r="L19" s="1827"/>
      <c r="M19" s="1828"/>
      <c r="N19" s="1827"/>
      <c r="O19" s="1277"/>
      <c r="P19" s="262"/>
      <c r="Q19" s="263"/>
      <c r="R19" s="263"/>
      <c r="S19" s="264"/>
      <c r="T19" s="265"/>
      <c r="U19" s="266"/>
      <c r="V19" s="267"/>
      <c r="W19" s="268"/>
      <c r="X19" s="1828"/>
      <c r="Y19" s="1827"/>
      <c r="Z19" s="1828"/>
      <c r="AA19" s="1827"/>
      <c r="AB19" s="261"/>
      <c r="AC19" s="262"/>
      <c r="AD19" s="263"/>
      <c r="AE19" s="263"/>
      <c r="AF19" s="335">
        <v>10</v>
      </c>
      <c r="AG19" s="265"/>
      <c r="AH19" s="266"/>
      <c r="AI19" s="325"/>
      <c r="AJ19" s="268"/>
      <c r="AK19" s="1828"/>
      <c r="AL19" s="1827"/>
      <c r="AM19" s="1828"/>
      <c r="AN19" s="1827"/>
      <c r="AO19" s="261"/>
      <c r="AP19" s="262"/>
      <c r="AQ19" s="263"/>
      <c r="AR19" s="263"/>
      <c r="AS19" s="335">
        <v>15</v>
      </c>
      <c r="AT19" s="265"/>
      <c r="AU19" s="266"/>
      <c r="AV19" s="325"/>
      <c r="AW19" s="268"/>
      <c r="AX19" s="1828"/>
      <c r="AY19" s="1827"/>
      <c r="AZ19" s="1828"/>
      <c r="BA19" s="1827"/>
    </row>
    <row r="20" spans="1:53">
      <c r="A20" s="336"/>
      <c r="E20" s="337"/>
      <c r="F20" s="272"/>
      <c r="G20" s="1294"/>
      <c r="H20" s="1300"/>
      <c r="I20" s="275"/>
      <c r="J20" s="334"/>
      <c r="K20" s="362"/>
      <c r="L20" s="371"/>
      <c r="M20" s="363"/>
      <c r="N20" s="371"/>
      <c r="O20" s="1278"/>
      <c r="S20" s="337"/>
      <c r="T20" s="272"/>
      <c r="U20" s="273"/>
      <c r="V20" s="276"/>
      <c r="W20" s="275"/>
      <c r="X20" s="362"/>
      <c r="Y20" s="371"/>
      <c r="Z20" s="363"/>
      <c r="AA20" s="371"/>
      <c r="AB20" s="336"/>
      <c r="AF20" s="337"/>
      <c r="AG20" s="272"/>
      <c r="AH20" s="273"/>
      <c r="AI20" s="276"/>
      <c r="AJ20" s="275"/>
      <c r="AK20" s="362"/>
      <c r="AL20" s="371"/>
      <c r="AM20" s="363"/>
      <c r="AN20" s="371"/>
      <c r="AO20" s="269"/>
      <c r="AS20" s="338"/>
      <c r="AT20" s="272"/>
      <c r="AU20" s="273"/>
      <c r="AV20" s="276"/>
      <c r="AW20" s="275"/>
      <c r="AX20" s="362"/>
      <c r="AY20" s="371"/>
      <c r="AZ20" s="363"/>
      <c r="BA20" s="371"/>
    </row>
    <row r="21" spans="1:53">
      <c r="A21" s="336"/>
      <c r="E21" s="339"/>
      <c r="F21" s="279"/>
      <c r="G21" s="1295"/>
      <c r="H21" s="1301"/>
      <c r="I21" s="275"/>
      <c r="J21" s="334"/>
      <c r="K21" s="438"/>
      <c r="L21" s="275"/>
      <c r="M21" s="1285"/>
      <c r="N21" s="275"/>
      <c r="O21" s="1278"/>
      <c r="S21" s="339"/>
      <c r="T21" s="279"/>
      <c r="U21" s="280"/>
      <c r="V21" s="282"/>
      <c r="W21" s="275"/>
      <c r="X21" s="438"/>
      <c r="Y21" s="275"/>
      <c r="AB21" s="336"/>
      <c r="AF21" s="339"/>
      <c r="AG21" s="279"/>
      <c r="AH21" s="280"/>
      <c r="AI21" s="282"/>
      <c r="AJ21" s="275"/>
      <c r="AK21" s="438"/>
      <c r="AL21" s="275"/>
      <c r="AO21" s="269"/>
      <c r="AS21" s="278"/>
      <c r="AT21" s="279"/>
      <c r="AU21" s="280"/>
      <c r="AV21" s="282"/>
      <c r="AW21" s="275"/>
      <c r="AX21" s="438"/>
      <c r="AY21" s="275"/>
      <c r="BA21" s="275"/>
    </row>
    <row r="22" spans="1:53">
      <c r="A22" s="277" t="s">
        <v>573</v>
      </c>
      <c r="E22" s="339"/>
      <c r="F22" s="279"/>
      <c r="G22" s="1295"/>
      <c r="H22" s="1301"/>
      <c r="I22" s="275"/>
      <c r="J22" s="334"/>
      <c r="K22" s="438"/>
      <c r="L22" s="275"/>
      <c r="M22" s="1285"/>
      <c r="N22" s="275"/>
      <c r="O22" s="1279" t="s">
        <v>573</v>
      </c>
      <c r="S22" s="339"/>
      <c r="T22" s="279"/>
      <c r="U22" s="280"/>
      <c r="V22" s="282"/>
      <c r="W22" s="275"/>
      <c r="X22" s="438"/>
      <c r="Y22" s="275"/>
      <c r="AB22" s="277" t="s">
        <v>573</v>
      </c>
      <c r="AF22" s="339"/>
      <c r="AG22" s="279"/>
      <c r="AH22" s="280"/>
      <c r="AI22" s="282"/>
      <c r="AJ22" s="275"/>
      <c r="AK22" s="438"/>
      <c r="AL22" s="275"/>
      <c r="AO22" s="277" t="s">
        <v>573</v>
      </c>
      <c r="AS22" s="278"/>
      <c r="AT22" s="279"/>
      <c r="AU22" s="280"/>
      <c r="AV22" s="282"/>
      <c r="AW22" s="275"/>
      <c r="AX22" s="438"/>
      <c r="AY22" s="275"/>
      <c r="BA22" s="275"/>
    </row>
    <row r="23" spans="1:53" ht="15">
      <c r="A23" s="283" t="s">
        <v>574</v>
      </c>
      <c r="B23" s="231" t="s">
        <v>575</v>
      </c>
      <c r="E23" s="339"/>
      <c r="F23" s="279">
        <v>5.93</v>
      </c>
      <c r="G23" s="1295"/>
      <c r="H23" s="1301">
        <v>8</v>
      </c>
      <c r="I23" s="275"/>
      <c r="J23" s="334"/>
      <c r="K23" s="572">
        <f>(H23*(217/145-1))+H23</f>
        <v>11.972413793103449</v>
      </c>
      <c r="L23" s="575"/>
      <c r="M23" s="1286">
        <f>(K23*($D$14/$D$13-1))+K23</f>
        <v>14.705044614604462</v>
      </c>
      <c r="N23" s="562"/>
      <c r="O23" s="1280" t="s">
        <v>574</v>
      </c>
      <c r="P23" s="231" t="s">
        <v>575</v>
      </c>
      <c r="S23" s="339"/>
      <c r="T23" s="279">
        <v>5.93</v>
      </c>
      <c r="U23" s="280"/>
      <c r="V23" s="282">
        <v>8</v>
      </c>
      <c r="W23" s="275"/>
      <c r="X23" s="572">
        <f>(V23*(217/145-1))+V23</f>
        <v>11.972413793103449</v>
      </c>
      <c r="Y23" s="575"/>
      <c r="Z23" s="573">
        <f>(X23*($D$14/$D$13-1))+X23</f>
        <v>14.705044614604462</v>
      </c>
      <c r="AA23" s="557"/>
      <c r="AB23" s="283" t="s">
        <v>574</v>
      </c>
      <c r="AC23" s="231" t="s">
        <v>575</v>
      </c>
      <c r="AF23" s="339"/>
      <c r="AG23" s="279">
        <v>5.93</v>
      </c>
      <c r="AH23" s="280"/>
      <c r="AI23" s="282">
        <v>2.5</v>
      </c>
      <c r="AJ23" s="275"/>
      <c r="AK23" s="572">
        <f>(AI23*(217/145-1))+AI23</f>
        <v>3.7413793103448278</v>
      </c>
      <c r="AL23" s="575"/>
      <c r="AM23" s="573">
        <f>(AK23*($D$14/$D$13-1))+AK23</f>
        <v>4.5953264420638948</v>
      </c>
      <c r="AN23" s="557"/>
      <c r="AO23" s="283" t="s">
        <v>574</v>
      </c>
      <c r="AP23" s="231" t="s">
        <v>575</v>
      </c>
      <c r="AS23" s="278"/>
      <c r="AT23" s="279">
        <v>5.93</v>
      </c>
      <c r="AU23" s="280"/>
      <c r="AV23" s="282">
        <f>+AT23*1.1</f>
        <v>6.5230000000000006</v>
      </c>
      <c r="AW23" s="275"/>
      <c r="AX23" s="572">
        <f>(AV23*(217/145-1))+AV23</f>
        <v>9.7620068965517248</v>
      </c>
      <c r="AY23" s="575"/>
      <c r="AZ23" s="573">
        <f>(AX23*($D$14/$D$13-1))+AX23</f>
        <v>11.990125752633114</v>
      </c>
      <c r="BA23" s="562"/>
    </row>
    <row r="24" spans="1:53" ht="15">
      <c r="A24" s="283" t="s">
        <v>574</v>
      </c>
      <c r="B24" s="231" t="s">
        <v>637</v>
      </c>
      <c r="E24" s="278"/>
      <c r="F24" s="279">
        <f>104.45+2.92</f>
        <v>107.37</v>
      </c>
      <c r="G24" s="1295"/>
      <c r="H24" s="1301">
        <f>+F24</f>
        <v>107.37</v>
      </c>
      <c r="I24" s="275"/>
      <c r="J24" s="334"/>
      <c r="K24" s="572">
        <f t="shared" ref="K24:K35" si="0">(H24*(217/145-1))+H24</f>
        <v>160.68475862068968</v>
      </c>
      <c r="L24" s="575"/>
      <c r="M24" s="1286">
        <f t="shared" ref="M24:M35" si="1">(K24*($D$14/$D$13-1))+K24</f>
        <v>197.36008003376017</v>
      </c>
      <c r="N24" s="562"/>
      <c r="O24" s="1280" t="s">
        <v>574</v>
      </c>
      <c r="P24" s="231" t="s">
        <v>637</v>
      </c>
      <c r="S24" s="339"/>
      <c r="T24" s="279">
        <f>104.45+2.92</f>
        <v>107.37</v>
      </c>
      <c r="U24" s="280"/>
      <c r="V24" s="282">
        <f>+T24</f>
        <v>107.37</v>
      </c>
      <c r="W24" s="275"/>
      <c r="X24" s="572">
        <f t="shared" ref="X24:X34" si="2">(V24*(217/145-1))+V24</f>
        <v>160.68475862068968</v>
      </c>
      <c r="Y24" s="575"/>
      <c r="Z24" s="573">
        <f t="shared" ref="Z24:Z34" si="3">(X24*($D$14/$D$13-1))+X24</f>
        <v>197.36008003376017</v>
      </c>
      <c r="AA24" s="557"/>
      <c r="AB24" s="283" t="s">
        <v>574</v>
      </c>
      <c r="AC24" s="231" t="s">
        <v>638</v>
      </c>
      <c r="AF24" s="339"/>
      <c r="AG24" s="279"/>
      <c r="AH24" s="280"/>
      <c r="AI24" s="282">
        <f>130*2/AF19</f>
        <v>26</v>
      </c>
      <c r="AJ24" s="275"/>
      <c r="AK24" s="572">
        <f t="shared" ref="AK24:AK33" si="4">(AI24*(217/145-1))+AI24</f>
        <v>38.910344827586208</v>
      </c>
      <c r="AL24" s="575"/>
      <c r="AM24" s="573">
        <f t="shared" ref="AM24:AM33" si="5">(AK24*($D$14/$D$13-1))+AK24</f>
        <v>47.791394997464501</v>
      </c>
      <c r="AN24" s="557"/>
      <c r="AO24" s="283" t="s">
        <v>574</v>
      </c>
      <c r="AP24" s="231" t="s">
        <v>638</v>
      </c>
      <c r="AS24" s="278"/>
      <c r="AT24" s="279">
        <f>130*2/AS19</f>
        <v>17.333333333333332</v>
      </c>
      <c r="AU24" s="280"/>
      <c r="AV24" s="282">
        <f>+AT24</f>
        <v>17.333333333333332</v>
      </c>
      <c r="AW24" s="275"/>
      <c r="AX24" s="572">
        <f t="shared" ref="AX24:AX33" si="6">(AV24*(217/145-1))+AV24</f>
        <v>25.94022988505747</v>
      </c>
      <c r="AY24" s="575"/>
      <c r="AZ24" s="573">
        <f t="shared" ref="AZ24:AZ33" si="7">(AX24*($D$14/$D$13-1))+AX24</f>
        <v>31.860929998309665</v>
      </c>
      <c r="BA24" s="562"/>
    </row>
    <row r="25" spans="1:53" ht="15">
      <c r="A25" s="283" t="s">
        <v>574</v>
      </c>
      <c r="B25" s="231" t="s">
        <v>639</v>
      </c>
      <c r="E25" s="278"/>
      <c r="F25" s="279">
        <f>166.39+6.11+2.92</f>
        <v>175.42</v>
      </c>
      <c r="G25" s="1295"/>
      <c r="H25" s="1301">
        <f>+F25/80*90</f>
        <v>197.34749999999997</v>
      </c>
      <c r="I25" s="275"/>
      <c r="J25" s="334"/>
      <c r="K25" s="572">
        <f t="shared" si="0"/>
        <v>295.34074137931032</v>
      </c>
      <c r="L25" s="575"/>
      <c r="M25" s="1286">
        <f t="shared" si="1"/>
        <v>362.75047401008169</v>
      </c>
      <c r="N25" s="562"/>
      <c r="O25" s="1280" t="s">
        <v>574</v>
      </c>
      <c r="P25" s="231" t="s">
        <v>640</v>
      </c>
      <c r="S25" s="339"/>
      <c r="T25" s="279">
        <f>124.8+6.11+2.92</f>
        <v>133.82999999999998</v>
      </c>
      <c r="U25" s="280"/>
      <c r="V25" s="282">
        <f>+T25</f>
        <v>133.82999999999998</v>
      </c>
      <c r="W25" s="275"/>
      <c r="X25" s="572">
        <f t="shared" si="2"/>
        <v>200.28351724137929</v>
      </c>
      <c r="Y25" s="575"/>
      <c r="Z25" s="573">
        <f t="shared" si="3"/>
        <v>245.99701509656435</v>
      </c>
      <c r="AA25" s="557"/>
      <c r="AB25" s="283" t="s">
        <v>574</v>
      </c>
      <c r="AC25" s="231" t="s">
        <v>641</v>
      </c>
      <c r="AF25" s="339"/>
      <c r="AG25" s="279">
        <f>81.49+6.11+2.92</f>
        <v>90.52</v>
      </c>
      <c r="AH25" s="280"/>
      <c r="AI25" s="282">
        <f>+AG25</f>
        <v>90.52</v>
      </c>
      <c r="AJ25" s="275"/>
      <c r="AK25" s="572">
        <f t="shared" si="4"/>
        <v>135.46786206896553</v>
      </c>
      <c r="AL25" s="575"/>
      <c r="AM25" s="573">
        <f t="shared" si="5"/>
        <v>166.38757981424951</v>
      </c>
      <c r="AN25" s="557"/>
      <c r="AO25" s="283" t="s">
        <v>574</v>
      </c>
      <c r="AP25" s="231" t="s">
        <v>641</v>
      </c>
      <c r="AS25" s="278"/>
      <c r="AT25" s="279">
        <f>81.49+6.11+2.92</f>
        <v>90.52</v>
      </c>
      <c r="AU25" s="280"/>
      <c r="AV25" s="282">
        <f>+AT25</f>
        <v>90.52</v>
      </c>
      <c r="AW25" s="275"/>
      <c r="AX25" s="572">
        <f t="shared" si="6"/>
        <v>135.46786206896553</v>
      </c>
      <c r="AY25" s="575"/>
      <c r="AZ25" s="573">
        <f t="shared" si="7"/>
        <v>166.38757981424951</v>
      </c>
      <c r="BA25" s="562"/>
    </row>
    <row r="26" spans="1:53" ht="15">
      <c r="A26" s="283" t="s">
        <v>574</v>
      </c>
      <c r="B26" s="231" t="s">
        <v>642</v>
      </c>
      <c r="E26" s="285">
        <v>350</v>
      </c>
      <c r="F26" s="279">
        <f>345.66*0.15</f>
        <v>51.849000000000004</v>
      </c>
      <c r="G26" s="1295"/>
      <c r="H26" s="1301">
        <f>E26*0.125</f>
        <v>43.75</v>
      </c>
      <c r="I26" s="275"/>
      <c r="J26" s="334"/>
      <c r="K26" s="572">
        <f t="shared" si="0"/>
        <v>65.474137931034491</v>
      </c>
      <c r="L26" s="575"/>
      <c r="M26" s="1286">
        <f t="shared" si="1"/>
        <v>80.418212736118164</v>
      </c>
      <c r="N26" s="562"/>
      <c r="O26" s="1280" t="s">
        <v>574</v>
      </c>
      <c r="P26" s="231" t="s">
        <v>642</v>
      </c>
      <c r="S26" s="285">
        <f>E26</f>
        <v>350</v>
      </c>
      <c r="T26" s="279">
        <f>345.66*0.125</f>
        <v>43.207500000000003</v>
      </c>
      <c r="U26" s="280"/>
      <c r="V26" s="282">
        <f>S26*0.125</f>
        <v>43.75</v>
      </c>
      <c r="W26" s="275"/>
      <c r="X26" s="572">
        <f t="shared" si="2"/>
        <v>65.474137931034491</v>
      </c>
      <c r="Y26" s="575"/>
      <c r="Z26" s="573">
        <f t="shared" si="3"/>
        <v>80.418212736118164</v>
      </c>
      <c r="AA26" s="557"/>
      <c r="AB26" s="283" t="s">
        <v>574</v>
      </c>
      <c r="AC26" s="231" t="s">
        <v>643</v>
      </c>
      <c r="AF26" s="285">
        <f>E26</f>
        <v>350</v>
      </c>
      <c r="AG26" s="279">
        <f>345.66*0.125</f>
        <v>43.207500000000003</v>
      </c>
      <c r="AH26" s="280"/>
      <c r="AI26" s="282">
        <f>AF26*0.15</f>
        <v>52.5</v>
      </c>
      <c r="AJ26" s="275"/>
      <c r="AK26" s="572">
        <f t="shared" si="4"/>
        <v>78.568965517241381</v>
      </c>
      <c r="AL26" s="575"/>
      <c r="AM26" s="573">
        <f t="shared" si="5"/>
        <v>96.501855283341783</v>
      </c>
      <c r="AN26" s="557"/>
      <c r="AO26" s="283" t="s">
        <v>574</v>
      </c>
      <c r="AP26" s="231" t="s">
        <v>643</v>
      </c>
      <c r="AS26" s="285">
        <f>E26</f>
        <v>350</v>
      </c>
      <c r="AT26" s="279">
        <f>345.66*0.125</f>
        <v>43.207500000000003</v>
      </c>
      <c r="AU26" s="280"/>
      <c r="AV26" s="282">
        <f>AS26*0.15</f>
        <v>52.5</v>
      </c>
      <c r="AW26" s="275"/>
      <c r="AX26" s="572">
        <f t="shared" si="6"/>
        <v>78.568965517241381</v>
      </c>
      <c r="AY26" s="575"/>
      <c r="AZ26" s="573">
        <f t="shared" si="7"/>
        <v>96.501855283341783</v>
      </c>
      <c r="BA26" s="562"/>
    </row>
    <row r="27" spans="1:53" ht="15">
      <c r="A27" s="283" t="s">
        <v>574</v>
      </c>
      <c r="B27" s="231" t="s">
        <v>581</v>
      </c>
      <c r="E27" s="285">
        <f>'Code C,E &amp; F stands'!E27</f>
        <v>375</v>
      </c>
      <c r="F27" s="279">
        <f>146.85*0.15+265.11*0.15</f>
        <v>61.793999999999997</v>
      </c>
      <c r="G27" s="1295"/>
      <c r="H27" s="1301">
        <f>E27*0.15</f>
        <v>56.25</v>
      </c>
      <c r="I27" s="275"/>
      <c r="J27" s="334"/>
      <c r="K27" s="572">
        <f t="shared" si="0"/>
        <v>84.181034482758633</v>
      </c>
      <c r="L27" s="575"/>
      <c r="M27" s="1286">
        <f t="shared" si="1"/>
        <v>103.39484494643764</v>
      </c>
      <c r="N27" s="562"/>
      <c r="O27" s="1280" t="s">
        <v>574</v>
      </c>
      <c r="P27" s="231" t="s">
        <v>581</v>
      </c>
      <c r="S27" s="285">
        <f>E27</f>
        <v>375</v>
      </c>
      <c r="T27" s="279">
        <f>146.85*0.15+265.11*0.15</f>
        <v>61.793999999999997</v>
      </c>
      <c r="U27" s="280"/>
      <c r="V27" s="282">
        <f>S27*0.15</f>
        <v>56.25</v>
      </c>
      <c r="W27" s="275"/>
      <c r="X27" s="572">
        <f t="shared" si="2"/>
        <v>84.181034482758633</v>
      </c>
      <c r="Y27" s="575"/>
      <c r="Z27" s="573">
        <f t="shared" si="3"/>
        <v>103.39484494643764</v>
      </c>
      <c r="AA27" s="557"/>
      <c r="AB27" s="283" t="s">
        <v>574</v>
      </c>
      <c r="AC27" s="231" t="s">
        <v>581</v>
      </c>
      <c r="AF27" s="285">
        <f>S27</f>
        <v>375</v>
      </c>
      <c r="AG27" s="279">
        <f>146.85*0.15+265.11*0.15</f>
        <v>61.793999999999997</v>
      </c>
      <c r="AH27" s="280"/>
      <c r="AI27" s="282">
        <f>AF27*0.15</f>
        <v>56.25</v>
      </c>
      <c r="AJ27" s="275"/>
      <c r="AK27" s="572">
        <f t="shared" si="4"/>
        <v>84.181034482758633</v>
      </c>
      <c r="AL27" s="575"/>
      <c r="AM27" s="573">
        <f t="shared" si="5"/>
        <v>103.39484494643764</v>
      </c>
      <c r="AN27" s="557"/>
      <c r="AO27" s="283" t="s">
        <v>574</v>
      </c>
      <c r="AP27" s="231" t="s">
        <v>581</v>
      </c>
      <c r="AS27" s="285">
        <f>AF27</f>
        <v>375</v>
      </c>
      <c r="AT27" s="279">
        <f>146.85*0.15+265.11*0.15</f>
        <v>61.793999999999997</v>
      </c>
      <c r="AU27" s="280"/>
      <c r="AV27" s="282">
        <f>AS27*0.15</f>
        <v>56.25</v>
      </c>
      <c r="AW27" s="275"/>
      <c r="AX27" s="572">
        <f t="shared" si="6"/>
        <v>84.181034482758633</v>
      </c>
      <c r="AY27" s="575"/>
      <c r="AZ27" s="573">
        <f t="shared" si="7"/>
        <v>103.39484494643764</v>
      </c>
      <c r="BA27" s="562"/>
    </row>
    <row r="28" spans="1:53" ht="15">
      <c r="A28" s="283" t="s">
        <v>574</v>
      </c>
      <c r="B28" s="231" t="s">
        <v>581</v>
      </c>
      <c r="E28" s="285">
        <f>E27</f>
        <v>375</v>
      </c>
      <c r="F28" s="279">
        <f>146.85*0.15+265.11*0.15</f>
        <v>61.793999999999997</v>
      </c>
      <c r="G28" s="1295"/>
      <c r="H28" s="1301">
        <f>E28*0.15</f>
        <v>56.25</v>
      </c>
      <c r="I28" s="275"/>
      <c r="J28" s="334"/>
      <c r="K28" s="572">
        <f t="shared" si="0"/>
        <v>84.181034482758633</v>
      </c>
      <c r="L28" s="575"/>
      <c r="M28" s="1286">
        <f t="shared" si="1"/>
        <v>103.39484494643764</v>
      </c>
      <c r="N28" s="562"/>
      <c r="O28" s="1280" t="s">
        <v>574</v>
      </c>
      <c r="P28" s="231" t="s">
        <v>581</v>
      </c>
      <c r="S28" s="285">
        <f>E28</f>
        <v>375</v>
      </c>
      <c r="T28" s="279">
        <f>146.85*0.15+265.11*0.15</f>
        <v>61.793999999999997</v>
      </c>
      <c r="U28" s="280"/>
      <c r="V28" s="282">
        <f>S28*0.15</f>
        <v>56.25</v>
      </c>
      <c r="W28" s="275"/>
      <c r="X28" s="572">
        <f t="shared" si="2"/>
        <v>84.181034482758633</v>
      </c>
      <c r="Y28" s="575"/>
      <c r="Z28" s="573">
        <f t="shared" si="3"/>
        <v>103.39484494643764</v>
      </c>
      <c r="AA28" s="557"/>
      <c r="AB28" s="283" t="s">
        <v>574</v>
      </c>
      <c r="AC28" s="231" t="s">
        <v>583</v>
      </c>
      <c r="AF28" s="285">
        <f>S29</f>
        <v>360</v>
      </c>
      <c r="AG28" s="279">
        <f>146.85*0.15+178.18*0.15</f>
        <v>48.7545</v>
      </c>
      <c r="AH28" s="280"/>
      <c r="AI28" s="282">
        <f>AF28*0.15</f>
        <v>54</v>
      </c>
      <c r="AJ28" s="275"/>
      <c r="AK28" s="572">
        <f t="shared" si="4"/>
        <v>80.81379310344829</v>
      </c>
      <c r="AL28" s="575"/>
      <c r="AM28" s="573">
        <f t="shared" si="5"/>
        <v>99.259051148580141</v>
      </c>
      <c r="AN28" s="557"/>
      <c r="AO28" s="283" t="s">
        <v>574</v>
      </c>
      <c r="AP28" s="231" t="s">
        <v>583</v>
      </c>
      <c r="AS28" s="285">
        <f>AF28</f>
        <v>360</v>
      </c>
      <c r="AT28" s="279">
        <f>146.85*0.15+178.18*0.15</f>
        <v>48.7545</v>
      </c>
      <c r="AU28" s="280"/>
      <c r="AV28" s="282">
        <f>AS28*0.15</f>
        <v>54</v>
      </c>
      <c r="AW28" s="275"/>
      <c r="AX28" s="572">
        <f t="shared" si="6"/>
        <v>80.81379310344829</v>
      </c>
      <c r="AY28" s="575"/>
      <c r="AZ28" s="573">
        <f t="shared" si="7"/>
        <v>99.259051148580141</v>
      </c>
      <c r="BA28" s="562"/>
    </row>
    <row r="29" spans="1:53" ht="15">
      <c r="A29" s="283" t="s">
        <v>574</v>
      </c>
      <c r="B29" s="231" t="s">
        <v>583</v>
      </c>
      <c r="E29" s="285">
        <f>'Code C,E &amp; F stands'!E28</f>
        <v>360</v>
      </c>
      <c r="F29" s="279">
        <f>146.85*0.2+265.11*0.2</f>
        <v>82.39200000000001</v>
      </c>
      <c r="G29" s="1295"/>
      <c r="H29" s="1301">
        <f>E29*0.15</f>
        <v>54</v>
      </c>
      <c r="I29" s="275"/>
      <c r="J29" s="334"/>
      <c r="K29" s="572">
        <f t="shared" si="0"/>
        <v>80.81379310344829</v>
      </c>
      <c r="L29" s="575"/>
      <c r="M29" s="1286">
        <f t="shared" si="1"/>
        <v>99.259051148580141</v>
      </c>
      <c r="N29" s="562"/>
      <c r="O29" s="1280" t="s">
        <v>574</v>
      </c>
      <c r="P29" s="231" t="s">
        <v>583</v>
      </c>
      <c r="S29" s="285">
        <f>E29</f>
        <v>360</v>
      </c>
      <c r="T29" s="279">
        <f>146.85*0.2+265.11*0.2</f>
        <v>82.39200000000001</v>
      </c>
      <c r="U29" s="280"/>
      <c r="V29" s="282">
        <f>S29*0.15</f>
        <v>54</v>
      </c>
      <c r="W29" s="275"/>
      <c r="X29" s="572">
        <f t="shared" si="2"/>
        <v>80.81379310344829</v>
      </c>
      <c r="Y29" s="575"/>
      <c r="Z29" s="573">
        <f t="shared" si="3"/>
        <v>99.259051148580141</v>
      </c>
      <c r="AA29" s="557"/>
      <c r="AB29" s="283" t="s">
        <v>574</v>
      </c>
      <c r="AC29" s="231" t="s">
        <v>584</v>
      </c>
      <c r="AF29" s="285">
        <f>S30</f>
        <v>190</v>
      </c>
      <c r="AG29" s="279">
        <f>+AG30</f>
        <v>25.599</v>
      </c>
      <c r="AH29" s="280"/>
      <c r="AI29" s="282">
        <f>AF29*0.15</f>
        <v>28.5</v>
      </c>
      <c r="AJ29" s="275"/>
      <c r="AK29" s="572">
        <f t="shared" si="4"/>
        <v>42.651724137931041</v>
      </c>
      <c r="AL29" s="575"/>
      <c r="AM29" s="573">
        <f t="shared" si="5"/>
        <v>52.386721439528401</v>
      </c>
      <c r="AN29" s="557"/>
      <c r="AO29" s="283" t="s">
        <v>574</v>
      </c>
      <c r="AP29" s="231" t="s">
        <v>584</v>
      </c>
      <c r="AS29" s="285">
        <f>AF29</f>
        <v>190</v>
      </c>
      <c r="AT29" s="279">
        <f>170.66*0.15</f>
        <v>25.599</v>
      </c>
      <c r="AU29" s="280"/>
      <c r="AV29" s="282">
        <f>AS29*0.15</f>
        <v>28.5</v>
      </c>
      <c r="AW29" s="275"/>
      <c r="AX29" s="572">
        <f t="shared" si="6"/>
        <v>42.651724137931041</v>
      </c>
      <c r="AY29" s="575"/>
      <c r="AZ29" s="573">
        <f t="shared" si="7"/>
        <v>52.386721439528401</v>
      </c>
      <c r="BA29" s="562"/>
    </row>
    <row r="30" spans="1:53" ht="15">
      <c r="A30" s="283" t="s">
        <v>574</v>
      </c>
      <c r="B30" s="231" t="s">
        <v>584</v>
      </c>
      <c r="E30" s="285">
        <f>'Code C,E &amp; F stands'!E29</f>
        <v>190</v>
      </c>
      <c r="F30" s="279">
        <f>+F31</f>
        <v>27</v>
      </c>
      <c r="G30" s="1295"/>
      <c r="H30" s="1301">
        <f>E30*0.15</f>
        <v>28.5</v>
      </c>
      <c r="I30" s="275"/>
      <c r="J30" s="334"/>
      <c r="K30" s="572">
        <f t="shared" si="0"/>
        <v>42.651724137931041</v>
      </c>
      <c r="L30" s="575"/>
      <c r="M30" s="1286">
        <f t="shared" si="1"/>
        <v>52.386721439528401</v>
      </c>
      <c r="N30" s="562"/>
      <c r="O30" s="1280" t="s">
        <v>574</v>
      </c>
      <c r="P30" s="231" t="s">
        <v>644</v>
      </c>
      <c r="S30" s="285">
        <f>E30</f>
        <v>190</v>
      </c>
      <c r="T30" s="279"/>
      <c r="U30" s="280"/>
      <c r="V30" s="282">
        <f>S30*0.2</f>
        <v>38</v>
      </c>
      <c r="W30" s="275"/>
      <c r="X30" s="572">
        <f t="shared" si="2"/>
        <v>56.868965517241385</v>
      </c>
      <c r="Y30" s="575"/>
      <c r="Z30" s="573">
        <f t="shared" si="3"/>
        <v>69.848961919371206</v>
      </c>
      <c r="AA30" s="557"/>
      <c r="AB30" s="283" t="s">
        <v>574</v>
      </c>
      <c r="AC30" s="231" t="s">
        <v>585</v>
      </c>
      <c r="AF30" s="285">
        <f>AF29</f>
        <v>190</v>
      </c>
      <c r="AG30" s="279">
        <f>170.66*0.15</f>
        <v>25.599</v>
      </c>
      <c r="AH30" s="280"/>
      <c r="AI30" s="282">
        <f>AF30*0.15</f>
        <v>28.5</v>
      </c>
      <c r="AJ30" s="275"/>
      <c r="AK30" s="572">
        <f t="shared" si="4"/>
        <v>42.651724137931041</v>
      </c>
      <c r="AL30" s="575"/>
      <c r="AM30" s="573">
        <f t="shared" si="5"/>
        <v>52.386721439528401</v>
      </c>
      <c r="AN30" s="557"/>
      <c r="AO30" s="283" t="s">
        <v>574</v>
      </c>
      <c r="AP30" s="231" t="s">
        <v>585</v>
      </c>
      <c r="AS30" s="285">
        <f>AS29</f>
        <v>190</v>
      </c>
      <c r="AT30" s="279">
        <f>170.66*0.15</f>
        <v>25.599</v>
      </c>
      <c r="AU30" s="280"/>
      <c r="AV30" s="282">
        <f>AS30*0.15</f>
        <v>28.5</v>
      </c>
      <c r="AW30" s="275"/>
      <c r="AX30" s="572">
        <f t="shared" si="6"/>
        <v>42.651724137931041</v>
      </c>
      <c r="AY30" s="575"/>
      <c r="AZ30" s="573">
        <f t="shared" si="7"/>
        <v>52.386721439528401</v>
      </c>
      <c r="BA30" s="562"/>
    </row>
    <row r="31" spans="1:53" ht="15">
      <c r="A31" s="283" t="s">
        <v>574</v>
      </c>
      <c r="B31" s="231" t="s">
        <v>585</v>
      </c>
      <c r="E31" s="285">
        <f>'Code C,E &amp; F stands'!E29</f>
        <v>190</v>
      </c>
      <c r="F31" s="279">
        <f>180*0.15</f>
        <v>27</v>
      </c>
      <c r="G31" s="1295"/>
      <c r="H31" s="1301">
        <f>E31*0.15</f>
        <v>28.5</v>
      </c>
      <c r="I31" s="275"/>
      <c r="J31" s="334"/>
      <c r="K31" s="572">
        <f t="shared" si="0"/>
        <v>42.651724137931041</v>
      </c>
      <c r="L31" s="575"/>
      <c r="M31" s="1286">
        <f t="shared" si="1"/>
        <v>52.386721439528401</v>
      </c>
      <c r="N31" s="562"/>
      <c r="O31" s="1280" t="s">
        <v>574</v>
      </c>
      <c r="P31" s="231" t="s">
        <v>588</v>
      </c>
      <c r="S31" s="285"/>
      <c r="T31" s="279">
        <v>16.388063222458126</v>
      </c>
      <c r="U31" s="280"/>
      <c r="V31" s="282">
        <f>+T31*1.05</f>
        <v>17.207466383581032</v>
      </c>
      <c r="W31" s="275"/>
      <c r="X31" s="572">
        <f t="shared" si="2"/>
        <v>25.751863484393684</v>
      </c>
      <c r="Y31" s="575"/>
      <c r="Z31" s="573">
        <f t="shared" si="3"/>
        <v>31.629570109358198</v>
      </c>
      <c r="AA31" s="557"/>
      <c r="AB31" s="283" t="s">
        <v>574</v>
      </c>
      <c r="AC31" s="231" t="s">
        <v>589</v>
      </c>
      <c r="AF31" s="285">
        <f>S33</f>
        <v>55</v>
      </c>
      <c r="AG31" s="279">
        <f>(1*45)*(0.77)</f>
        <v>34.65</v>
      </c>
      <c r="AH31" s="280"/>
      <c r="AI31" s="282">
        <f>AF31*(0.04+0.15*5)</f>
        <v>43.45</v>
      </c>
      <c r="AJ31" s="275"/>
      <c r="AK31" s="572">
        <f t="shared" si="4"/>
        <v>65.025172413793115</v>
      </c>
      <c r="AL31" s="575"/>
      <c r="AM31" s="573">
        <f t="shared" si="5"/>
        <v>79.866773563070495</v>
      </c>
      <c r="AN31" s="557"/>
      <c r="AO31" s="283" t="s">
        <v>574</v>
      </c>
      <c r="AP31" s="231" t="s">
        <v>589</v>
      </c>
      <c r="AS31" s="285">
        <f>AF31</f>
        <v>55</v>
      </c>
      <c r="AT31" s="279">
        <f>(1*45)*(0.79)</f>
        <v>35.550000000000004</v>
      </c>
      <c r="AU31" s="280"/>
      <c r="AV31" s="282">
        <f>AS31*(0.04+0.15*5)</f>
        <v>43.45</v>
      </c>
      <c r="AW31" s="275"/>
      <c r="AX31" s="572">
        <f t="shared" si="6"/>
        <v>65.025172413793115</v>
      </c>
      <c r="AY31" s="575"/>
      <c r="AZ31" s="573">
        <f t="shared" si="7"/>
        <v>79.866773563070495</v>
      </c>
      <c r="BA31" s="562"/>
    </row>
    <row r="32" spans="1:53" ht="15">
      <c r="A32" s="283" t="s">
        <v>574</v>
      </c>
      <c r="B32" s="231" t="s">
        <v>587</v>
      </c>
      <c r="E32" s="285"/>
      <c r="F32" s="279"/>
      <c r="G32" s="1295"/>
      <c r="H32" s="1301">
        <f>'Code C,E &amp; F stands'!$H$31</f>
        <v>10</v>
      </c>
      <c r="I32" s="275"/>
      <c r="J32" s="334"/>
      <c r="K32" s="572">
        <f t="shared" si="0"/>
        <v>14.965517241379311</v>
      </c>
      <c r="L32" s="575"/>
      <c r="M32" s="1286">
        <f t="shared" si="1"/>
        <v>18.381305768255579</v>
      </c>
      <c r="N32" s="562"/>
      <c r="O32" s="1280" t="s">
        <v>574</v>
      </c>
      <c r="P32" s="231" t="s">
        <v>587</v>
      </c>
      <c r="S32" s="285"/>
      <c r="T32" s="279"/>
      <c r="U32" s="280"/>
      <c r="V32" s="282">
        <f>'Code C,E &amp; F stands'!$H$31</f>
        <v>10</v>
      </c>
      <c r="W32" s="275"/>
      <c r="X32" s="572">
        <f t="shared" si="2"/>
        <v>14.965517241379311</v>
      </c>
      <c r="Y32" s="575"/>
      <c r="Z32" s="573">
        <f t="shared" si="3"/>
        <v>18.381305768255579</v>
      </c>
      <c r="AA32" s="557"/>
      <c r="AB32" s="283" t="s">
        <v>574</v>
      </c>
      <c r="AC32" s="231" t="s">
        <v>587</v>
      </c>
      <c r="AF32" s="285"/>
      <c r="AG32" s="279"/>
      <c r="AH32" s="280"/>
      <c r="AI32" s="282">
        <f>'Code C,E &amp; F stands'!$H$31</f>
        <v>10</v>
      </c>
      <c r="AJ32" s="275"/>
      <c r="AK32" s="572">
        <f t="shared" si="4"/>
        <v>14.965517241379311</v>
      </c>
      <c r="AL32" s="575"/>
      <c r="AM32" s="573">
        <f t="shared" si="5"/>
        <v>18.381305768255579</v>
      </c>
      <c r="AN32" s="557"/>
      <c r="AO32" s="283" t="s">
        <v>574</v>
      </c>
      <c r="AP32" s="231" t="s">
        <v>587</v>
      </c>
      <c r="AS32" s="285"/>
      <c r="AT32" s="279"/>
      <c r="AU32" s="280"/>
      <c r="AV32" s="282">
        <f>'Code C,E &amp; F stands'!$H$31</f>
        <v>10</v>
      </c>
      <c r="AW32" s="275"/>
      <c r="AX32" s="572">
        <f t="shared" si="6"/>
        <v>14.965517241379311</v>
      </c>
      <c r="AY32" s="575"/>
      <c r="AZ32" s="573">
        <f t="shared" si="7"/>
        <v>18.381305768255579</v>
      </c>
      <c r="BA32" s="562"/>
    </row>
    <row r="33" spans="1:53" ht="15">
      <c r="A33" s="283" t="s">
        <v>574</v>
      </c>
      <c r="B33" s="231" t="s">
        <v>588</v>
      </c>
      <c r="E33" s="285"/>
      <c r="F33" s="279">
        <v>16.733685752598575</v>
      </c>
      <c r="G33" s="1295"/>
      <c r="H33" s="1301">
        <f>+F33*1.05</f>
        <v>17.570370040228504</v>
      </c>
      <c r="I33" s="275"/>
      <c r="J33" s="334"/>
      <c r="K33" s="572">
        <f t="shared" si="0"/>
        <v>26.294967577445419</v>
      </c>
      <c r="L33" s="575"/>
      <c r="M33" s="1286">
        <f t="shared" si="1"/>
        <v>32.296634417083723</v>
      </c>
      <c r="N33" s="562"/>
      <c r="O33" s="1280" t="s">
        <v>574</v>
      </c>
      <c r="P33" s="231" t="s">
        <v>589</v>
      </c>
      <c r="S33" s="285">
        <f>E34</f>
        <v>55</v>
      </c>
      <c r="T33" s="279">
        <f>(1*45)*(0.675)</f>
        <v>30.375000000000004</v>
      </c>
      <c r="U33" s="280"/>
      <c r="V33" s="282">
        <f>S33*(0.04+0.06+0.125+3*0.15+0.2)</f>
        <v>48.125</v>
      </c>
      <c r="W33" s="275"/>
      <c r="X33" s="572">
        <f t="shared" si="2"/>
        <v>72.021551724137936</v>
      </c>
      <c r="Y33" s="575"/>
      <c r="Z33" s="573">
        <f t="shared" si="3"/>
        <v>88.460034009729981</v>
      </c>
      <c r="AA33" s="557"/>
      <c r="AB33" s="283" t="s">
        <v>574</v>
      </c>
      <c r="AC33" s="231" t="s">
        <v>590</v>
      </c>
      <c r="AF33" s="278"/>
      <c r="AG33" s="288">
        <f>11544.79/10000</f>
        <v>1.154479</v>
      </c>
      <c r="AH33" s="289"/>
      <c r="AI33" s="290">
        <f>+AG33*1.1</f>
        <v>1.2699269000000002</v>
      </c>
      <c r="AJ33" s="291"/>
      <c r="AK33" s="578">
        <f t="shared" si="4"/>
        <v>1.9005112917241385</v>
      </c>
      <c r="AL33" s="576"/>
      <c r="AM33" s="577">
        <f t="shared" si="5"/>
        <v>2.3342914652232931</v>
      </c>
      <c r="AN33" s="565"/>
      <c r="AO33" s="283" t="s">
        <v>574</v>
      </c>
      <c r="AP33" s="231" t="s">
        <v>590</v>
      </c>
      <c r="AS33" s="285"/>
      <c r="AT33" s="288">
        <f>11544.79/10000</f>
        <v>1.154479</v>
      </c>
      <c r="AU33" s="289"/>
      <c r="AV33" s="290">
        <f>+AT33*1.1</f>
        <v>1.2699269000000002</v>
      </c>
      <c r="AW33" s="291"/>
      <c r="AX33" s="578">
        <f t="shared" si="6"/>
        <v>1.9005112917241385</v>
      </c>
      <c r="AY33" s="576"/>
      <c r="AZ33" s="577">
        <f t="shared" si="7"/>
        <v>2.3342914652232931</v>
      </c>
      <c r="BA33" s="565"/>
    </row>
    <row r="34" spans="1:53" ht="15">
      <c r="A34" s="283" t="s">
        <v>574</v>
      </c>
      <c r="B34" s="231" t="s">
        <v>589</v>
      </c>
      <c r="E34" s="285">
        <f>'Code C,E &amp; F stands'!E33</f>
        <v>55</v>
      </c>
      <c r="F34" s="279">
        <f>(1*45)*(0.65+0.08+0.04)</f>
        <v>34.65</v>
      </c>
      <c r="G34" s="1295"/>
      <c r="H34" s="1301">
        <f>E34*(0.04+0.09+0.125+5*0.15)</f>
        <v>55.274999999999991</v>
      </c>
      <c r="I34" s="275"/>
      <c r="J34" s="334"/>
      <c r="K34" s="572">
        <f t="shared" si="0"/>
        <v>82.721896551724129</v>
      </c>
      <c r="L34" s="575"/>
      <c r="M34" s="1286">
        <f t="shared" si="1"/>
        <v>101.60266763403268</v>
      </c>
      <c r="N34" s="562"/>
      <c r="O34" s="1280" t="s">
        <v>574</v>
      </c>
      <c r="P34" s="231" t="s">
        <v>590</v>
      </c>
      <c r="S34" s="285"/>
      <c r="T34" s="288">
        <f>11544.79/10000</f>
        <v>1.154479</v>
      </c>
      <c r="U34" s="289"/>
      <c r="V34" s="282">
        <f>+T34*1.1</f>
        <v>1.2699269000000002</v>
      </c>
      <c r="W34" s="275"/>
      <c r="X34" s="572">
        <f t="shared" si="2"/>
        <v>1.9005112917241385</v>
      </c>
      <c r="Y34" s="575"/>
      <c r="Z34" s="573">
        <f t="shared" si="3"/>
        <v>2.3342914652232931</v>
      </c>
      <c r="AA34" s="557"/>
      <c r="AB34" s="283"/>
      <c r="AC34" s="236" t="s">
        <v>591</v>
      </c>
      <c r="AF34" s="278"/>
      <c r="AG34" s="293">
        <f>SUM(AG31:AG31)</f>
        <v>34.65</v>
      </c>
      <c r="AH34" s="294" t="s">
        <v>272</v>
      </c>
      <c r="AI34" s="295">
        <f>SUM(AI23:AI33)</f>
        <v>393.48992689999994</v>
      </c>
      <c r="AJ34" s="296" t="s">
        <v>592</v>
      </c>
      <c r="AK34" s="561">
        <f>SUM(AK23:AK33)</f>
        <v>588.87802853310347</v>
      </c>
      <c r="AL34" s="296" t="s">
        <v>592</v>
      </c>
      <c r="AM34" s="360">
        <f>SUM(AM23:AM33)</f>
        <v>723.28586630774373</v>
      </c>
      <c r="AN34" s="296" t="s">
        <v>592</v>
      </c>
      <c r="AO34" s="277"/>
      <c r="AP34" s="236" t="s">
        <v>591</v>
      </c>
      <c r="AS34" s="278"/>
      <c r="AT34" s="293">
        <f>SUM(AT31:AT31)</f>
        <v>35.550000000000004</v>
      </c>
      <c r="AU34" s="294" t="s">
        <v>272</v>
      </c>
      <c r="AV34" s="295">
        <f>SUM(AV23:AV33)</f>
        <v>388.84626023333328</v>
      </c>
      <c r="AW34" s="296" t="s">
        <v>592</v>
      </c>
      <c r="AX34" s="561">
        <f>SUM(AX23:AX33)</f>
        <v>581.92854117678166</v>
      </c>
      <c r="AY34" s="296" t="s">
        <v>592</v>
      </c>
      <c r="AZ34" s="360">
        <f>SUM(AZ23:AZ33)</f>
        <v>714.75020061915814</v>
      </c>
      <c r="BA34" s="296" t="s">
        <v>592</v>
      </c>
    </row>
    <row r="35" spans="1:53" ht="15">
      <c r="A35" s="283" t="s">
        <v>574</v>
      </c>
      <c r="B35" s="231" t="s">
        <v>590</v>
      </c>
      <c r="E35" s="278"/>
      <c r="F35" s="288">
        <f>11544.79/10000</f>
        <v>1.154479</v>
      </c>
      <c r="G35" s="1296"/>
      <c r="H35" s="1302">
        <f>+F35*1.1</f>
        <v>1.2699269000000002</v>
      </c>
      <c r="I35" s="291"/>
      <c r="J35" s="340"/>
      <c r="K35" s="578">
        <f t="shared" si="0"/>
        <v>1.9005112917241385</v>
      </c>
      <c r="L35" s="576"/>
      <c r="M35" s="577">
        <f t="shared" si="1"/>
        <v>2.3342914652232931</v>
      </c>
      <c r="N35" s="565"/>
      <c r="S35" s="341"/>
      <c r="T35" s="342"/>
      <c r="U35" s="342"/>
      <c r="V35" s="290"/>
      <c r="W35" s="291"/>
      <c r="X35" s="578"/>
      <c r="Y35" s="576"/>
      <c r="Z35" s="577"/>
      <c r="AA35" s="565"/>
      <c r="AB35" s="277"/>
      <c r="AF35" s="278"/>
      <c r="AG35" s="293"/>
      <c r="AH35" s="294"/>
      <c r="AI35" s="295"/>
      <c r="AJ35" s="296"/>
      <c r="AK35" s="544"/>
      <c r="AL35" s="296"/>
      <c r="AM35" s="544"/>
      <c r="AN35" s="544"/>
      <c r="AO35" s="277"/>
      <c r="AS35" s="278"/>
      <c r="AT35" s="293"/>
      <c r="AU35" s="294"/>
      <c r="AV35" s="295"/>
      <c r="AW35" s="296"/>
      <c r="AX35" s="544"/>
      <c r="AY35" s="296"/>
      <c r="AZ35" s="544"/>
      <c r="BA35" s="296"/>
    </row>
    <row r="36" spans="1:53">
      <c r="A36" s="283"/>
      <c r="B36" s="236" t="s">
        <v>591</v>
      </c>
      <c r="E36" s="278"/>
      <c r="F36" s="293">
        <f>SUM(F34:F34)</f>
        <v>34.65</v>
      </c>
      <c r="G36" s="1297" t="s">
        <v>272</v>
      </c>
      <c r="H36" s="561">
        <f>SUM(H23:H35)</f>
        <v>664.08279694022838</v>
      </c>
      <c r="I36" s="296" t="s">
        <v>592</v>
      </c>
      <c r="J36" s="343">
        <f>+(H36-F36)/F36</f>
        <v>18.165448685143676</v>
      </c>
      <c r="K36" s="561">
        <f>SUM(K23:K35)</f>
        <v>993.83425473123862</v>
      </c>
      <c r="L36" s="296" t="s">
        <v>592</v>
      </c>
      <c r="M36" s="1287">
        <f>SUM(M23:M35)</f>
        <v>1220.670894599672</v>
      </c>
      <c r="N36" s="296" t="s">
        <v>592</v>
      </c>
      <c r="O36" s="1280"/>
      <c r="P36" s="236" t="s">
        <v>591</v>
      </c>
      <c r="S36" s="278"/>
      <c r="T36" s="293">
        <f>SUM(T33:T33)</f>
        <v>30.375000000000004</v>
      </c>
      <c r="U36" s="294" t="s">
        <v>272</v>
      </c>
      <c r="V36" s="295">
        <f>SUM(V23:V34)</f>
        <v>574.05239328358095</v>
      </c>
      <c r="W36" s="296" t="s">
        <v>592</v>
      </c>
      <c r="X36" s="561">
        <f>SUM(X23:X35)</f>
        <v>859.09909891404868</v>
      </c>
      <c r="Y36" s="296" t="s">
        <v>592</v>
      </c>
      <c r="Z36" s="360">
        <f>SUM(Z23:Z35)</f>
        <v>1055.1832567944409</v>
      </c>
      <c r="AA36" s="296" t="s">
        <v>592</v>
      </c>
      <c r="AB36" s="277"/>
      <c r="AF36" s="278"/>
      <c r="AG36" s="293"/>
      <c r="AH36" s="294"/>
      <c r="AI36" s="295"/>
      <c r="AJ36" s="296"/>
      <c r="AK36" s="544"/>
      <c r="AL36" s="296"/>
      <c r="AM36" s="544"/>
      <c r="AN36" s="544"/>
      <c r="AO36" s="277"/>
      <c r="AS36" s="278"/>
      <c r="AT36" s="293"/>
      <c r="AU36" s="294"/>
      <c r="AV36" s="295"/>
      <c r="AW36" s="296"/>
      <c r="AX36" s="544"/>
      <c r="AY36" s="296"/>
      <c r="AZ36" s="544"/>
      <c r="BA36" s="296"/>
    </row>
    <row r="37" spans="1:53">
      <c r="A37" s="277"/>
      <c r="E37" s="278"/>
      <c r="F37" s="293"/>
      <c r="G37" s="1297"/>
      <c r="H37" s="561"/>
      <c r="I37" s="296"/>
      <c r="J37" s="343"/>
      <c r="K37" s="566"/>
      <c r="L37" s="378"/>
      <c r="M37" s="566"/>
      <c r="N37" s="378"/>
      <c r="O37" s="1279"/>
      <c r="S37" s="278"/>
      <c r="T37" s="293"/>
      <c r="U37" s="294"/>
      <c r="V37" s="295"/>
      <c r="W37" s="296"/>
      <c r="X37" s="544"/>
      <c r="Y37" s="296"/>
      <c r="Z37" s="544"/>
      <c r="AA37" s="544"/>
      <c r="AB37" s="277"/>
      <c r="AF37" s="278"/>
      <c r="AG37" s="293"/>
      <c r="AH37" s="294"/>
      <c r="AI37" s="295"/>
      <c r="AJ37" s="296"/>
      <c r="AK37" s="544"/>
      <c r="AL37" s="296"/>
      <c r="AM37" s="544"/>
      <c r="AN37" s="544"/>
      <c r="AO37" s="277"/>
      <c r="AR37" s="287"/>
      <c r="AS37" s="278"/>
      <c r="AT37" s="293"/>
      <c r="AU37" s="294"/>
      <c r="AV37" s="295"/>
      <c r="AW37" s="296"/>
      <c r="AX37" s="544"/>
      <c r="AY37" s="296"/>
      <c r="AZ37" s="544"/>
      <c r="BA37" s="296"/>
    </row>
    <row r="38" spans="1:53">
      <c r="A38" s="277"/>
      <c r="E38" s="341"/>
      <c r="F38" s="279"/>
      <c r="G38" s="1295"/>
      <c r="H38" s="1301"/>
      <c r="I38" s="275"/>
      <c r="J38" s="343"/>
      <c r="K38" s="566"/>
      <c r="L38" s="378"/>
      <c r="M38" s="566"/>
      <c r="N38" s="378"/>
      <c r="O38" s="1279"/>
      <c r="S38" s="341"/>
      <c r="T38" s="279"/>
      <c r="U38" s="280"/>
      <c r="V38" s="282"/>
      <c r="W38" s="275"/>
      <c r="Y38" s="275"/>
      <c r="AB38" s="277" t="s">
        <v>593</v>
      </c>
      <c r="AE38" s="287"/>
      <c r="AF38" s="278"/>
      <c r="AG38" s="279">
        <f>+AF41/10</f>
        <v>253.86666666666665</v>
      </c>
      <c r="AH38" s="280"/>
      <c r="AI38" s="282">
        <f>AF41/AF19</f>
        <v>253.86666666666665</v>
      </c>
      <c r="AJ38" s="275"/>
      <c r="AK38" s="579">
        <f t="shared" ref="AK38" si="8">(AI38*(217/145-1))+AI38</f>
        <v>379.92459770114942</v>
      </c>
      <c r="AL38" s="275"/>
      <c r="AM38" s="580">
        <f t="shared" ref="AM38" si="9">(AK38*($D$14/$D$13-1))+AK38</f>
        <v>466.6400824367816</v>
      </c>
      <c r="AO38" s="277" t="s">
        <v>593</v>
      </c>
      <c r="AR38" s="287"/>
      <c r="AS38" s="278"/>
      <c r="AT38" s="279">
        <f>+AS41/15</f>
        <v>338.48888888888888</v>
      </c>
      <c r="AU38" s="280"/>
      <c r="AV38" s="282">
        <f>AS41/AS19</f>
        <v>338.48888888888888</v>
      </c>
      <c r="AW38" s="275"/>
      <c r="AX38" s="579">
        <f t="shared" ref="AX38" si="10">(AV38*(217/145-1))+AV38</f>
        <v>506.56613026819923</v>
      </c>
      <c r="AY38" s="275"/>
      <c r="AZ38" s="580">
        <f t="shared" ref="AZ38" si="11">(AX38*($D$14/$D$13-1))+AX38</f>
        <v>622.1867765823755</v>
      </c>
      <c r="BA38" s="275"/>
    </row>
    <row r="39" spans="1:53">
      <c r="A39" s="277"/>
      <c r="E39" s="341"/>
      <c r="F39" s="279"/>
      <c r="G39" s="1295"/>
      <c r="H39" s="1301"/>
      <c r="I39" s="275"/>
      <c r="J39" s="343"/>
      <c r="K39" s="566"/>
      <c r="L39" s="378"/>
      <c r="M39" s="566"/>
      <c r="N39" s="378"/>
      <c r="O39" s="1279"/>
      <c r="S39" s="341"/>
      <c r="T39" s="279"/>
      <c r="U39" s="280"/>
      <c r="V39" s="282"/>
      <c r="W39" s="275"/>
      <c r="Y39" s="275"/>
      <c r="AB39" s="283" t="s">
        <v>574</v>
      </c>
      <c r="AC39" s="231" t="s">
        <v>645</v>
      </c>
      <c r="AD39" s="231">
        <v>1</v>
      </c>
      <c r="AE39" s="287">
        <f>2000*1.12</f>
        <v>2240</v>
      </c>
      <c r="AF39" s="278">
        <f>+AE39*AD39</f>
        <v>2240</v>
      </c>
      <c r="AG39" s="342"/>
      <c r="AH39" s="298"/>
      <c r="AI39" s="282"/>
      <c r="AJ39" s="275"/>
      <c r="AL39" s="275"/>
      <c r="AO39" s="283" t="s">
        <v>574</v>
      </c>
      <c r="AP39" s="231" t="s">
        <v>645</v>
      </c>
      <c r="AQ39" s="231">
        <v>2</v>
      </c>
      <c r="AR39" s="287">
        <f>2000*1.12</f>
        <v>2240</v>
      </c>
      <c r="AS39" s="278">
        <f>+AR39*AQ39</f>
        <v>4480</v>
      </c>
      <c r="AT39" s="342"/>
      <c r="AU39" s="298"/>
      <c r="AV39" s="282"/>
      <c r="AW39" s="275"/>
      <c r="AY39" s="275"/>
      <c r="BA39" s="275"/>
    </row>
    <row r="40" spans="1:53">
      <c r="A40" s="277"/>
      <c r="E40" s="341"/>
      <c r="F40" s="279"/>
      <c r="G40" s="1295"/>
      <c r="H40" s="1301"/>
      <c r="I40" s="275"/>
      <c r="J40" s="343"/>
      <c r="K40" s="566"/>
      <c r="L40" s="378"/>
      <c r="M40" s="566"/>
      <c r="N40" s="378"/>
      <c r="O40" s="1279"/>
      <c r="S40" s="341"/>
      <c r="T40" s="279"/>
      <c r="U40" s="280"/>
      <c r="V40" s="282"/>
      <c r="W40" s="275"/>
      <c r="Y40" s="275"/>
      <c r="AB40" s="283" t="s">
        <v>574</v>
      </c>
      <c r="AC40" s="231" t="s">
        <v>598</v>
      </c>
      <c r="AD40" s="344">
        <f>1/30</f>
        <v>3.3333333333333333E-2</v>
      </c>
      <c r="AE40" s="287">
        <f>8000*1.12</f>
        <v>8960</v>
      </c>
      <c r="AF40" s="301">
        <f>+AE40*AD40</f>
        <v>298.66666666666669</v>
      </c>
      <c r="AG40" s="279"/>
      <c r="AH40" s="298"/>
      <c r="AI40" s="282"/>
      <c r="AJ40" s="275"/>
      <c r="AL40" s="275"/>
      <c r="AO40" s="283" t="s">
        <v>574</v>
      </c>
      <c r="AP40" s="231" t="s">
        <v>598</v>
      </c>
      <c r="AQ40" s="344">
        <f>2/30</f>
        <v>6.6666666666666666E-2</v>
      </c>
      <c r="AR40" s="287">
        <f>8000*1.12</f>
        <v>8960</v>
      </c>
      <c r="AS40" s="301">
        <f>+AR40*AQ40</f>
        <v>597.33333333333337</v>
      </c>
      <c r="AT40" s="279"/>
      <c r="AU40" s="298"/>
      <c r="AV40" s="282"/>
      <c r="AW40" s="275"/>
      <c r="AY40" s="275"/>
      <c r="BA40" s="275"/>
    </row>
    <row r="41" spans="1:53">
      <c r="A41" s="277"/>
      <c r="E41" s="278"/>
      <c r="F41" s="279"/>
      <c r="G41" s="1295"/>
      <c r="H41" s="1301"/>
      <c r="I41" s="275"/>
      <c r="J41" s="334"/>
      <c r="K41" s="438"/>
      <c r="L41" s="275"/>
      <c r="M41" s="438"/>
      <c r="N41" s="275"/>
      <c r="O41" s="1279"/>
      <c r="S41" s="278"/>
      <c r="T41" s="279"/>
      <c r="U41" s="280"/>
      <c r="V41" s="282"/>
      <c r="W41" s="275"/>
      <c r="Y41" s="275"/>
      <c r="AB41" s="277"/>
      <c r="AE41" s="287"/>
      <c r="AF41" s="278">
        <f>SUM(AF39:AF40)</f>
        <v>2538.6666666666665</v>
      </c>
      <c r="AG41" s="279"/>
      <c r="AH41" s="298"/>
      <c r="AI41" s="282"/>
      <c r="AJ41" s="275"/>
      <c r="AL41" s="275"/>
      <c r="AO41" s="277"/>
      <c r="AR41" s="287"/>
      <c r="AS41" s="278">
        <f>SUM(AS39:AS40)</f>
        <v>5077.333333333333</v>
      </c>
      <c r="AT41" s="279"/>
      <c r="AU41" s="298"/>
      <c r="AV41" s="282"/>
      <c r="AW41" s="275"/>
      <c r="AY41" s="275"/>
      <c r="BA41" s="275"/>
    </row>
    <row r="42" spans="1:53">
      <c r="A42" s="277"/>
      <c r="E42" s="278"/>
      <c r="F42" s="279"/>
      <c r="G42" s="1295"/>
      <c r="H42" s="1301"/>
      <c r="I42" s="275"/>
      <c r="J42" s="334"/>
      <c r="K42" s="438"/>
      <c r="L42" s="275"/>
      <c r="M42" s="438"/>
      <c r="N42" s="275"/>
      <c r="O42" s="1279"/>
      <c r="S42" s="278"/>
      <c r="T42" s="279"/>
      <c r="U42" s="280"/>
      <c r="V42" s="282"/>
      <c r="W42" s="275"/>
      <c r="Y42" s="275"/>
      <c r="AB42" s="277" t="s">
        <v>599</v>
      </c>
      <c r="AE42" s="287"/>
      <c r="AF42" s="278"/>
      <c r="AG42" s="279">
        <f>+AF46/10</f>
        <v>52.266666666666673</v>
      </c>
      <c r="AH42" s="280"/>
      <c r="AI42" s="282">
        <f>AF46/AF19</f>
        <v>52.266666666666673</v>
      </c>
      <c r="AJ42" s="275"/>
      <c r="AK42" s="579">
        <f t="shared" ref="AK42" si="12">(AI42*(217/145-1))+AI42</f>
        <v>78.219770114942548</v>
      </c>
      <c r="AL42" s="275"/>
      <c r="AM42" s="580">
        <f t="shared" ref="AM42" si="13">(AK42*($D$14/$D$13-1))+AK42</f>
        <v>96.07295814874918</v>
      </c>
      <c r="AO42" s="277" t="s">
        <v>599</v>
      </c>
      <c r="AR42" s="287"/>
      <c r="AS42" s="278"/>
      <c r="AT42" s="279">
        <f>+AS46/15</f>
        <v>34.844444444444449</v>
      </c>
      <c r="AU42" s="280"/>
      <c r="AV42" s="282">
        <f>AS46/AS19</f>
        <v>34.844444444444449</v>
      </c>
      <c r="AW42" s="275"/>
      <c r="AX42" s="579">
        <f t="shared" ref="AX42" si="14">(AV42*(217/145-1))+AV42</f>
        <v>52.146513409961699</v>
      </c>
      <c r="AY42" s="275"/>
      <c r="AZ42" s="580">
        <f t="shared" ref="AZ42" si="15">(AX42*($D$14/$D$13-1))+AX42</f>
        <v>64.048638765832777</v>
      </c>
      <c r="BA42" s="275"/>
    </row>
    <row r="43" spans="1:53">
      <c r="A43" s="277"/>
      <c r="E43" s="278"/>
      <c r="F43" s="279"/>
      <c r="G43" s="1295"/>
      <c r="H43" s="1301"/>
      <c r="I43" s="275"/>
      <c r="J43" s="334"/>
      <c r="K43" s="438"/>
      <c r="L43" s="275"/>
      <c r="M43" s="438"/>
      <c r="N43" s="275"/>
      <c r="O43" s="1279"/>
      <c r="S43" s="278"/>
      <c r="T43" s="279"/>
      <c r="U43" s="280"/>
      <c r="V43" s="282"/>
      <c r="W43" s="275"/>
      <c r="Y43" s="275"/>
      <c r="AB43" s="283" t="s">
        <v>574</v>
      </c>
      <c r="AC43" s="231" t="s">
        <v>646</v>
      </c>
      <c r="AD43" s="231">
        <v>1</v>
      </c>
      <c r="AE43" s="287">
        <f>(100+100)*1.12</f>
        <v>224.00000000000003</v>
      </c>
      <c r="AF43" s="278">
        <f>+AE43*AD43</f>
        <v>224.00000000000003</v>
      </c>
      <c r="AG43" s="279"/>
      <c r="AH43" s="280"/>
      <c r="AI43" s="282"/>
      <c r="AJ43" s="275"/>
      <c r="AL43" s="275"/>
      <c r="AO43" s="283" t="s">
        <v>574</v>
      </c>
      <c r="AP43" s="231" t="s">
        <v>646</v>
      </c>
      <c r="AQ43" s="231">
        <v>1</v>
      </c>
      <c r="AR43" s="287">
        <f>(100+100)*1.12</f>
        <v>224.00000000000003</v>
      </c>
      <c r="AS43" s="278">
        <f>+AR43*AQ43</f>
        <v>224.00000000000003</v>
      </c>
      <c r="AT43" s="279"/>
      <c r="AU43" s="280"/>
      <c r="AV43" s="282"/>
      <c r="AW43" s="275"/>
      <c r="AY43" s="275"/>
      <c r="BA43" s="275"/>
    </row>
    <row r="44" spans="1:53">
      <c r="A44" s="277"/>
      <c r="E44" s="278"/>
      <c r="F44" s="279"/>
      <c r="G44" s="1295"/>
      <c r="H44" s="1301"/>
      <c r="I44" s="275"/>
      <c r="J44" s="334"/>
      <c r="K44" s="438"/>
      <c r="L44" s="275"/>
      <c r="M44" s="438"/>
      <c r="N44" s="275"/>
      <c r="O44" s="1279"/>
      <c r="S44" s="278"/>
      <c r="T44" s="279"/>
      <c r="U44" s="280"/>
      <c r="V44" s="282"/>
      <c r="W44" s="275"/>
      <c r="Y44" s="275"/>
      <c r="AB44" s="283" t="s">
        <v>574</v>
      </c>
      <c r="AC44" s="231" t="s">
        <v>647</v>
      </c>
      <c r="AE44" s="287"/>
      <c r="AF44" s="345" t="s">
        <v>648</v>
      </c>
      <c r="AG44" s="279"/>
      <c r="AH44" s="280"/>
      <c r="AI44" s="282"/>
      <c r="AJ44" s="275"/>
      <c r="AL44" s="275"/>
      <c r="AO44" s="283" t="s">
        <v>574</v>
      </c>
      <c r="AP44" s="231" t="s">
        <v>647</v>
      </c>
      <c r="AR44" s="287"/>
      <c r="AS44" s="345" t="s">
        <v>648</v>
      </c>
      <c r="AT44" s="279"/>
      <c r="AU44" s="280"/>
      <c r="AV44" s="282"/>
      <c r="AW44" s="275"/>
      <c r="AY44" s="275"/>
      <c r="BA44" s="275"/>
    </row>
    <row r="45" spans="1:53">
      <c r="A45" s="277"/>
      <c r="E45" s="278"/>
      <c r="F45" s="279"/>
      <c r="G45" s="1295"/>
      <c r="H45" s="1301"/>
      <c r="I45" s="275"/>
      <c r="J45" s="334"/>
      <c r="K45" s="438"/>
      <c r="L45" s="275"/>
      <c r="M45" s="438"/>
      <c r="N45" s="275"/>
      <c r="O45" s="1279"/>
      <c r="S45" s="278"/>
      <c r="T45" s="279"/>
      <c r="U45" s="280"/>
      <c r="V45" s="282"/>
      <c r="W45" s="275"/>
      <c r="Y45" s="275"/>
      <c r="AB45" s="283" t="s">
        <v>574</v>
      </c>
      <c r="AC45" s="231" t="s">
        <v>604</v>
      </c>
      <c r="AD45" s="344">
        <f>1/30</f>
        <v>3.3333333333333333E-2</v>
      </c>
      <c r="AE45" s="287">
        <f>8000*1.12</f>
        <v>8960</v>
      </c>
      <c r="AF45" s="301">
        <f>+AE45*AD45</f>
        <v>298.66666666666669</v>
      </c>
      <c r="AG45" s="279"/>
      <c r="AH45" s="280"/>
      <c r="AI45" s="282"/>
      <c r="AJ45" s="275"/>
      <c r="AL45" s="275"/>
      <c r="AO45" s="283" t="s">
        <v>574</v>
      </c>
      <c r="AP45" s="231" t="s">
        <v>604</v>
      </c>
      <c r="AQ45" s="344">
        <f>1/30</f>
        <v>3.3333333333333333E-2</v>
      </c>
      <c r="AR45" s="287">
        <f>8000*1.12</f>
        <v>8960</v>
      </c>
      <c r="AS45" s="301">
        <f>+AR45*AQ45</f>
        <v>298.66666666666669</v>
      </c>
      <c r="AT45" s="279"/>
      <c r="AU45" s="280"/>
      <c r="AV45" s="282"/>
      <c r="AW45" s="275"/>
      <c r="AY45" s="275"/>
      <c r="BA45" s="275"/>
    </row>
    <row r="46" spans="1:53">
      <c r="A46" s="277"/>
      <c r="E46" s="278"/>
      <c r="F46" s="279"/>
      <c r="G46" s="1295"/>
      <c r="H46" s="1301"/>
      <c r="I46" s="275"/>
      <c r="J46" s="334"/>
      <c r="K46" s="438"/>
      <c r="L46" s="275"/>
      <c r="M46" s="438"/>
      <c r="N46" s="275"/>
      <c r="O46" s="1279"/>
      <c r="S46" s="278"/>
      <c r="T46" s="279"/>
      <c r="U46" s="280"/>
      <c r="V46" s="282"/>
      <c r="W46" s="275"/>
      <c r="Y46" s="275"/>
      <c r="AB46" s="277"/>
      <c r="AE46" s="287"/>
      <c r="AF46" s="278">
        <f>SUM(AF43:AF45)</f>
        <v>522.66666666666674</v>
      </c>
      <c r="AG46" s="279"/>
      <c r="AH46" s="280"/>
      <c r="AI46" s="282"/>
      <c r="AJ46" s="275"/>
      <c r="AL46" s="275"/>
      <c r="AO46" s="277"/>
      <c r="AR46" s="287"/>
      <c r="AS46" s="278">
        <f>SUM(AS43:AS45)</f>
        <v>522.66666666666674</v>
      </c>
      <c r="AT46" s="279"/>
      <c r="AU46" s="280"/>
      <c r="AV46" s="282"/>
      <c r="AW46" s="275"/>
      <c r="AY46" s="275"/>
      <c r="BA46" s="275"/>
    </row>
    <row r="47" spans="1:53">
      <c r="A47" s="277"/>
      <c r="E47" s="278"/>
      <c r="F47" s="279"/>
      <c r="G47" s="1295"/>
      <c r="H47" s="1301"/>
      <c r="I47" s="275"/>
      <c r="J47" s="334"/>
      <c r="K47" s="438"/>
      <c r="L47" s="275"/>
      <c r="M47" s="438"/>
      <c r="N47" s="275"/>
      <c r="O47" s="1279"/>
      <c r="S47" s="278"/>
      <c r="T47" s="279"/>
      <c r="U47" s="280"/>
      <c r="V47" s="282"/>
      <c r="W47" s="275"/>
      <c r="Y47" s="275"/>
      <c r="AB47" s="277"/>
      <c r="AE47" s="287"/>
      <c r="AF47" s="278"/>
      <c r="AG47" s="279"/>
      <c r="AH47" s="280"/>
      <c r="AI47" s="282"/>
      <c r="AJ47" s="275"/>
      <c r="AL47" s="275"/>
      <c r="AO47" s="277"/>
      <c r="AR47" s="287"/>
      <c r="AS47" s="278"/>
      <c r="AT47" s="279"/>
      <c r="AU47" s="280"/>
      <c r="AV47" s="282"/>
      <c r="AW47" s="275"/>
      <c r="AY47" s="275"/>
      <c r="BA47" s="275"/>
    </row>
    <row r="48" spans="1:53">
      <c r="A48" s="277"/>
      <c r="E48" s="278"/>
      <c r="F48" s="279"/>
      <c r="G48" s="1295"/>
      <c r="H48" s="1301"/>
      <c r="I48" s="275"/>
      <c r="J48" s="334"/>
      <c r="K48" s="438"/>
      <c r="L48" s="275"/>
      <c r="M48" s="438"/>
      <c r="N48" s="275"/>
      <c r="O48" s="1279"/>
      <c r="S48" s="278"/>
      <c r="T48" s="279"/>
      <c r="U48" s="280"/>
      <c r="V48" s="282"/>
      <c r="W48" s="275"/>
      <c r="Y48" s="275"/>
      <c r="AB48" s="277"/>
      <c r="AF48" s="341"/>
      <c r="AG48" s="279"/>
      <c r="AH48" s="280"/>
      <c r="AI48" s="282"/>
      <c r="AJ48" s="275"/>
      <c r="AL48" s="275"/>
      <c r="AO48" s="277"/>
      <c r="AS48" s="341"/>
      <c r="AT48" s="279"/>
      <c r="AU48" s="280"/>
      <c r="AV48" s="282"/>
      <c r="AW48" s="275"/>
      <c r="AY48" s="275"/>
      <c r="BA48" s="275"/>
    </row>
    <row r="49" spans="1:53">
      <c r="A49" s="346"/>
      <c r="B49" s="347"/>
      <c r="C49" s="347"/>
      <c r="D49" s="347"/>
      <c r="E49" s="348"/>
      <c r="F49" s="288"/>
      <c r="G49" s="1296"/>
      <c r="H49" s="1302"/>
      <c r="I49" s="291"/>
      <c r="J49" s="343"/>
      <c r="K49" s="570"/>
      <c r="L49" s="571"/>
      <c r="M49" s="570"/>
      <c r="N49" s="571"/>
      <c r="O49" s="519"/>
      <c r="P49" s="347"/>
      <c r="Q49" s="347"/>
      <c r="R49" s="347"/>
      <c r="S49" s="348"/>
      <c r="T49" s="288"/>
      <c r="U49" s="289"/>
      <c r="V49" s="290"/>
      <c r="W49" s="291"/>
      <c r="X49" s="462"/>
      <c r="Y49" s="291"/>
      <c r="Z49" s="347"/>
      <c r="AA49" s="291"/>
      <c r="AB49" s="277"/>
      <c r="AF49" s="278"/>
      <c r="AG49" s="279"/>
      <c r="AH49" s="280"/>
      <c r="AI49" s="282"/>
      <c r="AJ49" s="275"/>
      <c r="AL49" s="275"/>
      <c r="AO49" s="277"/>
      <c r="AS49" s="278"/>
      <c r="AT49" s="279"/>
      <c r="AU49" s="280"/>
      <c r="AV49" s="282"/>
      <c r="AW49" s="275"/>
      <c r="AY49" s="275"/>
      <c r="BA49" s="275"/>
    </row>
    <row r="50" spans="1:53">
      <c r="A50" s="349"/>
      <c r="B50" s="260"/>
      <c r="C50" s="260"/>
      <c r="D50" s="260"/>
      <c r="E50" s="350"/>
      <c r="F50" s="255"/>
      <c r="G50" s="1292"/>
      <c r="H50" s="1303"/>
      <c r="I50" s="352"/>
      <c r="J50" s="353"/>
      <c r="K50" s="567"/>
      <c r="L50" s="569"/>
      <c r="M50" s="567"/>
      <c r="N50" s="569"/>
      <c r="O50" s="1281"/>
      <c r="P50" s="260"/>
      <c r="Q50" s="260"/>
      <c r="R50" s="260"/>
      <c r="S50" s="350"/>
      <c r="T50" s="255"/>
      <c r="U50" s="256"/>
      <c r="V50" s="351"/>
      <c r="W50" s="352"/>
      <c r="X50" s="351"/>
      <c r="Y50" s="352"/>
      <c r="Z50" s="581"/>
      <c r="AA50" s="352"/>
      <c r="AB50" s="308"/>
      <c r="AC50" s="248"/>
      <c r="AD50" s="248"/>
      <c r="AE50" s="248"/>
      <c r="AF50" s="249"/>
      <c r="AG50" s="310"/>
      <c r="AH50" s="311"/>
      <c r="AI50" s="312"/>
      <c r="AJ50" s="252"/>
      <c r="AK50" s="248"/>
      <c r="AL50" s="252"/>
      <c r="AM50" s="248"/>
      <c r="AN50" s="248"/>
      <c r="AO50" s="308"/>
      <c r="AP50" s="248"/>
      <c r="AQ50" s="248"/>
      <c r="AR50" s="248"/>
      <c r="AS50" s="249"/>
      <c r="AT50" s="310"/>
      <c r="AU50" s="311"/>
      <c r="AV50" s="312"/>
      <c r="AW50" s="252"/>
      <c r="AX50" s="248"/>
      <c r="AY50" s="252"/>
      <c r="AZ50" s="248"/>
      <c r="BA50" s="252"/>
    </row>
    <row r="51" spans="1:53" ht="18.75">
      <c r="A51" s="354"/>
      <c r="B51" s="314" t="s">
        <v>438</v>
      </c>
      <c r="C51" s="314"/>
      <c r="D51" s="314"/>
      <c r="E51" s="316"/>
      <c r="F51" s="317">
        <f>SUM(F37:F50)</f>
        <v>0</v>
      </c>
      <c r="G51" s="1298" t="s">
        <v>272</v>
      </c>
      <c r="H51" s="1304">
        <f>ROUND(SUM(H36:H49),-1)</f>
        <v>660</v>
      </c>
      <c r="I51" s="355" t="s">
        <v>592</v>
      </c>
      <c r="J51" s="356"/>
      <c r="K51" s="319">
        <f t="shared" ref="K51" si="16">ROUND(SUM(K36:K49),-1)</f>
        <v>990</v>
      </c>
      <c r="L51" s="355" t="s">
        <v>592</v>
      </c>
      <c r="M51" s="319">
        <f t="shared" ref="M51" si="17">ROUND(SUM(M36:M49),-1)</f>
        <v>1220</v>
      </c>
      <c r="N51" s="355" t="s">
        <v>592</v>
      </c>
      <c r="O51" s="1282"/>
      <c r="P51" s="314" t="s">
        <v>438</v>
      </c>
      <c r="Q51" s="314"/>
      <c r="R51" s="314"/>
      <c r="S51" s="316"/>
      <c r="T51" s="317">
        <f>SUM(T36:T50)</f>
        <v>30.375000000000004</v>
      </c>
      <c r="U51" s="318" t="s">
        <v>272</v>
      </c>
      <c r="V51" s="319">
        <f>ROUND(SUM(V36:V49),-1)</f>
        <v>570</v>
      </c>
      <c r="W51" s="355" t="s">
        <v>592</v>
      </c>
      <c r="X51" s="319">
        <f t="shared" ref="X51" si="18">ROUND(SUM(X36:X49),-1)</f>
        <v>860</v>
      </c>
      <c r="Y51" s="355" t="s">
        <v>592</v>
      </c>
      <c r="Z51" s="410">
        <f t="shared" ref="Z51" si="19">ROUND(SUM(Z36:Z49),-1)</f>
        <v>1060</v>
      </c>
      <c r="AA51" s="355" t="s">
        <v>592</v>
      </c>
      <c r="AB51" s="313"/>
      <c r="AC51" s="314" t="s">
        <v>438</v>
      </c>
      <c r="AD51" s="314"/>
      <c r="AE51" s="314"/>
      <c r="AF51" s="316"/>
      <c r="AG51" s="317">
        <f>SUM(AG34:AG50)</f>
        <v>340.7833333333333</v>
      </c>
      <c r="AH51" s="318" t="s">
        <v>272</v>
      </c>
      <c r="AI51" s="319">
        <f>ROUND(SUM(AI34:AI49),-1)</f>
        <v>700</v>
      </c>
      <c r="AJ51" s="355" t="s">
        <v>592</v>
      </c>
      <c r="AK51" s="319">
        <f t="shared" ref="AK51" si="20">ROUND(SUM(AK34:AK49),-1)</f>
        <v>1050</v>
      </c>
      <c r="AL51" s="355" t="s">
        <v>592</v>
      </c>
      <c r="AM51" s="410">
        <f t="shared" ref="AM51" si="21">ROUND(SUM(AM34:AM49),-1)</f>
        <v>1290</v>
      </c>
      <c r="AN51" s="355" t="s">
        <v>592</v>
      </c>
      <c r="AO51" s="313"/>
      <c r="AP51" s="314" t="s">
        <v>438</v>
      </c>
      <c r="AQ51" s="314"/>
      <c r="AR51" s="314"/>
      <c r="AS51" s="316"/>
      <c r="AT51" s="317">
        <f>SUM(AT34:AT50)</f>
        <v>408.88333333333333</v>
      </c>
      <c r="AU51" s="318" t="s">
        <v>272</v>
      </c>
      <c r="AV51" s="319">
        <f>ROUND(SUM(AV34:AV49),-1)</f>
        <v>760</v>
      </c>
      <c r="AW51" s="355" t="s">
        <v>592</v>
      </c>
      <c r="AX51" s="319">
        <f t="shared" ref="AX51" si="22">ROUND(SUM(AX34:AX49),-1)</f>
        <v>1140</v>
      </c>
      <c r="AY51" s="355" t="s">
        <v>592</v>
      </c>
      <c r="AZ51" s="410">
        <f t="shared" ref="AZ51" si="23">ROUND(SUM(AZ34:AZ49),-1)</f>
        <v>1400</v>
      </c>
      <c r="BA51" s="355" t="s">
        <v>592</v>
      </c>
    </row>
    <row r="52" spans="1:53" ht="18.75" customHeight="1">
      <c r="A52" s="322"/>
      <c r="B52" s="262"/>
      <c r="C52" s="262"/>
      <c r="D52" s="262"/>
      <c r="E52" s="324"/>
      <c r="F52" s="265"/>
      <c r="G52" s="1293"/>
      <c r="H52" s="599"/>
      <c r="I52" s="268"/>
      <c r="J52" s="357"/>
      <c r="K52" s="457"/>
      <c r="L52" s="268"/>
      <c r="M52" s="457"/>
      <c r="N52" s="268"/>
      <c r="O52" s="1283"/>
      <c r="P52" s="262"/>
      <c r="Q52" s="262"/>
      <c r="R52" s="262"/>
      <c r="S52" s="324"/>
      <c r="T52" s="265"/>
      <c r="U52" s="266"/>
      <c r="V52" s="325"/>
      <c r="W52" s="268"/>
      <c r="X52" s="262"/>
      <c r="Y52" s="268"/>
      <c r="Z52" s="262"/>
      <c r="AA52" s="262"/>
      <c r="AB52" s="322"/>
      <c r="AC52" s="262"/>
      <c r="AD52" s="262"/>
      <c r="AE52" s="262"/>
      <c r="AF52" s="324"/>
      <c r="AG52" s="265"/>
      <c r="AH52" s="266"/>
      <c r="AI52" s="325"/>
      <c r="AJ52" s="268"/>
      <c r="AK52" s="262"/>
      <c r="AL52" s="268"/>
      <c r="AM52" s="262"/>
      <c r="AN52" s="262"/>
      <c r="AO52" s="322"/>
      <c r="AP52" s="262"/>
      <c r="AQ52" s="262"/>
      <c r="AR52" s="262"/>
      <c r="AS52" s="324"/>
      <c r="AT52" s="265"/>
      <c r="AU52" s="266"/>
      <c r="AV52" s="325"/>
      <c r="AW52" s="268"/>
      <c r="AX52" s="262"/>
      <c r="AY52" s="268"/>
      <c r="AZ52" s="262"/>
      <c r="BA52" s="268"/>
    </row>
    <row r="53" spans="1:53">
      <c r="A53" s="236"/>
      <c r="E53" s="326"/>
      <c r="H53" s="1301"/>
      <c r="I53" s="1285"/>
      <c r="J53" s="343"/>
      <c r="K53" s="1288"/>
      <c r="L53" s="1288"/>
      <c r="M53" s="1288"/>
      <c r="N53" s="378"/>
      <c r="O53" s="236"/>
      <c r="S53" s="326"/>
      <c r="T53" s="327"/>
      <c r="U53" s="328"/>
      <c r="AB53" s="236"/>
      <c r="AF53" s="329"/>
      <c r="AO53" s="236"/>
      <c r="AP53" s="236"/>
      <c r="AQ53" s="236"/>
      <c r="AR53" s="236"/>
      <c r="AS53" s="359"/>
      <c r="AT53" s="236"/>
      <c r="AU53" s="236"/>
      <c r="AV53" s="360"/>
      <c r="AW53" s="236"/>
    </row>
    <row r="54" spans="1:53">
      <c r="A54" s="236"/>
      <c r="H54" s="1301"/>
      <c r="I54" s="1285"/>
      <c r="J54" s="1285"/>
      <c r="K54" s="1285"/>
      <c r="L54" s="1285"/>
      <c r="M54" s="1285"/>
      <c r="N54" s="275"/>
      <c r="AB54" s="236"/>
      <c r="AC54" s="236"/>
      <c r="AD54" s="236"/>
      <c r="AE54" s="236"/>
      <c r="AF54" s="359"/>
      <c r="AG54" s="236"/>
      <c r="AH54" s="236"/>
      <c r="AI54" s="360"/>
      <c r="AJ54" s="236"/>
      <c r="AK54" s="236"/>
      <c r="AL54" s="236"/>
      <c r="AM54" s="236"/>
      <c r="AN54" s="236"/>
      <c r="AO54" s="236"/>
      <c r="AS54" s="329"/>
    </row>
    <row r="55" spans="1:53" s="236" customFormat="1">
      <c r="A55" s="362"/>
      <c r="B55" s="363"/>
      <c r="C55" s="363"/>
      <c r="D55" s="364"/>
      <c r="E55" s="365"/>
      <c r="F55" s="366"/>
      <c r="G55" s="367"/>
      <c r="H55" s="362"/>
      <c r="I55" s="368"/>
      <c r="J55" s="1288"/>
      <c r="K55" s="1288"/>
      <c r="L55" s="1288"/>
      <c r="M55" s="1288"/>
      <c r="N55" s="378"/>
      <c r="O55" s="363"/>
      <c r="P55" s="363"/>
      <c r="Q55" s="363"/>
      <c r="R55" s="364"/>
      <c r="S55" s="365"/>
      <c r="T55" s="366"/>
      <c r="U55" s="367"/>
      <c r="V55" s="363"/>
      <c r="W55" s="368"/>
      <c r="X55" s="574"/>
      <c r="Y55" s="574"/>
      <c r="Z55" s="574"/>
      <c r="AA55" s="574"/>
      <c r="AB55" s="370"/>
      <c r="AC55" s="363"/>
      <c r="AD55" s="363"/>
      <c r="AE55" s="363"/>
      <c r="AF55" s="363"/>
      <c r="AG55" s="363"/>
      <c r="AH55" s="363"/>
      <c r="AI55" s="367"/>
      <c r="AJ55" s="371"/>
      <c r="AK55" s="363"/>
      <c r="AL55" s="363"/>
      <c r="AM55" s="363"/>
      <c r="AN55" s="363"/>
      <c r="AO55" s="370"/>
      <c r="AP55" s="363"/>
      <c r="AQ55" s="363"/>
      <c r="AR55" s="363"/>
      <c r="AS55" s="363"/>
      <c r="AT55" s="363"/>
      <c r="AU55" s="363"/>
      <c r="AV55" s="367"/>
      <c r="AW55" s="371"/>
      <c r="AX55" s="370"/>
      <c r="AY55" s="574"/>
      <c r="AZ55" s="574"/>
      <c r="BA55" s="368"/>
    </row>
    <row r="56" spans="1:53">
      <c r="A56" s="277" t="s">
        <v>649</v>
      </c>
      <c r="E56" s="326"/>
      <c r="F56" s="231"/>
      <c r="H56" s="1301"/>
      <c r="I56" s="275"/>
      <c r="J56" s="1285"/>
      <c r="K56" s="1285"/>
      <c r="L56" s="1285"/>
      <c r="M56" s="1285"/>
      <c r="N56" s="275"/>
      <c r="O56" s="1279" t="s">
        <v>649</v>
      </c>
      <c r="S56" s="326"/>
      <c r="U56" s="328"/>
      <c r="W56" s="275"/>
      <c r="AB56" s="277" t="s">
        <v>649</v>
      </c>
      <c r="AE56" s="287"/>
      <c r="AF56" s="326"/>
      <c r="AG56" s="327" t="e">
        <f>+AF57/10</f>
        <v>#VALUE!</v>
      </c>
      <c r="AH56" s="328"/>
      <c r="AJ56" s="275"/>
      <c r="AO56" s="277" t="s">
        <v>649</v>
      </c>
      <c r="AR56" s="287"/>
      <c r="AS56" s="326"/>
      <c r="AT56" s="327" t="e">
        <f>+AS57/10</f>
        <v>#VALUE!</v>
      </c>
      <c r="AU56" s="328"/>
      <c r="AW56" s="275"/>
      <c r="AX56" s="438"/>
      <c r="BA56" s="275"/>
    </row>
    <row r="57" spans="1:53">
      <c r="A57" s="372" t="s">
        <v>574</v>
      </c>
      <c r="B57" s="231" t="s">
        <v>650</v>
      </c>
      <c r="D57" s="326">
        <f>(4200000/1100)*1.12</f>
        <v>4276.3636363636369</v>
      </c>
      <c r="E57" s="373" t="s">
        <v>301</v>
      </c>
      <c r="F57" s="327">
        <f>+D57/(25.25+50.5)</f>
        <v>56.453645364536463</v>
      </c>
      <c r="H57" s="1301"/>
      <c r="I57" s="275"/>
      <c r="J57" s="1285"/>
      <c r="K57" s="579">
        <f>D57*1.12</f>
        <v>4789.5272727272741</v>
      </c>
      <c r="L57" s="1289" t="s">
        <v>301</v>
      </c>
      <c r="M57" s="1290">
        <f t="shared" ref="M57:M58" si="24">(K57*($D$14/$D$13-1))+K57</f>
        <v>5882.7078186096269</v>
      </c>
      <c r="N57" s="582" t="s">
        <v>301</v>
      </c>
      <c r="O57" s="1284" t="s">
        <v>574</v>
      </c>
      <c r="P57" s="231" t="s">
        <v>650</v>
      </c>
      <c r="R57" s="326">
        <f>(4200000/1100)*1.12</f>
        <v>4276.3636363636369</v>
      </c>
      <c r="S57" s="373" t="s">
        <v>301</v>
      </c>
      <c r="T57" s="327">
        <f>+R57/(25.25+50.5)</f>
        <v>56.453645364536463</v>
      </c>
      <c r="U57" s="328"/>
      <c r="W57" s="275"/>
      <c r="X57" s="579">
        <f>R57*1.12</f>
        <v>4789.5272727272741</v>
      </c>
      <c r="Y57" s="373" t="s">
        <v>301</v>
      </c>
      <c r="Z57" s="580">
        <f t="shared" ref="Z57:Z58" si="25">(X57*($D$14/$D$13-1))+X57</f>
        <v>5882.7078186096269</v>
      </c>
      <c r="AA57" s="373" t="s">
        <v>301</v>
      </c>
      <c r="AB57" s="283" t="s">
        <v>574</v>
      </c>
      <c r="AC57" s="231" t="s">
        <v>651</v>
      </c>
      <c r="AD57" s="231">
        <v>1</v>
      </c>
      <c r="AE57" s="326">
        <v>493</v>
      </c>
      <c r="AF57" s="373" t="s">
        <v>301</v>
      </c>
      <c r="AG57" s="327"/>
      <c r="AH57" s="328"/>
      <c r="AJ57" s="275"/>
      <c r="AK57" s="579">
        <f>AE57*1.12</f>
        <v>552.16000000000008</v>
      </c>
      <c r="AL57" s="373" t="s">
        <v>301</v>
      </c>
      <c r="AM57" s="580">
        <f t="shared" ref="AM57" si="26">(AK57*($D$14/$D$13-1))+AK57</f>
        <v>678.18717050000009</v>
      </c>
      <c r="AN57" s="373" t="s">
        <v>301</v>
      </c>
      <c r="AO57" s="283" t="s">
        <v>574</v>
      </c>
      <c r="AP57" s="231" t="s">
        <v>651</v>
      </c>
      <c r="AQ57" s="231">
        <v>1</v>
      </c>
      <c r="AR57" s="326">
        <v>493</v>
      </c>
      <c r="AS57" s="373" t="s">
        <v>301</v>
      </c>
      <c r="AT57" s="327"/>
      <c r="AU57" s="328"/>
      <c r="AW57" s="275"/>
      <c r="AX57" s="579">
        <f>AR57*1.12</f>
        <v>552.16000000000008</v>
      </c>
      <c r="AY57" s="373" t="s">
        <v>301</v>
      </c>
      <c r="AZ57" s="580">
        <f t="shared" ref="AZ57" si="27">(AX57*($D$14/$D$13-1))+AX57</f>
        <v>678.18717050000009</v>
      </c>
      <c r="BA57" s="582" t="s">
        <v>301</v>
      </c>
    </row>
    <row r="58" spans="1:53">
      <c r="A58" s="372" t="s">
        <v>574</v>
      </c>
      <c r="B58" s="231" t="s">
        <v>652</v>
      </c>
      <c r="D58" s="326">
        <f>D57*2</f>
        <v>8552.7272727272739</v>
      </c>
      <c r="E58" s="373" t="s">
        <v>301</v>
      </c>
      <c r="F58" s="328"/>
      <c r="G58" s="330">
        <f>+D58/(25.25+50.5)</f>
        <v>112.90729072907293</v>
      </c>
      <c r="H58" s="438"/>
      <c r="I58" s="275"/>
      <c r="J58" s="1285"/>
      <c r="K58" s="579">
        <f>D58*1.12</f>
        <v>9579.0545454545481</v>
      </c>
      <c r="L58" s="1289" t="s">
        <v>301</v>
      </c>
      <c r="M58" s="1290">
        <f t="shared" si="24"/>
        <v>11765.415637219254</v>
      </c>
      <c r="N58" s="582" t="s">
        <v>301</v>
      </c>
      <c r="O58" s="1284" t="s">
        <v>574</v>
      </c>
      <c r="P58" s="231" t="s">
        <v>652</v>
      </c>
      <c r="R58" s="326">
        <f>R57*2</f>
        <v>8552.7272727272739</v>
      </c>
      <c r="S58" s="373" t="s">
        <v>301</v>
      </c>
      <c r="T58" s="328"/>
      <c r="U58" s="330">
        <f>+R58/(25.25+50.5)</f>
        <v>112.90729072907293</v>
      </c>
      <c r="V58" s="231"/>
      <c r="W58" s="275"/>
      <c r="X58" s="579">
        <f>R58*1.12</f>
        <v>9579.0545454545481</v>
      </c>
      <c r="Y58" s="373" t="s">
        <v>301</v>
      </c>
      <c r="Z58" s="580">
        <f t="shared" si="25"/>
        <v>11765.415637219254</v>
      </c>
      <c r="AA58" s="373" t="s">
        <v>301</v>
      </c>
      <c r="AB58" s="277"/>
      <c r="AJ58" s="275"/>
      <c r="AO58" s="277"/>
      <c r="AW58" s="275"/>
      <c r="AX58" s="438"/>
      <c r="BA58" s="275"/>
    </row>
    <row r="59" spans="1:53">
      <c r="A59" s="346"/>
      <c r="B59" s="347"/>
      <c r="C59" s="347"/>
      <c r="D59" s="347"/>
      <c r="E59" s="374"/>
      <c r="F59" s="375"/>
      <c r="G59" s="376"/>
      <c r="H59" s="1302"/>
      <c r="I59" s="291"/>
      <c r="J59" s="378"/>
      <c r="K59" s="1288"/>
      <c r="L59" s="1288"/>
      <c r="M59" s="1288"/>
      <c r="N59" s="378"/>
      <c r="O59" s="519"/>
      <c r="P59" s="347"/>
      <c r="Q59" s="347"/>
      <c r="R59" s="347"/>
      <c r="S59" s="374"/>
      <c r="T59" s="375"/>
      <c r="U59" s="376"/>
      <c r="V59" s="377"/>
      <c r="W59" s="291"/>
      <c r="X59" s="347"/>
      <c r="Y59" s="347"/>
      <c r="Z59" s="347"/>
      <c r="AA59" s="347"/>
      <c r="AB59" s="346"/>
      <c r="AC59" s="347"/>
      <c r="AD59" s="347"/>
      <c r="AE59" s="347"/>
      <c r="AF59" s="347"/>
      <c r="AG59" s="347"/>
      <c r="AH59" s="347"/>
      <c r="AI59" s="377"/>
      <c r="AJ59" s="291"/>
      <c r="AK59" s="347"/>
      <c r="AL59" s="347"/>
      <c r="AM59" s="347"/>
      <c r="AN59" s="347"/>
      <c r="AO59" s="346"/>
      <c r="AP59" s="347"/>
      <c r="AQ59" s="347"/>
      <c r="AR59" s="347"/>
      <c r="AS59" s="347"/>
      <c r="AT59" s="347"/>
      <c r="AU59" s="347"/>
      <c r="AV59" s="377"/>
      <c r="AW59" s="291"/>
      <c r="AX59" s="462"/>
      <c r="AY59" s="347"/>
      <c r="AZ59" s="347"/>
      <c r="BA59" s="291"/>
    </row>
    <row r="60" spans="1:53">
      <c r="A60" s="236"/>
      <c r="J60" s="343"/>
      <c r="K60" s="369"/>
      <c r="L60" s="369"/>
      <c r="M60" s="369"/>
      <c r="N60" s="369"/>
      <c r="O60" s="236"/>
      <c r="AB60" s="236"/>
    </row>
    <row r="61" spans="1:53">
      <c r="A61" s="236"/>
      <c r="J61" s="334"/>
      <c r="O61" s="236"/>
      <c r="AB61" s="236"/>
      <c r="BA61" s="231" t="s">
        <v>42</v>
      </c>
    </row>
    <row r="62" spans="1:53">
      <c r="A62" s="236"/>
      <c r="J62" s="343"/>
      <c r="K62" s="369"/>
      <c r="L62" s="369"/>
      <c r="M62" s="369"/>
      <c r="N62" s="369"/>
      <c r="O62" s="236"/>
      <c r="AB62" s="236"/>
      <c r="AZ62" s="231" t="s">
        <v>64</v>
      </c>
    </row>
    <row r="63" spans="1:53">
      <c r="A63" s="236"/>
      <c r="J63" s="340"/>
      <c r="O63" s="236"/>
      <c r="AB63" s="236"/>
    </row>
    <row r="64" spans="1:53">
      <c r="A64" s="236"/>
      <c r="J64" s="334"/>
      <c r="AB64" s="236"/>
    </row>
    <row r="65" spans="1:28">
      <c r="A65" s="236"/>
      <c r="J65" s="379" t="e">
        <f>+(H51-F51)/F51</f>
        <v>#DIV/0!</v>
      </c>
      <c r="K65" s="568"/>
      <c r="L65" s="568"/>
      <c r="M65" s="568"/>
      <c r="N65" s="568"/>
      <c r="AB65" s="236"/>
    </row>
    <row r="66" spans="1:28">
      <c r="A66" s="236"/>
      <c r="J66" s="340"/>
      <c r="AB66" s="236"/>
    </row>
    <row r="67" spans="1:28">
      <c r="A67" s="236"/>
    </row>
    <row r="68" spans="1:28">
      <c r="A68" s="236"/>
    </row>
    <row r="69" spans="1:28">
      <c r="A69" s="236"/>
    </row>
    <row r="70" spans="1:28">
      <c r="A70" s="236"/>
    </row>
    <row r="71" spans="1:28">
      <c r="A71" s="236"/>
    </row>
    <row r="72" spans="1:28">
      <c r="A72" s="236"/>
    </row>
    <row r="73" spans="1:28">
      <c r="A73" s="236"/>
    </row>
    <row r="74" spans="1:28">
      <c r="A74" s="236"/>
    </row>
    <row r="75" spans="1:28">
      <c r="A75" s="236"/>
    </row>
    <row r="76" spans="1:28">
      <c r="A76" s="236"/>
    </row>
    <row r="77" spans="1:28">
      <c r="A77" s="236"/>
    </row>
    <row r="78" spans="1:28">
      <c r="A78" s="236"/>
    </row>
    <row r="79" spans="1:28">
      <c r="A79" s="236"/>
    </row>
    <row r="80" spans="1:28">
      <c r="A80" s="236"/>
    </row>
    <row r="81" spans="1:1">
      <c r="A81" s="236"/>
    </row>
    <row r="82" spans="1:1">
      <c r="A82" s="236"/>
    </row>
    <row r="83" spans="1:1">
      <c r="A83" s="236"/>
    </row>
    <row r="84" spans="1:1">
      <c r="A84" s="236"/>
    </row>
    <row r="85" spans="1:1">
      <c r="A85" s="236"/>
    </row>
  </sheetData>
  <sheetProtection algorithmName="SHA-512" hashValue="b5a9zOteEIlLigQrmU+2HDK4dorm5QXVdgh3vkr9gfg76MY5HYm90uxFkzn2tJia8j3OIxWq+d8ams2ObQeaww==" saltValue="zeizEUY41DrgUH2CgXIlPA==" spinCount="100000" sheet="1" objects="1" scenarios="1"/>
  <mergeCells count="34">
    <mergeCell ref="A3:AW3"/>
    <mergeCell ref="A5:AW5"/>
    <mergeCell ref="A7:AW7"/>
    <mergeCell ref="A11:AW11"/>
    <mergeCell ref="A17:B17"/>
    <mergeCell ref="O17:P17"/>
    <mergeCell ref="AB17:AF17"/>
    <mergeCell ref="AO17:AS17"/>
    <mergeCell ref="K19:L19"/>
    <mergeCell ref="M19:N19"/>
    <mergeCell ref="H16:N17"/>
    <mergeCell ref="B12:D12"/>
    <mergeCell ref="E13:N14"/>
    <mergeCell ref="H18:I18"/>
    <mergeCell ref="K18:L18"/>
    <mergeCell ref="M18:N18"/>
    <mergeCell ref="Z19:AA19"/>
    <mergeCell ref="V16:AA17"/>
    <mergeCell ref="AK18:AL18"/>
    <mergeCell ref="AM18:AN18"/>
    <mergeCell ref="AK19:AL19"/>
    <mergeCell ref="AM19:AN19"/>
    <mergeCell ref="AI16:AN17"/>
    <mergeCell ref="X18:Y18"/>
    <mergeCell ref="X19:Y19"/>
    <mergeCell ref="V18:W18"/>
    <mergeCell ref="AI18:AJ18"/>
    <mergeCell ref="Z18:AA18"/>
    <mergeCell ref="AX18:AY18"/>
    <mergeCell ref="AZ18:BA18"/>
    <mergeCell ref="AX19:AY19"/>
    <mergeCell ref="AZ19:BA19"/>
    <mergeCell ref="AV16:BA17"/>
    <mergeCell ref="AV18:AW18"/>
  </mergeCells>
  <printOptions horizontalCentered="1"/>
  <pageMargins left="0.21" right="0.16" top="0.36" bottom="0.48" header="0.51181102362204722" footer="0.21"/>
  <pageSetup paperSize="8" scale="64" firstPageNumber="4" fitToHeight="0" orientation="landscape" useFirstPageNumber="1" r:id="rId1"/>
  <headerFooter alignWithMargins="0">
    <oddHeader>&amp;C&amp;"Calibri"&amp;10&amp;K000000Confidential&amp;1#</oddHeader>
    <oddFooter>&amp;C- &amp;P -&amp;R&amp;1#&amp;"Calibri"&amp;10&amp;K000000Confidential</oddFooter>
  </headerFooter>
  <drawing r:id="rId2"/>
  <legacyDrawing r:id="rId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8">
    <tabColor theme="9" tint="-0.249977111117893"/>
    <pageSetUpPr fitToPage="1"/>
  </sheetPr>
  <dimension ref="A1:R94"/>
  <sheetViews>
    <sheetView topLeftCell="A29" zoomScale="90" zoomScaleNormal="90" workbookViewId="0">
      <selection activeCell="P47" sqref="P47"/>
    </sheetView>
  </sheetViews>
  <sheetFormatPr defaultColWidth="9.140625" defaultRowHeight="12.75"/>
  <cols>
    <col min="1" max="1" width="6.28515625" style="231" customWidth="1"/>
    <col min="2" max="2" width="27.140625" style="231" customWidth="1"/>
    <col min="3" max="3" width="15.42578125" style="231" customWidth="1"/>
    <col min="4" max="4" width="8.85546875" style="231" bestFit="1" customWidth="1"/>
    <col min="5" max="5" width="10.85546875" style="231" customWidth="1"/>
    <col min="6" max="6" width="9" style="361" bestFit="1" customWidth="1"/>
    <col min="7" max="7" width="2.5703125" style="361" customWidth="1"/>
    <col min="8" max="8" width="14" style="328" bestFit="1" customWidth="1"/>
    <col min="9" max="9" width="2.85546875" style="328" customWidth="1"/>
    <col min="10" max="10" width="17.7109375" style="330" bestFit="1" customWidth="1"/>
    <col min="11" max="11" width="5.7109375" style="231" customWidth="1"/>
    <col min="12" max="12" width="11" style="231" hidden="1" customWidth="1"/>
    <col min="13" max="13" width="9.140625" style="231"/>
    <col min="14" max="14" width="17" style="231" bestFit="1" customWidth="1"/>
    <col min="15" max="16384" width="9.140625" style="231"/>
  </cols>
  <sheetData>
    <row r="1" spans="1:17" s="217" customFormat="1" ht="6.75" customHeight="1" thickBot="1">
      <c r="B1" s="218"/>
      <c r="C1" s="218"/>
    </row>
    <row r="2" spans="1:17" s="217" customFormat="1" ht="6" customHeight="1">
      <c r="A2" s="219"/>
      <c r="B2" s="220"/>
      <c r="C2" s="220"/>
      <c r="D2" s="219"/>
      <c r="E2" s="219"/>
      <c r="F2" s="219"/>
      <c r="G2" s="219"/>
      <c r="H2" s="219"/>
      <c r="I2" s="219"/>
      <c r="J2" s="219"/>
      <c r="K2" s="219"/>
      <c r="L2" s="219"/>
    </row>
    <row r="3" spans="1:17" s="217" customFormat="1" ht="15" customHeight="1">
      <c r="A3" s="1820" t="str">
        <f>[5]Cover!$A$5</f>
        <v>AIRPORT DEVELOPMENT COST</v>
      </c>
      <c r="B3" s="1820"/>
      <c r="C3" s="1820"/>
      <c r="D3" s="1820"/>
      <c r="E3" s="1820"/>
      <c r="F3" s="1820"/>
      <c r="G3" s="1820"/>
      <c r="H3" s="1820"/>
      <c r="I3" s="1820"/>
      <c r="J3" s="1820"/>
      <c r="K3" s="1820"/>
      <c r="L3" s="1820"/>
    </row>
    <row r="4" spans="1:17" s="217" customFormat="1" ht="4.5" customHeight="1">
      <c r="A4" s="221"/>
      <c r="B4" s="222"/>
      <c r="C4" s="222"/>
      <c r="D4" s="222"/>
      <c r="E4" s="222"/>
      <c r="L4" s="222"/>
    </row>
    <row r="5" spans="1:17" s="217" customFormat="1" ht="22.5">
      <c r="A5" s="1821" t="str">
        <f>'Master Apron stands'!$A$5</f>
        <v>2.  STANDS, TAXILANES AND SERVICE ROADS</v>
      </c>
      <c r="B5" s="1821"/>
      <c r="C5" s="1821"/>
      <c r="D5" s="1821"/>
      <c r="E5" s="1821"/>
      <c r="F5" s="1821"/>
      <c r="G5" s="1821"/>
      <c r="H5" s="1821"/>
      <c r="I5" s="1821"/>
      <c r="J5" s="1821"/>
      <c r="K5" s="1821"/>
      <c r="L5" s="1821"/>
    </row>
    <row r="6" spans="1:17" s="217" customFormat="1" ht="7.5" customHeight="1">
      <c r="A6" s="221"/>
      <c r="B6" s="222"/>
      <c r="C6" s="222"/>
      <c r="D6" s="222"/>
      <c r="E6" s="222"/>
      <c r="L6" s="222"/>
    </row>
    <row r="7" spans="1:17" s="217" customFormat="1" hidden="1">
      <c r="A7" s="1822">
        <f>'Master Apron stands'!A7</f>
        <v>43040</v>
      </c>
      <c r="B7" s="1822"/>
      <c r="C7" s="1822"/>
      <c r="D7" s="1822"/>
      <c r="E7" s="1822"/>
      <c r="F7" s="1822"/>
      <c r="G7" s="1822"/>
      <c r="H7" s="1822"/>
      <c r="I7" s="1822"/>
      <c r="J7" s="1822"/>
      <c r="K7" s="1822"/>
      <c r="L7" s="1822"/>
    </row>
    <row r="8" spans="1:17" s="217" customFormat="1" ht="4.5" customHeight="1" thickBot="1">
      <c r="A8" s="226"/>
      <c r="B8" s="227"/>
      <c r="C8" s="227"/>
      <c r="D8" s="226"/>
      <c r="E8" s="226"/>
      <c r="F8" s="226"/>
      <c r="G8" s="226"/>
      <c r="H8" s="226"/>
      <c r="I8" s="226"/>
      <c r="J8" s="226"/>
      <c r="K8" s="226"/>
      <c r="L8" s="226"/>
    </row>
    <row r="9" spans="1:17" s="217" customFormat="1" ht="8.25" customHeight="1">
      <c r="A9" s="228"/>
      <c r="B9" s="229"/>
      <c r="C9" s="229"/>
      <c r="D9" s="229"/>
      <c r="E9" s="229"/>
      <c r="F9" s="229"/>
      <c r="G9" s="229"/>
      <c r="H9" s="229"/>
      <c r="I9" s="229"/>
      <c r="J9" s="229"/>
      <c r="K9" s="229"/>
      <c r="L9" s="229"/>
    </row>
    <row r="10" spans="1:17" s="217" customFormat="1" ht="15">
      <c r="A10" s="228"/>
      <c r="B10" s="229"/>
      <c r="C10" s="229"/>
      <c r="D10" s="229"/>
      <c r="E10" s="229"/>
      <c r="F10" s="229"/>
      <c r="G10" s="229"/>
      <c r="H10" s="229"/>
      <c r="I10" s="229"/>
      <c r="J10" s="229"/>
      <c r="K10" s="229"/>
      <c r="L10" s="229"/>
    </row>
    <row r="11" spans="1:17" s="217" customFormat="1" ht="18">
      <c r="A11" s="1823" t="s">
        <v>653</v>
      </c>
      <c r="B11" s="1823"/>
      <c r="C11" s="1823"/>
      <c r="D11" s="1823"/>
      <c r="E11" s="1823"/>
      <c r="F11" s="1823"/>
      <c r="G11" s="1823"/>
      <c r="H11" s="1823"/>
      <c r="I11" s="1823"/>
      <c r="J11" s="1823"/>
      <c r="K11" s="1823"/>
      <c r="L11" s="1823"/>
    </row>
    <row r="12" spans="1:17" s="217" customFormat="1" ht="15">
      <c r="A12" s="228"/>
      <c r="B12" s="229"/>
      <c r="C12" s="229"/>
      <c r="D12" s="229"/>
      <c r="E12" s="229"/>
      <c r="F12" s="229"/>
      <c r="G12" s="229"/>
      <c r="H12" s="229"/>
      <c r="I12" s="229"/>
      <c r="J12" s="229"/>
      <c r="K12" s="229"/>
      <c r="L12" s="229"/>
    </row>
    <row r="13" spans="1:17">
      <c r="F13" s="326"/>
      <c r="G13" s="326"/>
      <c r="J13" s="329"/>
    </row>
    <row r="14" spans="1:17">
      <c r="A14" s="247"/>
      <c r="B14" s="248"/>
      <c r="C14" s="248"/>
      <c r="D14" s="248"/>
      <c r="E14" s="248"/>
      <c r="F14" s="380"/>
      <c r="G14" s="380"/>
      <c r="H14" s="381"/>
      <c r="I14" s="381"/>
      <c r="J14" s="248"/>
      <c r="K14" s="252"/>
      <c r="L14" s="334"/>
    </row>
    <row r="15" spans="1:17" ht="18.75">
      <c r="A15" s="1832" t="s">
        <v>654</v>
      </c>
      <c r="B15" s="1833"/>
      <c r="C15" s="1833"/>
      <c r="D15" s="1833"/>
      <c r="E15" s="1833"/>
      <c r="F15" s="1833"/>
      <c r="G15" s="673"/>
      <c r="H15" s="1855" t="s">
        <v>655</v>
      </c>
      <c r="I15" s="1855"/>
      <c r="J15" s="1855"/>
      <c r="K15" s="1856"/>
      <c r="L15" s="334"/>
      <c r="O15" s="231" t="s">
        <v>656</v>
      </c>
      <c r="P15" s="231" t="s">
        <v>657</v>
      </c>
      <c r="Q15" s="231" t="s">
        <v>217</v>
      </c>
    </row>
    <row r="16" spans="1:17" ht="18.75">
      <c r="A16" s="1832" t="s">
        <v>658</v>
      </c>
      <c r="B16" s="1833"/>
      <c r="C16" s="1833"/>
      <c r="D16" s="1833"/>
      <c r="E16" s="1833"/>
      <c r="F16" s="1833"/>
      <c r="G16" s="673"/>
      <c r="H16" s="382"/>
      <c r="I16" s="382"/>
      <c r="J16" s="383"/>
      <c r="K16" s="384"/>
      <c r="L16" s="334"/>
      <c r="N16" s="231" t="s">
        <v>659</v>
      </c>
      <c r="O16" s="231">
        <f>'Master Apron stands'!Q31</f>
        <v>40</v>
      </c>
      <c r="P16" s="231">
        <f>'Master Apron stands'!R31</f>
        <v>56</v>
      </c>
      <c r="Q16" s="231">
        <v>7</v>
      </c>
    </row>
    <row r="17" spans="1:17" ht="18.75">
      <c r="A17" s="354" t="s">
        <v>660</v>
      </c>
      <c r="B17" s="385"/>
      <c r="C17" s="385"/>
      <c r="D17" s="385"/>
      <c r="E17" s="385"/>
      <c r="F17" s="385"/>
      <c r="G17" s="673"/>
      <c r="H17" s="382"/>
      <c r="I17" s="382"/>
      <c r="J17" s="383"/>
      <c r="K17" s="672"/>
      <c r="L17" s="334"/>
      <c r="N17" s="231" t="s">
        <v>661</v>
      </c>
      <c r="O17" s="231">
        <f>'Master Apron stands'!S38</f>
        <v>7.5</v>
      </c>
      <c r="Q17" s="231">
        <v>7</v>
      </c>
    </row>
    <row r="18" spans="1:17" ht="18.75">
      <c r="A18" s="1832" t="s">
        <v>662</v>
      </c>
      <c r="B18" s="1833"/>
      <c r="C18" s="1833"/>
      <c r="D18" s="1833"/>
      <c r="E18" s="1833"/>
      <c r="F18" s="1833"/>
      <c r="G18" s="673"/>
      <c r="H18" s="382"/>
      <c r="I18" s="382"/>
      <c r="J18" s="676"/>
      <c r="K18" s="672"/>
      <c r="L18" s="334"/>
      <c r="N18" s="231" t="s">
        <v>663</v>
      </c>
      <c r="O18" s="231">
        <f>O16*Q16+O17*Q17</f>
        <v>332.5</v>
      </c>
    </row>
    <row r="19" spans="1:17">
      <c r="A19" s="261"/>
      <c r="B19" s="262"/>
      <c r="C19" s="262"/>
      <c r="D19" s="263"/>
      <c r="E19" s="263"/>
      <c r="F19" s="386">
        <f>O18*O22</f>
        <v>37240</v>
      </c>
      <c r="G19" s="386"/>
      <c r="H19" s="387"/>
      <c r="I19" s="387"/>
      <c r="J19" s="388"/>
      <c r="K19" s="268"/>
      <c r="L19" s="334"/>
    </row>
    <row r="20" spans="1:17">
      <c r="A20" s="336"/>
      <c r="K20" s="275"/>
      <c r="L20" s="334"/>
      <c r="N20" s="231" t="s">
        <v>664</v>
      </c>
      <c r="O20" s="231">
        <v>10</v>
      </c>
    </row>
    <row r="21" spans="1:17">
      <c r="A21" s="389">
        <v>1</v>
      </c>
      <c r="B21" s="236" t="s">
        <v>665</v>
      </c>
      <c r="D21" s="390" t="s">
        <v>666</v>
      </c>
      <c r="E21" s="390">
        <v>5</v>
      </c>
      <c r="F21" s="243"/>
      <c r="G21" s="243"/>
      <c r="H21" s="391">
        <f>'Master Apron stands'!X14</f>
        <v>1150</v>
      </c>
      <c r="J21" s="392">
        <f>F21*H21</f>
        <v>0</v>
      </c>
      <c r="K21" s="275"/>
      <c r="L21" s="334"/>
      <c r="N21" s="231" t="s">
        <v>667</v>
      </c>
      <c r="O21" s="231">
        <v>46</v>
      </c>
    </row>
    <row r="22" spans="1:17">
      <c r="A22" s="336"/>
      <c r="H22" s="238"/>
      <c r="K22" s="275"/>
      <c r="L22" s="334"/>
      <c r="N22" s="231" t="s">
        <v>668</v>
      </c>
      <c r="O22" s="231">
        <f>P16+O20+O21</f>
        <v>112</v>
      </c>
    </row>
    <row r="23" spans="1:17">
      <c r="A23" s="389">
        <f>A21+1</f>
        <v>2</v>
      </c>
      <c r="B23" s="236" t="s">
        <v>669</v>
      </c>
      <c r="H23" s="238"/>
      <c r="K23" s="275"/>
      <c r="L23" s="334"/>
    </row>
    <row r="24" spans="1:17">
      <c r="A24" s="389"/>
      <c r="B24" s="231" t="s">
        <v>670</v>
      </c>
      <c r="D24" s="390">
        <f>O18+P16*2</f>
        <v>444.5</v>
      </c>
      <c r="E24" s="390">
        <v>10</v>
      </c>
      <c r="F24" s="243">
        <f>D24*E24</f>
        <v>4445</v>
      </c>
      <c r="G24" s="243"/>
      <c r="H24" s="238">
        <f>'Master Apron stands'!X41</f>
        <v>1220</v>
      </c>
      <c r="J24" s="299">
        <f>F24*H24</f>
        <v>5422900</v>
      </c>
      <c r="K24" s="275"/>
      <c r="L24" s="334"/>
    </row>
    <row r="25" spans="1:17">
      <c r="A25" s="389"/>
      <c r="B25" s="231" t="s">
        <v>671</v>
      </c>
      <c r="D25" s="390" t="s">
        <v>672</v>
      </c>
      <c r="E25" s="390">
        <v>10</v>
      </c>
      <c r="F25" s="243"/>
      <c r="G25" s="243"/>
      <c r="H25" s="238">
        <f>'Master Apron stands'!X41</f>
        <v>1220</v>
      </c>
      <c r="J25" s="299">
        <f>F25*H25</f>
        <v>0</v>
      </c>
      <c r="K25" s="275"/>
      <c r="L25" s="334"/>
    </row>
    <row r="26" spans="1:17">
      <c r="A26" s="336"/>
      <c r="H26" s="238"/>
      <c r="K26" s="275"/>
      <c r="L26" s="334"/>
    </row>
    <row r="27" spans="1:17">
      <c r="A27" s="389">
        <f>A23+1</f>
        <v>3</v>
      </c>
      <c r="B27" s="236" t="s">
        <v>673</v>
      </c>
      <c r="H27" s="238"/>
      <c r="K27" s="275"/>
      <c r="L27" s="334"/>
    </row>
    <row r="28" spans="1:17">
      <c r="A28" s="336"/>
      <c r="B28" s="231" t="s">
        <v>674</v>
      </c>
      <c r="C28" s="393">
        <v>7</v>
      </c>
      <c r="D28" s="390">
        <f>O16</f>
        <v>40</v>
      </c>
      <c r="E28" s="390">
        <f>P16</f>
        <v>56</v>
      </c>
      <c r="F28" s="243">
        <f>D28*E28*C28</f>
        <v>15680</v>
      </c>
      <c r="G28" s="243"/>
      <c r="H28" s="238">
        <f>'Master Apron stands'!X31</f>
        <v>3750</v>
      </c>
      <c r="J28" s="299">
        <f>F28*H28</f>
        <v>58800000</v>
      </c>
      <c r="K28" s="275"/>
      <c r="L28" s="334"/>
    </row>
    <row r="29" spans="1:17">
      <c r="A29" s="336"/>
      <c r="C29" s="393"/>
      <c r="D29" s="390"/>
      <c r="E29" s="390"/>
      <c r="F29" s="243"/>
      <c r="G29" s="243"/>
      <c r="H29" s="238"/>
      <c r="K29" s="275"/>
      <c r="L29" s="334"/>
    </row>
    <row r="30" spans="1:17">
      <c r="A30" s="336"/>
      <c r="H30" s="238"/>
      <c r="K30" s="275"/>
      <c r="L30" s="334"/>
    </row>
    <row r="31" spans="1:17">
      <c r="A31" s="389">
        <f>A27+1</f>
        <v>4</v>
      </c>
      <c r="B31" s="236" t="s">
        <v>675</v>
      </c>
      <c r="H31" s="238"/>
      <c r="K31" s="275"/>
      <c r="L31" s="334"/>
    </row>
    <row r="32" spans="1:17">
      <c r="A32" s="336"/>
      <c r="B32" s="231" t="s">
        <v>676</v>
      </c>
      <c r="C32" s="393">
        <v>7</v>
      </c>
      <c r="D32" s="390">
        <f>O16+O17</f>
        <v>47.5</v>
      </c>
      <c r="E32" s="390">
        <f>E28</f>
        <v>56</v>
      </c>
      <c r="F32" s="243">
        <f>D32*E32*C32</f>
        <v>18620</v>
      </c>
      <c r="G32" s="243"/>
      <c r="H32" s="238"/>
      <c r="K32" s="275"/>
      <c r="L32" s="334"/>
    </row>
    <row r="33" spans="1:12">
      <c r="A33" s="336"/>
      <c r="B33" s="231" t="s">
        <v>677</v>
      </c>
      <c r="F33" s="394">
        <f>-SUM(F28:F28)</f>
        <v>-15680</v>
      </c>
      <c r="G33" s="243"/>
      <c r="H33" s="238"/>
      <c r="K33" s="275"/>
      <c r="L33" s="334"/>
    </row>
    <row r="34" spans="1:12">
      <c r="A34" s="336"/>
      <c r="F34" s="243">
        <f>SUM(F32:F33)</f>
        <v>2940</v>
      </c>
      <c r="G34" s="243"/>
      <c r="H34" s="238">
        <f>H28</f>
        <v>3750</v>
      </c>
      <c r="J34" s="299">
        <f>F34*H34</f>
        <v>11025000</v>
      </c>
      <c r="K34" s="275"/>
      <c r="L34" s="334"/>
    </row>
    <row r="35" spans="1:12">
      <c r="A35" s="336"/>
      <c r="H35" s="238"/>
      <c r="K35" s="275"/>
      <c r="L35" s="334"/>
    </row>
    <row r="36" spans="1:12">
      <c r="A36" s="389">
        <f>A31+1</f>
        <v>5</v>
      </c>
      <c r="B36" s="236" t="s">
        <v>678</v>
      </c>
      <c r="D36" s="390">
        <f>O18</f>
        <v>332.5</v>
      </c>
      <c r="E36" s="390">
        <f>O21</f>
        <v>46</v>
      </c>
      <c r="F36" s="243">
        <f>D36*E36</f>
        <v>15295</v>
      </c>
      <c r="G36" s="243"/>
      <c r="H36" s="238">
        <f>'Master Apron stands'!X49</f>
        <v>1060</v>
      </c>
      <c r="J36" s="299">
        <f>F36*H36</f>
        <v>16212700</v>
      </c>
      <c r="K36" s="275"/>
      <c r="L36" s="334"/>
    </row>
    <row r="37" spans="1:12">
      <c r="A37" s="336"/>
      <c r="H37" s="238"/>
      <c r="K37" s="275"/>
      <c r="L37" s="334"/>
    </row>
    <row r="38" spans="1:12">
      <c r="A38" s="389">
        <f>A36+1</f>
        <v>6</v>
      </c>
      <c r="B38" s="236" t="s">
        <v>679</v>
      </c>
      <c r="C38" s="393">
        <f>SUM(C28:C28)</f>
        <v>7</v>
      </c>
      <c r="H38" s="395">
        <f>50000*1.1</f>
        <v>55000.000000000007</v>
      </c>
      <c r="J38" s="299">
        <f>C38*H38</f>
        <v>385000.00000000006</v>
      </c>
      <c r="K38" s="275"/>
      <c r="L38" s="334"/>
    </row>
    <row r="39" spans="1:12">
      <c r="A39" s="336"/>
      <c r="H39" s="238"/>
      <c r="K39" s="275"/>
      <c r="L39" s="334"/>
    </row>
    <row r="40" spans="1:12">
      <c r="A40" s="389">
        <f>A38+1</f>
        <v>7</v>
      </c>
      <c r="B40" s="236" t="s">
        <v>680</v>
      </c>
      <c r="H40" s="238"/>
      <c r="K40" s="275"/>
      <c r="L40" s="334"/>
    </row>
    <row r="41" spans="1:12">
      <c r="A41" s="336"/>
      <c r="B41" s="231" t="s">
        <v>681</v>
      </c>
      <c r="D41" s="390" t="s">
        <v>666</v>
      </c>
      <c r="H41" s="332">
        <f>'New Bldg Rates'!H54</f>
        <v>5973.7053118661261</v>
      </c>
      <c r="J41" s="396"/>
      <c r="K41" s="275"/>
      <c r="L41" s="334"/>
    </row>
    <row r="42" spans="1:12">
      <c r="A42" s="336"/>
      <c r="D42" s="390"/>
      <c r="H42" s="332"/>
      <c r="J42" s="299"/>
      <c r="K42" s="275"/>
      <c r="L42" s="334"/>
    </row>
    <row r="43" spans="1:12">
      <c r="A43" s="277"/>
      <c r="F43" s="326"/>
      <c r="G43" s="326"/>
      <c r="H43" s="238">
        <f>J43/$F$19</f>
        <v>2466.3157894736842</v>
      </c>
      <c r="J43" s="330">
        <f>SUM(J21:J41)</f>
        <v>91845600</v>
      </c>
      <c r="K43" s="275"/>
      <c r="L43" s="334"/>
    </row>
    <row r="44" spans="1:12">
      <c r="A44" s="277"/>
      <c r="B44" s="231" t="s">
        <v>682</v>
      </c>
      <c r="F44" s="326"/>
      <c r="G44" s="326"/>
      <c r="K44" s="275"/>
      <c r="L44" s="334"/>
    </row>
    <row r="45" spans="1:12">
      <c r="A45" s="277"/>
      <c r="B45" s="231" t="s">
        <v>683</v>
      </c>
      <c r="F45" s="326"/>
      <c r="G45" s="326"/>
      <c r="H45" s="397">
        <f>'New Bldg Rates'!L16</f>
        <v>0.15</v>
      </c>
      <c r="J45" s="299">
        <f>J43*H45</f>
        <v>13776840</v>
      </c>
      <c r="K45" s="275"/>
      <c r="L45" s="334"/>
    </row>
    <row r="46" spans="1:12">
      <c r="A46" s="277"/>
      <c r="F46" s="326"/>
      <c r="G46" s="326"/>
      <c r="H46" s="397"/>
      <c r="J46" s="377"/>
      <c r="K46" s="275"/>
      <c r="L46" s="334"/>
    </row>
    <row r="47" spans="1:12">
      <c r="A47" s="277"/>
      <c r="F47" s="326"/>
      <c r="G47" s="326"/>
      <c r="H47" s="397"/>
      <c r="K47" s="275"/>
      <c r="L47" s="334"/>
    </row>
    <row r="48" spans="1:12">
      <c r="A48" s="277"/>
      <c r="E48" s="231" t="s">
        <v>684</v>
      </c>
      <c r="F48" s="326"/>
      <c r="G48" s="326"/>
      <c r="H48" s="238">
        <f>J48/$F$19</f>
        <v>2836.2631578947367</v>
      </c>
      <c r="J48" s="392">
        <f>SUM(J43:J47)</f>
        <v>105622440</v>
      </c>
      <c r="K48" s="275"/>
      <c r="L48" s="334"/>
    </row>
    <row r="49" spans="1:14">
      <c r="A49" s="277"/>
      <c r="F49" s="326"/>
      <c r="G49" s="326"/>
      <c r="H49" s="238"/>
      <c r="J49" s="392"/>
      <c r="K49" s="275"/>
      <c r="L49" s="334"/>
    </row>
    <row r="50" spans="1:14">
      <c r="A50" s="277"/>
      <c r="B50" s="231" t="s">
        <v>685</v>
      </c>
      <c r="F50" s="326"/>
      <c r="G50" s="326"/>
      <c r="H50" s="397">
        <f>'New Bldg Rates'!M16</f>
        <v>0.02</v>
      </c>
      <c r="J50" s="299">
        <f>(J48)*H50</f>
        <v>2112448.7999999998</v>
      </c>
      <c r="K50" s="275"/>
      <c r="L50" s="334"/>
    </row>
    <row r="51" spans="1:14">
      <c r="A51" s="277"/>
      <c r="F51" s="326"/>
      <c r="G51" s="326"/>
      <c r="H51" s="398"/>
      <c r="J51" s="299"/>
      <c r="K51" s="275"/>
      <c r="L51" s="334"/>
    </row>
    <row r="52" spans="1:14">
      <c r="A52" s="277"/>
      <c r="B52" s="231" t="s">
        <v>686</v>
      </c>
      <c r="F52" s="326"/>
      <c r="G52" s="326"/>
      <c r="H52" s="397">
        <f>'New Bldg Rates'!N16</f>
        <v>0.1</v>
      </c>
      <c r="J52" s="299">
        <f>SUM(J48:J51)*H52</f>
        <v>10773488.880000001</v>
      </c>
      <c r="K52" s="275"/>
      <c r="L52" s="334"/>
    </row>
    <row r="53" spans="1:14">
      <c r="A53" s="277"/>
      <c r="F53" s="326"/>
      <c r="G53" s="326"/>
      <c r="H53" s="397"/>
      <c r="J53" s="299"/>
      <c r="K53" s="275"/>
      <c r="L53" s="334"/>
    </row>
    <row r="54" spans="1:14">
      <c r="A54" s="277"/>
      <c r="B54" s="231" t="s">
        <v>682</v>
      </c>
      <c r="F54" s="326"/>
      <c r="G54" s="326"/>
      <c r="H54" s="397"/>
      <c r="K54" s="275"/>
      <c r="L54" s="334"/>
    </row>
    <row r="55" spans="1:14">
      <c r="A55" s="277"/>
      <c r="B55" s="231" t="s">
        <v>687</v>
      </c>
      <c r="F55" s="326"/>
      <c r="G55" s="326"/>
      <c r="H55" s="397"/>
      <c r="K55" s="275"/>
      <c r="L55" s="334"/>
    </row>
    <row r="56" spans="1:14">
      <c r="A56" s="277"/>
      <c r="B56" s="237" t="s">
        <v>688</v>
      </c>
      <c r="C56" s="399">
        <f>'Master Apron stands'!A7</f>
        <v>43040</v>
      </c>
      <c r="F56" s="231"/>
      <c r="G56" s="326"/>
      <c r="H56" s="397"/>
      <c r="K56" s="275"/>
      <c r="L56" s="334"/>
    </row>
    <row r="57" spans="1:14">
      <c r="A57" s="277"/>
      <c r="B57" s="237" t="s">
        <v>689</v>
      </c>
      <c r="C57" s="399">
        <v>43525</v>
      </c>
      <c r="D57" s="400">
        <f>(C57-C56)/(365/12)</f>
        <v>15.945205479452055</v>
      </c>
      <c r="E57" s="401">
        <v>7.0000000000000007E-2</v>
      </c>
      <c r="F57" s="231" t="s">
        <v>690</v>
      </c>
      <c r="G57" s="326"/>
      <c r="H57" s="397"/>
      <c r="J57" s="299">
        <f>J48*(E57/12)*D57</f>
        <v>9824333.8027397264</v>
      </c>
      <c r="K57" s="275"/>
      <c r="L57" s="334"/>
    </row>
    <row r="58" spans="1:14">
      <c r="A58" s="277"/>
      <c r="B58" s="237" t="s">
        <v>691</v>
      </c>
      <c r="C58" s="399">
        <v>43678</v>
      </c>
      <c r="D58" s="400">
        <f>(C58-C57)/(365/12)</f>
        <v>5.0301369863013701</v>
      </c>
      <c r="E58" s="401">
        <v>7.0000000000000007E-2</v>
      </c>
      <c r="F58" s="231" t="s">
        <v>692</v>
      </c>
      <c r="G58" s="326"/>
      <c r="H58" s="402">
        <v>0.6</v>
      </c>
      <c r="J58" s="299">
        <f>(J57+J48)*(E58/12*D58)*H58</f>
        <v>2032495.8039901522</v>
      </c>
      <c r="K58" s="275"/>
      <c r="L58" s="334"/>
    </row>
    <row r="59" spans="1:14">
      <c r="A59" s="277"/>
      <c r="B59" s="237"/>
      <c r="C59" s="399"/>
      <c r="F59" s="326"/>
      <c r="G59" s="326"/>
      <c r="H59" s="397"/>
      <c r="K59" s="275"/>
      <c r="L59" s="334"/>
    </row>
    <row r="60" spans="1:14">
      <c r="A60" s="277"/>
      <c r="K60" s="275"/>
      <c r="L60" s="334"/>
    </row>
    <row r="61" spans="1:14">
      <c r="A61" s="277"/>
      <c r="B61" s="231" t="s">
        <v>693</v>
      </c>
      <c r="F61" s="326"/>
      <c r="G61" s="326"/>
      <c r="H61" s="397">
        <f>'New Bldg Rates'!O16</f>
        <v>0.18</v>
      </c>
      <c r="J61" s="299">
        <f>SUM(J47:J59)*H61</f>
        <v>23465737.311611377</v>
      </c>
      <c r="K61" s="275"/>
      <c r="L61" s="334"/>
    </row>
    <row r="62" spans="1:14">
      <c r="A62" s="277"/>
      <c r="K62" s="275"/>
      <c r="L62" s="334"/>
      <c r="N62" s="403"/>
    </row>
    <row r="63" spans="1:14">
      <c r="A63" s="277"/>
      <c r="F63" s="326"/>
      <c r="G63" s="326"/>
      <c r="K63" s="275"/>
      <c r="L63" s="343"/>
    </row>
    <row r="64" spans="1:14">
      <c r="A64" s="308"/>
      <c r="B64" s="248"/>
      <c r="C64" s="248"/>
      <c r="D64" s="248"/>
      <c r="E64" s="248"/>
      <c r="F64" s="380"/>
      <c r="G64" s="380"/>
      <c r="H64" s="404"/>
      <c r="I64" s="404"/>
      <c r="J64" s="405"/>
      <c r="K64" s="252"/>
      <c r="L64" s="353"/>
    </row>
    <row r="65" spans="1:18" ht="18.75">
      <c r="A65" s="354"/>
      <c r="B65" s="314" t="s">
        <v>438</v>
      </c>
      <c r="C65" s="314"/>
      <c r="D65" s="314"/>
      <c r="E65" s="314"/>
      <c r="F65" s="406"/>
      <c r="G65" s="407" t="s">
        <v>694</v>
      </c>
      <c r="H65" s="408">
        <f>J65/F19</f>
        <v>4130.7987271305383</v>
      </c>
      <c r="I65" s="409"/>
      <c r="J65" s="410">
        <f>SUM(J47:J63)</f>
        <v>153830944.59834126</v>
      </c>
      <c r="K65" s="355"/>
      <c r="L65" s="356"/>
    </row>
    <row r="66" spans="1:18" ht="8.25" customHeight="1">
      <c r="A66" s="322"/>
      <c r="B66" s="262"/>
      <c r="C66" s="262"/>
      <c r="D66" s="262"/>
      <c r="E66" s="262"/>
      <c r="F66" s="411"/>
      <c r="G66" s="412"/>
      <c r="H66" s="387"/>
      <c r="I66" s="387"/>
      <c r="J66" s="413"/>
      <c r="K66" s="268"/>
      <c r="L66" s="414"/>
      <c r="M66" s="358"/>
    </row>
    <row r="67" spans="1:18">
      <c r="A67" s="236"/>
      <c r="F67" s="326"/>
      <c r="G67" s="326"/>
      <c r="L67" s="343"/>
    </row>
    <row r="68" spans="1:18">
      <c r="A68" s="235"/>
      <c r="F68" s="326"/>
      <c r="G68" s="326"/>
      <c r="L68" s="343"/>
    </row>
    <row r="69" spans="1:18">
      <c r="A69" s="235"/>
      <c r="F69" s="326"/>
      <c r="G69" s="326"/>
      <c r="L69" s="334"/>
    </row>
    <row r="70" spans="1:18">
      <c r="A70" s="235"/>
      <c r="F70" s="326"/>
      <c r="G70" s="326"/>
      <c r="L70" s="334"/>
    </row>
    <row r="71" spans="1:18">
      <c r="A71" s="235"/>
      <c r="F71" s="326"/>
      <c r="G71" s="326"/>
      <c r="L71" s="334"/>
    </row>
    <row r="72" spans="1:18">
      <c r="A72" s="235"/>
      <c r="F72" s="326"/>
      <c r="G72" s="326"/>
      <c r="L72" s="334"/>
      <c r="N72" s="236"/>
      <c r="O72" s="236"/>
      <c r="P72" s="236"/>
      <c r="Q72" s="236"/>
      <c r="R72" s="236"/>
    </row>
    <row r="73" spans="1:18" s="236" customFormat="1">
      <c r="A73" s="235"/>
      <c r="B73" s="231"/>
      <c r="C73" s="231"/>
      <c r="D73" s="231"/>
      <c r="E73" s="231"/>
      <c r="F73" s="326"/>
      <c r="G73" s="326"/>
      <c r="H73" s="328"/>
      <c r="I73" s="328"/>
      <c r="J73" s="330"/>
      <c r="K73" s="231"/>
      <c r="L73" s="343"/>
      <c r="N73" s="231"/>
      <c r="O73" s="231"/>
      <c r="P73" s="231"/>
      <c r="Q73" s="231"/>
      <c r="R73" s="231"/>
    </row>
    <row r="74" spans="1:18">
      <c r="A74" s="236"/>
      <c r="F74" s="326"/>
      <c r="G74" s="326"/>
      <c r="L74" s="334"/>
    </row>
    <row r="75" spans="1:18">
      <c r="A75" s="236"/>
      <c r="F75" s="326"/>
      <c r="G75" s="326"/>
      <c r="L75" s="343"/>
    </row>
    <row r="76" spans="1:18">
      <c r="A76" s="236"/>
      <c r="L76" s="343"/>
    </row>
    <row r="77" spans="1:18">
      <c r="A77" s="236"/>
      <c r="L77" s="343"/>
    </row>
    <row r="78" spans="1:18">
      <c r="A78" s="236"/>
      <c r="L78" s="343"/>
    </row>
    <row r="79" spans="1:18">
      <c r="A79" s="236"/>
      <c r="E79" s="287"/>
      <c r="F79" s="326"/>
      <c r="G79" s="326"/>
      <c r="L79" s="343"/>
    </row>
    <row r="80" spans="1:18">
      <c r="A80" s="236"/>
    </row>
    <row r="81" spans="1:1">
      <c r="A81" s="236"/>
    </row>
    <row r="82" spans="1:1">
      <c r="A82" s="236"/>
    </row>
    <row r="83" spans="1:1">
      <c r="A83" s="236"/>
    </row>
    <row r="84" spans="1:1">
      <c r="A84" s="236"/>
    </row>
    <row r="85" spans="1:1">
      <c r="A85" s="236"/>
    </row>
    <row r="86" spans="1:1">
      <c r="A86" s="236"/>
    </row>
    <row r="87" spans="1:1">
      <c r="A87" s="236"/>
    </row>
    <row r="88" spans="1:1">
      <c r="A88" s="236"/>
    </row>
    <row r="89" spans="1:1">
      <c r="A89" s="236"/>
    </row>
    <row r="90" spans="1:1">
      <c r="A90" s="236"/>
    </row>
    <row r="91" spans="1:1">
      <c r="A91" s="236"/>
    </row>
    <row r="92" spans="1:1">
      <c r="A92" s="236"/>
    </row>
    <row r="93" spans="1:1">
      <c r="A93" s="236"/>
    </row>
    <row r="94" spans="1:1">
      <c r="A94" s="236"/>
    </row>
  </sheetData>
  <mergeCells count="8">
    <mergeCell ref="A16:F16"/>
    <mergeCell ref="A18:F18"/>
    <mergeCell ref="A3:L3"/>
    <mergeCell ref="A5:L5"/>
    <mergeCell ref="A7:L7"/>
    <mergeCell ref="A11:L11"/>
    <mergeCell ref="A15:F15"/>
    <mergeCell ref="H15:K15"/>
  </mergeCells>
  <printOptions horizontalCentered="1"/>
  <pageMargins left="0.39370078740157483" right="0.31496062992125984" top="0.64" bottom="0.43" header="0.51181102362204722" footer="0.19"/>
  <pageSetup paperSize="8" scale="85" firstPageNumber="5"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9">
    <tabColor rgb="FFFFFF00"/>
    <pageSetUpPr fitToPage="1"/>
  </sheetPr>
  <dimension ref="A1:AU64"/>
  <sheetViews>
    <sheetView zoomScale="90" zoomScaleNormal="90" workbookViewId="0">
      <selection activeCell="AC66" sqref="AC66:AH70"/>
    </sheetView>
  </sheetViews>
  <sheetFormatPr defaultColWidth="9.140625" defaultRowHeight="12.75"/>
  <cols>
    <col min="1" max="1" width="1.5703125" style="231" customWidth="1"/>
    <col min="2" max="4" width="4.42578125" style="231" customWidth="1"/>
    <col min="5" max="5" width="4.42578125" style="326" customWidth="1"/>
    <col min="6" max="6" width="4.42578125" style="329" customWidth="1"/>
    <col min="7" max="11" width="4.42578125" style="231" customWidth="1"/>
    <col min="12" max="13" width="4.42578125" style="329" customWidth="1"/>
    <col min="14" max="14" width="4.42578125" style="231" customWidth="1"/>
    <col min="15" max="15" width="5.42578125" style="231" bestFit="1" customWidth="1"/>
    <col min="16" max="16" width="4.28515625" style="231" customWidth="1"/>
    <col min="17" max="17" width="4.42578125" style="231" customWidth="1"/>
    <col min="18" max="18" width="4" style="231" customWidth="1"/>
    <col min="19" max="22" width="4.42578125" style="329" customWidth="1"/>
    <col min="23" max="23" width="5" style="329" customWidth="1"/>
    <col min="24" max="34" width="4.42578125" style="329" customWidth="1"/>
    <col min="35" max="35" width="6.28515625" style="329" customWidth="1"/>
    <col min="36" max="41" width="4.42578125" style="329" customWidth="1"/>
    <col min="42" max="43" width="4.42578125" style="231" customWidth="1"/>
    <col min="44" max="16384" width="9.140625" style="231"/>
  </cols>
  <sheetData>
    <row r="1" spans="1:47" s="217" customFormat="1" ht="6.75" customHeight="1" thickBot="1">
      <c r="B1" s="218"/>
    </row>
    <row r="2" spans="1:47"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G2" s="219"/>
      <c r="AH2" s="219"/>
      <c r="AI2" s="219"/>
      <c r="AJ2" s="219"/>
      <c r="AK2" s="219"/>
      <c r="AL2" s="219"/>
      <c r="AM2" s="219"/>
      <c r="AN2" s="219"/>
      <c r="AO2" s="219"/>
      <c r="AP2" s="219"/>
      <c r="AQ2" s="219"/>
    </row>
    <row r="3" spans="1:47"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c r="X3" s="1820"/>
      <c r="Y3" s="1820"/>
      <c r="Z3" s="1820"/>
      <c r="AA3" s="1820"/>
      <c r="AB3" s="1820"/>
      <c r="AC3" s="1820"/>
      <c r="AD3" s="1820"/>
      <c r="AE3" s="1820"/>
      <c r="AF3" s="1820"/>
      <c r="AG3" s="1820"/>
      <c r="AH3" s="1820"/>
      <c r="AI3" s="1820"/>
      <c r="AJ3" s="1820"/>
      <c r="AK3" s="1820"/>
      <c r="AL3" s="1820"/>
      <c r="AM3" s="1820"/>
      <c r="AN3" s="1820"/>
      <c r="AO3" s="1820"/>
      <c r="AP3" s="1820"/>
      <c r="AQ3" s="1820"/>
    </row>
    <row r="4" spans="1:47" s="217" customFormat="1" ht="4.5" customHeight="1">
      <c r="A4" s="221"/>
      <c r="B4" s="222"/>
      <c r="C4" s="222"/>
      <c r="D4" s="222"/>
      <c r="H4" s="222"/>
      <c r="I4" s="222"/>
      <c r="J4" s="222"/>
      <c r="K4" s="222"/>
      <c r="M4" s="223"/>
      <c r="N4" s="224"/>
      <c r="O4" s="225"/>
    </row>
    <row r="5" spans="1:47" s="217" customFormat="1" ht="22.5">
      <c r="A5" s="1821" t="s">
        <v>695</v>
      </c>
      <c r="B5" s="1821"/>
      <c r="C5" s="1821"/>
      <c r="D5" s="1821"/>
      <c r="E5" s="1821"/>
      <c r="F5" s="1821"/>
      <c r="G5" s="1821"/>
      <c r="H5" s="1821"/>
      <c r="I5" s="1821"/>
      <c r="J5" s="1821"/>
      <c r="K5" s="1821"/>
      <c r="L5" s="1821"/>
      <c r="M5" s="1821"/>
      <c r="N5" s="1821"/>
      <c r="O5" s="1821"/>
      <c r="P5" s="1821"/>
      <c r="Q5" s="1821"/>
      <c r="R5" s="1821"/>
      <c r="S5" s="1821"/>
      <c r="T5" s="1821"/>
      <c r="U5" s="1821"/>
      <c r="V5" s="1821"/>
      <c r="W5" s="1821"/>
      <c r="X5" s="1821"/>
      <c r="Y5" s="1821"/>
      <c r="Z5" s="1821"/>
      <c r="AA5" s="1821"/>
      <c r="AB5" s="1821"/>
      <c r="AC5" s="1821"/>
      <c r="AD5" s="1821"/>
      <c r="AE5" s="1821"/>
      <c r="AF5" s="1821"/>
      <c r="AG5" s="1821"/>
      <c r="AH5" s="1821"/>
      <c r="AI5" s="1821"/>
      <c r="AJ5" s="1821"/>
      <c r="AK5" s="1821"/>
      <c r="AL5" s="1821"/>
      <c r="AM5" s="1821"/>
      <c r="AN5" s="1821"/>
      <c r="AO5" s="1821"/>
      <c r="AP5" s="1821"/>
      <c r="AQ5" s="1821"/>
    </row>
    <row r="6" spans="1:47" s="217" customFormat="1" ht="7.5" customHeight="1">
      <c r="A6" s="221"/>
      <c r="B6" s="222"/>
      <c r="C6" s="222"/>
      <c r="D6" s="222"/>
      <c r="H6" s="222"/>
      <c r="I6" s="222"/>
      <c r="J6" s="222"/>
      <c r="K6" s="222"/>
      <c r="M6" s="223"/>
      <c r="N6" s="224"/>
      <c r="O6" s="225"/>
    </row>
    <row r="7" spans="1:47" s="217" customFormat="1">
      <c r="A7" s="1822"/>
      <c r="B7" s="1822"/>
      <c r="C7" s="1822"/>
      <c r="D7" s="1822"/>
      <c r="E7" s="1822"/>
      <c r="F7" s="1822"/>
      <c r="G7" s="1822"/>
      <c r="H7" s="1822"/>
      <c r="I7" s="1822"/>
      <c r="J7" s="1822"/>
      <c r="K7" s="1822"/>
      <c r="L7" s="1822"/>
      <c r="M7" s="1822"/>
      <c r="N7" s="1822"/>
      <c r="O7" s="1822"/>
      <c r="P7" s="1822"/>
      <c r="Q7" s="1822"/>
      <c r="R7" s="1822"/>
      <c r="S7" s="1822"/>
      <c r="T7" s="1822"/>
      <c r="U7" s="1822"/>
      <c r="V7" s="1822"/>
      <c r="W7" s="1822"/>
      <c r="X7" s="1822"/>
      <c r="Y7" s="1822"/>
      <c r="Z7" s="1822"/>
      <c r="AA7" s="1822"/>
      <c r="AB7" s="1822"/>
      <c r="AC7" s="1822"/>
      <c r="AD7" s="1822"/>
      <c r="AE7" s="1822"/>
      <c r="AF7" s="1822"/>
      <c r="AG7" s="1822"/>
      <c r="AH7" s="1822"/>
      <c r="AI7" s="1822"/>
      <c r="AJ7" s="1822"/>
      <c r="AK7" s="1822"/>
      <c r="AL7" s="1822"/>
      <c r="AM7" s="1822"/>
      <c r="AN7" s="1822"/>
      <c r="AO7" s="1822"/>
      <c r="AP7" s="1822"/>
      <c r="AQ7" s="1822"/>
    </row>
    <row r="8" spans="1:47"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c r="X8" s="226"/>
      <c r="Y8" s="226"/>
      <c r="Z8" s="226"/>
      <c r="AA8" s="226"/>
      <c r="AB8" s="226"/>
      <c r="AC8" s="226"/>
      <c r="AD8" s="226"/>
      <c r="AE8" s="226"/>
      <c r="AF8" s="226"/>
      <c r="AG8" s="226"/>
      <c r="AH8" s="226"/>
      <c r="AI8" s="226"/>
      <c r="AJ8" s="226"/>
      <c r="AK8" s="226"/>
      <c r="AL8" s="226"/>
      <c r="AM8" s="226"/>
      <c r="AN8" s="226"/>
      <c r="AO8" s="226"/>
      <c r="AP8" s="226"/>
      <c r="AQ8" s="226"/>
    </row>
    <row r="9" spans="1:47" s="217" customFormat="1" ht="8.25" customHeight="1">
      <c r="A9" s="228"/>
      <c r="B9" s="229"/>
      <c r="C9" s="229"/>
      <c r="D9" s="229"/>
      <c r="E9" s="229"/>
      <c r="F9" s="229"/>
      <c r="G9" s="229"/>
      <c r="H9" s="229"/>
      <c r="I9" s="229"/>
      <c r="J9" s="230"/>
      <c r="K9" s="229"/>
      <c r="L9" s="229"/>
      <c r="M9" s="229"/>
      <c r="N9" s="229"/>
      <c r="O9" s="229"/>
      <c r="P9" s="229"/>
      <c r="Q9" s="229"/>
      <c r="R9" s="229"/>
      <c r="S9" s="229"/>
      <c r="T9" s="229"/>
      <c r="U9" s="229"/>
      <c r="V9" s="229"/>
      <c r="W9" s="229"/>
      <c r="X9" s="229"/>
      <c r="Y9" s="229"/>
      <c r="Z9" s="229"/>
      <c r="AA9" s="229"/>
      <c r="AB9" s="229"/>
      <c r="AC9" s="229"/>
      <c r="AD9" s="229"/>
      <c r="AE9" s="229"/>
      <c r="AF9" s="229"/>
      <c r="AG9" s="229"/>
      <c r="AH9" s="229"/>
      <c r="AI9" s="229"/>
      <c r="AJ9" s="229"/>
      <c r="AK9" s="229"/>
      <c r="AL9" s="229"/>
      <c r="AM9" s="229"/>
      <c r="AN9" s="229"/>
      <c r="AO9" s="229"/>
      <c r="AP9" s="229"/>
      <c r="AQ9" s="229"/>
    </row>
    <row r="10" spans="1:47" s="217" customFormat="1" ht="18">
      <c r="A10" s="1823" t="s">
        <v>696</v>
      </c>
      <c r="B10" s="1823"/>
      <c r="C10" s="1823"/>
      <c r="D10" s="1823"/>
      <c r="E10" s="1823"/>
      <c r="F10" s="1823"/>
      <c r="G10" s="1823"/>
      <c r="H10" s="1823"/>
      <c r="I10" s="1823"/>
      <c r="J10" s="1823"/>
      <c r="K10" s="1823"/>
      <c r="L10" s="1823"/>
      <c r="M10" s="1823"/>
      <c r="N10" s="1823"/>
      <c r="O10" s="1823"/>
      <c r="P10" s="1823"/>
      <c r="Q10" s="1823"/>
      <c r="R10" s="1823"/>
      <c r="S10" s="1823"/>
      <c r="T10" s="1823"/>
      <c r="U10" s="1823"/>
      <c r="V10" s="1823"/>
      <c r="W10" s="1823"/>
      <c r="X10" s="1823"/>
      <c r="Y10" s="1823"/>
      <c r="Z10" s="1823"/>
      <c r="AA10" s="1823"/>
      <c r="AB10" s="1823"/>
      <c r="AC10" s="1823"/>
      <c r="AD10" s="1823"/>
      <c r="AE10" s="1823"/>
      <c r="AF10" s="1823"/>
      <c r="AG10" s="1823"/>
      <c r="AH10" s="1823"/>
      <c r="AI10" s="1823"/>
      <c r="AJ10" s="1823"/>
      <c r="AK10" s="1823"/>
      <c r="AL10" s="1823"/>
      <c r="AM10" s="1823"/>
      <c r="AN10" s="1823"/>
      <c r="AO10" s="1823"/>
      <c r="AP10" s="1823"/>
      <c r="AQ10" s="1823"/>
    </row>
    <row r="12" spans="1:47">
      <c r="C12" s="415" t="s">
        <v>697</v>
      </c>
      <c r="P12" s="1867" t="s">
        <v>698</v>
      </c>
      <c r="Q12" s="1867"/>
      <c r="R12" s="1867"/>
      <c r="S12" s="1867"/>
      <c r="T12" s="1867"/>
      <c r="U12" s="1867"/>
      <c r="V12" s="1867"/>
      <c r="W12" s="1867"/>
      <c r="X12" s="1867"/>
      <c r="Y12" s="1867"/>
      <c r="Z12" s="1867"/>
      <c r="AA12" s="1867"/>
      <c r="AB12" s="1867"/>
      <c r="AC12" s="1867"/>
      <c r="AD12" s="674"/>
      <c r="AE12" s="674"/>
      <c r="AF12" s="415"/>
      <c r="AH12" s="415"/>
      <c r="AI12" s="415"/>
      <c r="AJ12" s="415"/>
      <c r="AK12" s="415"/>
      <c r="AL12" s="415"/>
      <c r="AM12" s="415"/>
      <c r="AN12" s="415"/>
      <c r="AO12" s="415"/>
      <c r="AP12" s="415"/>
      <c r="AQ12" s="415"/>
      <c r="AR12" s="415"/>
      <c r="AS12" s="415"/>
      <c r="AT12" s="415"/>
      <c r="AU12" s="415"/>
    </row>
    <row r="13" spans="1:47">
      <c r="S13" s="326"/>
      <c r="U13" s="231"/>
      <c r="V13" s="231"/>
      <c r="W13" s="231"/>
      <c r="X13" s="231"/>
      <c r="Y13" s="231"/>
      <c r="AB13" s="231"/>
      <c r="AC13" s="231"/>
    </row>
    <row r="14" spans="1:47">
      <c r="D14" s="1907" t="s">
        <v>699</v>
      </c>
      <c r="E14" s="1908"/>
      <c r="F14" s="1908"/>
      <c r="G14" s="1908"/>
      <c r="H14" s="1908"/>
      <c r="I14" s="1908"/>
      <c r="J14" s="1909"/>
      <c r="L14" s="231"/>
      <c r="M14" s="231"/>
      <c r="P14" s="236"/>
      <c r="Q14" s="236"/>
      <c r="R14" s="1966" t="s">
        <v>700</v>
      </c>
      <c r="S14" s="1967"/>
      <c r="T14" s="1967"/>
      <c r="U14" s="1967"/>
      <c r="V14" s="1967"/>
      <c r="W14" s="1967"/>
      <c r="X14" s="1967"/>
      <c r="Y14" s="1967"/>
      <c r="Z14" s="1967"/>
      <c r="AA14" s="1967"/>
      <c r="AB14" s="1967"/>
      <c r="AC14" s="1967"/>
      <c r="AD14" s="1967"/>
      <c r="AE14" s="1967"/>
      <c r="AF14" s="1967"/>
      <c r="AG14" s="1968"/>
      <c r="AH14" s="1969" t="s">
        <v>701</v>
      </c>
      <c r="AI14" s="1970"/>
      <c r="AJ14" s="1971"/>
      <c r="AK14" s="1969" t="s">
        <v>701</v>
      </c>
      <c r="AL14" s="1970"/>
      <c r="AM14" s="1971"/>
      <c r="AN14" s="1969" t="s">
        <v>702</v>
      </c>
      <c r="AO14" s="1970"/>
      <c r="AP14" s="1971"/>
    </row>
    <row r="15" spans="1:47" ht="12.75" customHeight="1">
      <c r="D15" s="1868" t="s">
        <v>703</v>
      </c>
      <c r="E15" s="1869"/>
      <c r="F15" s="1958" t="s">
        <v>704</v>
      </c>
      <c r="G15" s="1958"/>
      <c r="H15" s="1958"/>
      <c r="I15" s="1958"/>
      <c r="J15" s="1959"/>
      <c r="L15" s="231"/>
      <c r="M15" s="231"/>
      <c r="P15" s="1868" t="s">
        <v>703</v>
      </c>
      <c r="Q15" s="1962"/>
      <c r="R15" s="1963" t="s">
        <v>705</v>
      </c>
      <c r="S15" s="1964"/>
      <c r="T15" s="1964"/>
      <c r="U15" s="1964"/>
      <c r="V15" s="1964"/>
      <c r="W15" s="1964"/>
      <c r="X15" s="1964"/>
      <c r="Y15" s="1965"/>
      <c r="Z15" s="1963" t="s">
        <v>706</v>
      </c>
      <c r="AA15" s="1964"/>
      <c r="AB15" s="1964"/>
      <c r="AC15" s="1964"/>
      <c r="AD15" s="1964"/>
      <c r="AE15" s="1964"/>
      <c r="AF15" s="1964"/>
      <c r="AG15" s="1965"/>
      <c r="AH15" s="1951" t="s">
        <v>707</v>
      </c>
      <c r="AI15" s="1952"/>
      <c r="AJ15" s="1953"/>
      <c r="AK15" s="1951" t="s">
        <v>708</v>
      </c>
      <c r="AL15" s="1952"/>
      <c r="AM15" s="1953"/>
      <c r="AN15" s="1951" t="s">
        <v>709</v>
      </c>
      <c r="AO15" s="1952"/>
      <c r="AP15" s="1953"/>
    </row>
    <row r="16" spans="1:47">
      <c r="D16" s="1874" t="s">
        <v>710</v>
      </c>
      <c r="E16" s="1875"/>
      <c r="F16" s="1960"/>
      <c r="G16" s="1960"/>
      <c r="H16" s="1960"/>
      <c r="I16" s="1960"/>
      <c r="J16" s="1961"/>
      <c r="L16" s="231"/>
      <c r="M16" s="231"/>
      <c r="P16" s="1874" t="s">
        <v>711</v>
      </c>
      <c r="Q16" s="1954"/>
      <c r="R16" s="1955">
        <v>1</v>
      </c>
      <c r="S16" s="1956"/>
      <c r="T16" s="1956">
        <f>R16+1</f>
        <v>2</v>
      </c>
      <c r="U16" s="1956"/>
      <c r="V16" s="1956">
        <f>T16+1</f>
        <v>3</v>
      </c>
      <c r="W16" s="1956"/>
      <c r="X16" s="1956">
        <f>V16+1</f>
        <v>4</v>
      </c>
      <c r="Y16" s="1957"/>
      <c r="Z16" s="1955">
        <v>1</v>
      </c>
      <c r="AA16" s="1956"/>
      <c r="AB16" s="1956">
        <f>Z16+1</f>
        <v>2</v>
      </c>
      <c r="AC16" s="1956"/>
      <c r="AD16" s="1956">
        <f>AB16+1</f>
        <v>3</v>
      </c>
      <c r="AE16" s="1956"/>
      <c r="AF16" s="1956">
        <f>AD16+1</f>
        <v>4</v>
      </c>
      <c r="AG16" s="1957"/>
      <c r="AH16" s="1937" t="s">
        <v>712</v>
      </c>
      <c r="AI16" s="1938"/>
      <c r="AJ16" s="1939"/>
      <c r="AK16" s="1937" t="s">
        <v>713</v>
      </c>
      <c r="AL16" s="1938"/>
      <c r="AM16" s="1939"/>
      <c r="AN16" s="1937" t="s">
        <v>712</v>
      </c>
      <c r="AO16" s="1938"/>
      <c r="AP16" s="1939"/>
    </row>
    <row r="17" spans="2:42" ht="12.75" customHeight="1">
      <c r="D17" s="1940">
        <v>1</v>
      </c>
      <c r="E17" s="1889"/>
      <c r="F17" s="1941" t="s">
        <v>714</v>
      </c>
      <c r="G17" s="1941"/>
      <c r="H17" s="1941"/>
      <c r="I17" s="1941"/>
      <c r="J17" s="1942"/>
      <c r="L17" s="231"/>
      <c r="M17" s="231"/>
      <c r="P17" s="1943" t="s">
        <v>715</v>
      </c>
      <c r="Q17" s="1943"/>
      <c r="R17" s="1945">
        <v>82.5</v>
      </c>
      <c r="S17" s="1946"/>
      <c r="T17" s="1921">
        <v>82.5</v>
      </c>
      <c r="U17" s="1921"/>
      <c r="V17" s="1923">
        <v>0</v>
      </c>
      <c r="W17" s="1923"/>
      <c r="X17" s="1923">
        <v>0</v>
      </c>
      <c r="Y17" s="1925"/>
      <c r="Z17" s="1949">
        <v>37.5</v>
      </c>
      <c r="AA17" s="1921"/>
      <c r="AB17" s="1921">
        <v>47.5</v>
      </c>
      <c r="AC17" s="1921"/>
      <c r="AD17" s="1923">
        <v>0</v>
      </c>
      <c r="AE17" s="1923"/>
      <c r="AF17" s="1923">
        <v>0</v>
      </c>
      <c r="AG17" s="1925"/>
      <c r="AH17" s="1927">
        <v>23.75</v>
      </c>
      <c r="AI17" s="1928"/>
      <c r="AJ17" s="1928"/>
      <c r="AK17" s="1927">
        <v>16.25</v>
      </c>
      <c r="AL17" s="1928"/>
      <c r="AM17" s="1928"/>
      <c r="AN17" s="1931">
        <v>12</v>
      </c>
      <c r="AO17" s="1932"/>
      <c r="AP17" s="1933"/>
    </row>
    <row r="18" spans="2:42">
      <c r="D18" s="1857"/>
      <c r="E18" s="1858"/>
      <c r="F18" s="1881"/>
      <c r="G18" s="1881"/>
      <c r="H18" s="1881"/>
      <c r="I18" s="1881"/>
      <c r="J18" s="1882"/>
      <c r="L18" s="231"/>
      <c r="M18" s="231"/>
      <c r="P18" s="1944"/>
      <c r="Q18" s="1944"/>
      <c r="R18" s="1947"/>
      <c r="S18" s="1948"/>
      <c r="T18" s="1922"/>
      <c r="U18" s="1922"/>
      <c r="V18" s="1924"/>
      <c r="W18" s="1924"/>
      <c r="X18" s="1924"/>
      <c r="Y18" s="1926"/>
      <c r="Z18" s="1950"/>
      <c r="AA18" s="1922"/>
      <c r="AB18" s="1922"/>
      <c r="AC18" s="1922"/>
      <c r="AD18" s="1924"/>
      <c r="AE18" s="1924"/>
      <c r="AF18" s="1924"/>
      <c r="AG18" s="1926"/>
      <c r="AH18" s="1929"/>
      <c r="AI18" s="1930"/>
      <c r="AJ18" s="1930"/>
      <c r="AK18" s="1929"/>
      <c r="AL18" s="1930"/>
      <c r="AM18" s="1930"/>
      <c r="AN18" s="1934"/>
      <c r="AO18" s="1935"/>
      <c r="AP18" s="1936"/>
    </row>
    <row r="19" spans="2:42">
      <c r="D19" s="1857">
        <f>D17+1</f>
        <v>2</v>
      </c>
      <c r="E19" s="1858"/>
      <c r="F19" s="1881" t="s">
        <v>716</v>
      </c>
      <c r="G19" s="1881"/>
      <c r="H19" s="1881"/>
      <c r="I19" s="1881"/>
      <c r="J19" s="1882"/>
      <c r="P19" s="1857" t="s">
        <v>717</v>
      </c>
      <c r="Q19" s="1858"/>
      <c r="R19" s="1899">
        <v>87</v>
      </c>
      <c r="S19" s="1893"/>
      <c r="T19" s="1893">
        <v>87</v>
      </c>
      <c r="U19" s="1893"/>
      <c r="V19" s="1893">
        <v>0</v>
      </c>
      <c r="W19" s="1893"/>
      <c r="X19" s="1893">
        <v>0</v>
      </c>
      <c r="Y19" s="1896"/>
      <c r="Z19" s="1892">
        <v>42</v>
      </c>
      <c r="AA19" s="1893"/>
      <c r="AB19" s="1893">
        <v>52</v>
      </c>
      <c r="AC19" s="1893"/>
      <c r="AD19" s="1893">
        <v>0</v>
      </c>
      <c r="AE19" s="1893"/>
      <c r="AF19" s="1893">
        <v>0</v>
      </c>
      <c r="AG19" s="1896"/>
      <c r="AH19" s="1901">
        <v>33.5</v>
      </c>
      <c r="AI19" s="1902"/>
      <c r="AJ19" s="1902"/>
      <c r="AK19" s="1901">
        <v>21.5</v>
      </c>
      <c r="AL19" s="1902"/>
      <c r="AM19" s="1902"/>
      <c r="AN19" s="1901">
        <v>16.5</v>
      </c>
      <c r="AO19" s="1902"/>
      <c r="AP19" s="1903"/>
    </row>
    <row r="20" spans="2:42">
      <c r="D20" s="1857"/>
      <c r="E20" s="1858"/>
      <c r="F20" s="1881"/>
      <c r="G20" s="1881"/>
      <c r="H20" s="1881"/>
      <c r="I20" s="1881"/>
      <c r="J20" s="1882"/>
      <c r="P20" s="1857"/>
      <c r="Q20" s="1858"/>
      <c r="R20" s="1899"/>
      <c r="S20" s="1893"/>
      <c r="T20" s="1893"/>
      <c r="U20" s="1893"/>
      <c r="V20" s="1893"/>
      <c r="W20" s="1893"/>
      <c r="X20" s="1893"/>
      <c r="Y20" s="1896"/>
      <c r="Z20" s="1892"/>
      <c r="AA20" s="1893"/>
      <c r="AB20" s="1893"/>
      <c r="AC20" s="1893"/>
      <c r="AD20" s="1893"/>
      <c r="AE20" s="1893"/>
      <c r="AF20" s="1893"/>
      <c r="AG20" s="1896"/>
      <c r="AH20" s="1910"/>
      <c r="AI20" s="1911"/>
      <c r="AJ20" s="1911"/>
      <c r="AK20" s="1910"/>
      <c r="AL20" s="1911"/>
      <c r="AM20" s="1911"/>
      <c r="AN20" s="1910"/>
      <c r="AO20" s="1911"/>
      <c r="AP20" s="1920"/>
    </row>
    <row r="21" spans="2:42">
      <c r="D21" s="1857">
        <f>D19+1</f>
        <v>3</v>
      </c>
      <c r="E21" s="1858"/>
      <c r="F21" s="1881" t="s">
        <v>718</v>
      </c>
      <c r="G21" s="1881"/>
      <c r="H21" s="1881"/>
      <c r="I21" s="1881"/>
      <c r="J21" s="1882"/>
      <c r="P21" s="1857" t="s">
        <v>719</v>
      </c>
      <c r="Q21" s="1858"/>
      <c r="R21" s="1899">
        <v>0</v>
      </c>
      <c r="S21" s="1893"/>
      <c r="T21" s="1893">
        <v>0</v>
      </c>
      <c r="U21" s="1893"/>
      <c r="V21" s="1893">
        <v>168</v>
      </c>
      <c r="W21" s="1893"/>
      <c r="X21" s="1893">
        <v>0</v>
      </c>
      <c r="Y21" s="1896"/>
      <c r="Z21" s="1892">
        <v>0</v>
      </c>
      <c r="AA21" s="1893"/>
      <c r="AB21" s="1893">
        <v>0</v>
      </c>
      <c r="AC21" s="1893"/>
      <c r="AD21" s="1893">
        <v>93</v>
      </c>
      <c r="AE21" s="1893"/>
      <c r="AF21" s="1893">
        <v>0</v>
      </c>
      <c r="AG21" s="1896"/>
      <c r="AH21" s="1912">
        <v>44</v>
      </c>
      <c r="AI21" s="1913"/>
      <c r="AJ21" s="1913"/>
      <c r="AK21" s="1912">
        <v>26</v>
      </c>
      <c r="AL21" s="1913"/>
      <c r="AM21" s="1913"/>
      <c r="AN21" s="1901">
        <v>24.5</v>
      </c>
      <c r="AO21" s="1902"/>
      <c r="AP21" s="1903"/>
    </row>
    <row r="22" spans="2:42">
      <c r="D22" s="1857"/>
      <c r="E22" s="1858"/>
      <c r="F22" s="1881"/>
      <c r="G22" s="1881"/>
      <c r="H22" s="1881"/>
      <c r="I22" s="1881"/>
      <c r="J22" s="1882"/>
      <c r="P22" s="1857"/>
      <c r="Q22" s="1858"/>
      <c r="R22" s="1899"/>
      <c r="S22" s="1893"/>
      <c r="T22" s="1893"/>
      <c r="U22" s="1893"/>
      <c r="V22" s="1893"/>
      <c r="W22" s="1893"/>
      <c r="X22" s="1893"/>
      <c r="Y22" s="1896"/>
      <c r="Z22" s="1892"/>
      <c r="AA22" s="1893"/>
      <c r="AB22" s="1893"/>
      <c r="AC22" s="1893"/>
      <c r="AD22" s="1893"/>
      <c r="AE22" s="1893"/>
      <c r="AF22" s="1893"/>
      <c r="AG22" s="1896"/>
      <c r="AH22" s="1915"/>
      <c r="AI22" s="1916"/>
      <c r="AJ22" s="1916"/>
      <c r="AK22" s="1915"/>
      <c r="AL22" s="1916"/>
      <c r="AM22" s="1916"/>
      <c r="AN22" s="1910"/>
      <c r="AO22" s="1911"/>
      <c r="AP22" s="1920"/>
    </row>
    <row r="23" spans="2:42">
      <c r="D23" s="1857">
        <f>D21+1</f>
        <v>4</v>
      </c>
      <c r="E23" s="1858"/>
      <c r="F23" s="1881" t="s">
        <v>720</v>
      </c>
      <c r="G23" s="1881"/>
      <c r="H23" s="1881"/>
      <c r="I23" s="1881"/>
      <c r="J23" s="1882"/>
      <c r="P23" s="1857" t="s">
        <v>721</v>
      </c>
      <c r="Q23" s="1858"/>
      <c r="R23" s="1899">
        <v>0</v>
      </c>
      <c r="S23" s="1893"/>
      <c r="T23" s="1893">
        <v>0</v>
      </c>
      <c r="U23" s="1893"/>
      <c r="V23" s="1893">
        <v>176</v>
      </c>
      <c r="W23" s="1893"/>
      <c r="X23" s="1893">
        <v>176</v>
      </c>
      <c r="Y23" s="1896"/>
      <c r="Z23" s="1892">
        <v>0</v>
      </c>
      <c r="AA23" s="1893"/>
      <c r="AB23" s="1893">
        <v>0</v>
      </c>
      <c r="AC23" s="1893"/>
      <c r="AD23" s="1893">
        <v>101</v>
      </c>
      <c r="AE23" s="1893"/>
      <c r="AF23" s="1893">
        <v>101</v>
      </c>
      <c r="AG23" s="1896"/>
      <c r="AH23" s="1901">
        <v>66.5</v>
      </c>
      <c r="AI23" s="1902"/>
      <c r="AJ23" s="1902"/>
      <c r="AK23" s="1901">
        <v>40.5</v>
      </c>
      <c r="AL23" s="1902"/>
      <c r="AM23" s="1902"/>
      <c r="AN23" s="1912">
        <v>36</v>
      </c>
      <c r="AO23" s="1913"/>
      <c r="AP23" s="1914"/>
    </row>
    <row r="24" spans="2:42">
      <c r="D24" s="1862"/>
      <c r="E24" s="1863"/>
      <c r="F24" s="1883"/>
      <c r="G24" s="1883"/>
      <c r="H24" s="1883"/>
      <c r="I24" s="1883"/>
      <c r="J24" s="1884"/>
      <c r="P24" s="1857"/>
      <c r="Q24" s="1858"/>
      <c r="R24" s="1899"/>
      <c r="S24" s="1893"/>
      <c r="T24" s="1893"/>
      <c r="U24" s="1893"/>
      <c r="V24" s="1893"/>
      <c r="W24" s="1893"/>
      <c r="X24" s="1893"/>
      <c r="Y24" s="1896"/>
      <c r="Z24" s="1892"/>
      <c r="AA24" s="1893"/>
      <c r="AB24" s="1893"/>
      <c r="AC24" s="1893"/>
      <c r="AD24" s="1893"/>
      <c r="AE24" s="1893"/>
      <c r="AF24" s="1893"/>
      <c r="AG24" s="1896"/>
      <c r="AH24" s="1910"/>
      <c r="AI24" s="1911"/>
      <c r="AJ24" s="1911"/>
      <c r="AK24" s="1910"/>
      <c r="AL24" s="1911"/>
      <c r="AM24" s="1911"/>
      <c r="AN24" s="1915"/>
      <c r="AO24" s="1916"/>
      <c r="AP24" s="1917"/>
    </row>
    <row r="25" spans="2:42">
      <c r="P25" s="1857" t="s">
        <v>722</v>
      </c>
      <c r="Q25" s="1858"/>
      <c r="R25" s="1899">
        <v>0</v>
      </c>
      <c r="S25" s="1893"/>
      <c r="T25" s="1893">
        <v>0</v>
      </c>
      <c r="U25" s="1893"/>
      <c r="V25" s="1893">
        <v>0</v>
      </c>
      <c r="W25" s="1893"/>
      <c r="X25" s="1918">
        <v>182.5</v>
      </c>
      <c r="Y25" s="1919"/>
      <c r="Z25" s="1892">
        <v>0</v>
      </c>
      <c r="AA25" s="1893"/>
      <c r="AB25" s="1893">
        <v>0</v>
      </c>
      <c r="AC25" s="1893"/>
      <c r="AD25" s="1893">
        <v>0</v>
      </c>
      <c r="AE25" s="1893"/>
      <c r="AF25" s="1918">
        <v>107.5</v>
      </c>
      <c r="AG25" s="1919"/>
      <c r="AH25" s="1912">
        <v>80</v>
      </c>
      <c r="AI25" s="1913"/>
      <c r="AJ25" s="1913"/>
      <c r="AK25" s="1901">
        <v>47.5</v>
      </c>
      <c r="AL25" s="1902"/>
      <c r="AM25" s="1902"/>
      <c r="AN25" s="1901">
        <v>42.5</v>
      </c>
      <c r="AO25" s="1902"/>
      <c r="AP25" s="1903"/>
    </row>
    <row r="26" spans="2:42">
      <c r="B26" s="1898" t="s">
        <v>723</v>
      </c>
      <c r="C26" s="1898"/>
      <c r="D26" s="1898"/>
      <c r="E26" s="1898"/>
      <c r="F26" s="1898"/>
      <c r="G26" s="1898"/>
      <c r="H26" s="1898"/>
      <c r="I26" s="1898"/>
      <c r="J26" s="1898"/>
      <c r="K26" s="1898"/>
      <c r="L26" s="1898"/>
      <c r="M26" s="1898"/>
      <c r="P26" s="1857"/>
      <c r="Q26" s="1858"/>
      <c r="R26" s="1899"/>
      <c r="S26" s="1893"/>
      <c r="T26" s="1893"/>
      <c r="U26" s="1893"/>
      <c r="V26" s="1893"/>
      <c r="W26" s="1893"/>
      <c r="X26" s="1918"/>
      <c r="Y26" s="1919"/>
      <c r="Z26" s="1892"/>
      <c r="AA26" s="1893"/>
      <c r="AB26" s="1893"/>
      <c r="AC26" s="1893"/>
      <c r="AD26" s="1893"/>
      <c r="AE26" s="1893"/>
      <c r="AF26" s="1918"/>
      <c r="AG26" s="1919"/>
      <c r="AH26" s="1915"/>
      <c r="AI26" s="1916"/>
      <c r="AJ26" s="1916"/>
      <c r="AK26" s="1910"/>
      <c r="AL26" s="1911"/>
      <c r="AM26" s="1911"/>
      <c r="AN26" s="1910"/>
      <c r="AO26" s="1911"/>
      <c r="AP26" s="1920"/>
    </row>
    <row r="27" spans="2:42">
      <c r="B27" s="1898"/>
      <c r="C27" s="1898"/>
      <c r="D27" s="1898"/>
      <c r="E27" s="1898"/>
      <c r="F27" s="1898"/>
      <c r="G27" s="1898"/>
      <c r="H27" s="1898"/>
      <c r="I27" s="1898"/>
      <c r="J27" s="1898"/>
      <c r="K27" s="1898"/>
      <c r="L27" s="1898"/>
      <c r="M27" s="1898"/>
      <c r="P27" s="1857" t="s">
        <v>724</v>
      </c>
      <c r="Q27" s="1858"/>
      <c r="R27" s="1899">
        <v>0</v>
      </c>
      <c r="S27" s="1893"/>
      <c r="T27" s="1893">
        <v>0</v>
      </c>
      <c r="U27" s="1893"/>
      <c r="V27" s="1893">
        <v>0</v>
      </c>
      <c r="W27" s="1893"/>
      <c r="X27" s="1893">
        <v>190</v>
      </c>
      <c r="Y27" s="1896"/>
      <c r="Z27" s="1892">
        <v>0</v>
      </c>
      <c r="AA27" s="1893"/>
      <c r="AB27" s="1893">
        <v>0</v>
      </c>
      <c r="AC27" s="1893"/>
      <c r="AD27" s="1893">
        <v>0</v>
      </c>
      <c r="AE27" s="1893"/>
      <c r="AF27" s="1893">
        <v>115</v>
      </c>
      <c r="AG27" s="1896"/>
      <c r="AH27" s="1901">
        <v>97.5</v>
      </c>
      <c r="AI27" s="1902"/>
      <c r="AJ27" s="1902"/>
      <c r="AK27" s="1901">
        <v>57.5</v>
      </c>
      <c r="AL27" s="1902"/>
      <c r="AM27" s="1902"/>
      <c r="AN27" s="1901">
        <v>50.5</v>
      </c>
      <c r="AO27" s="1902"/>
      <c r="AP27" s="1903"/>
    </row>
    <row r="28" spans="2:42">
      <c r="B28" s="1898"/>
      <c r="C28" s="1898"/>
      <c r="D28" s="1898"/>
      <c r="E28" s="1898"/>
      <c r="F28" s="1898"/>
      <c r="G28" s="1898"/>
      <c r="H28" s="1898"/>
      <c r="I28" s="1898"/>
      <c r="J28" s="1898"/>
      <c r="K28" s="1898"/>
      <c r="L28" s="1898"/>
      <c r="M28" s="1898"/>
      <c r="P28" s="1862"/>
      <c r="Q28" s="1863"/>
      <c r="R28" s="1900"/>
      <c r="S28" s="1895"/>
      <c r="T28" s="1895"/>
      <c r="U28" s="1895"/>
      <c r="V28" s="1895"/>
      <c r="W28" s="1895"/>
      <c r="X28" s="1895"/>
      <c r="Y28" s="1897"/>
      <c r="Z28" s="1894"/>
      <c r="AA28" s="1895"/>
      <c r="AB28" s="1895"/>
      <c r="AC28" s="1895"/>
      <c r="AD28" s="1895"/>
      <c r="AE28" s="1895"/>
      <c r="AF28" s="1895"/>
      <c r="AG28" s="1897"/>
      <c r="AH28" s="1904"/>
      <c r="AI28" s="1905"/>
      <c r="AJ28" s="1905"/>
      <c r="AK28" s="1904"/>
      <c r="AL28" s="1905"/>
      <c r="AM28" s="1905"/>
      <c r="AN28" s="1904"/>
      <c r="AO28" s="1905"/>
      <c r="AP28" s="1906"/>
    </row>
    <row r="29" spans="2:42">
      <c r="B29" s="239"/>
    </row>
    <row r="30" spans="2:42">
      <c r="B30" s="1867" t="s">
        <v>697</v>
      </c>
      <c r="C30" s="1867"/>
      <c r="D30" s="1867"/>
      <c r="E30" s="1867"/>
      <c r="F30" s="1867"/>
      <c r="G30" s="1867"/>
      <c r="H30" s="1867"/>
      <c r="I30" s="1867"/>
      <c r="J30" s="1867"/>
      <c r="K30" s="1867"/>
      <c r="L30" s="1867"/>
      <c r="M30" s="1867"/>
      <c r="P30" s="239" t="s">
        <v>725</v>
      </c>
      <c r="AO30" s="231"/>
    </row>
    <row r="31" spans="2:42">
      <c r="AF31" s="359"/>
      <c r="AO31" s="231"/>
    </row>
    <row r="32" spans="2:42">
      <c r="B32" s="1907" t="s">
        <v>726</v>
      </c>
      <c r="C32" s="1908"/>
      <c r="D32" s="1908"/>
      <c r="E32" s="1908"/>
      <c r="F32" s="1908"/>
      <c r="G32" s="1908"/>
      <c r="H32" s="1908"/>
      <c r="I32" s="1908"/>
      <c r="J32" s="1908"/>
      <c r="K32" s="1908"/>
      <c r="L32" s="1908"/>
      <c r="M32" s="1909"/>
      <c r="P32" s="358"/>
      <c r="R32" s="329"/>
      <c r="AO32" s="231"/>
    </row>
    <row r="33" spans="2:40">
      <c r="B33" s="1868" t="s">
        <v>703</v>
      </c>
      <c r="C33" s="1869"/>
      <c r="D33" s="1889" t="s">
        <v>727</v>
      </c>
      <c r="E33" s="1889"/>
      <c r="F33" s="1889"/>
      <c r="G33" s="1889"/>
      <c r="H33" s="1889"/>
      <c r="I33" s="1889" t="s">
        <v>728</v>
      </c>
      <c r="J33" s="1889"/>
      <c r="K33" s="1889"/>
      <c r="L33" s="1889"/>
      <c r="M33" s="1890"/>
      <c r="O33" s="236"/>
      <c r="P33" s="1867" t="s">
        <v>729</v>
      </c>
      <c r="Q33" s="1867"/>
      <c r="R33" s="1867"/>
      <c r="S33" s="1867"/>
      <c r="T33" s="1867"/>
      <c r="U33" s="1867"/>
      <c r="V33" s="1867"/>
      <c r="W33" s="1867"/>
      <c r="X33" s="1867"/>
      <c r="Y33" s="1867"/>
      <c r="Z33" s="1867"/>
      <c r="AA33" s="1867"/>
      <c r="AB33" s="1867"/>
      <c r="AC33" s="1867"/>
      <c r="AD33" s="1867"/>
      <c r="AF33" s="415" t="s">
        <v>730</v>
      </c>
      <c r="AG33" s="415"/>
    </row>
    <row r="34" spans="2:40">
      <c r="B34" s="1874" t="s">
        <v>711</v>
      </c>
      <c r="C34" s="1875"/>
      <c r="D34" s="1863"/>
      <c r="E34" s="1863"/>
      <c r="F34" s="1863"/>
      <c r="G34" s="1863"/>
      <c r="H34" s="1863"/>
      <c r="I34" s="1863"/>
      <c r="J34" s="1863"/>
      <c r="K34" s="1863"/>
      <c r="L34" s="1863"/>
      <c r="M34" s="1891"/>
      <c r="O34" s="236"/>
      <c r="AF34" s="416"/>
    </row>
    <row r="35" spans="2:40">
      <c r="B35" s="1876" t="s">
        <v>715</v>
      </c>
      <c r="C35" s="1877"/>
      <c r="D35" s="1886" t="s">
        <v>731</v>
      </c>
      <c r="E35" s="1886"/>
      <c r="F35" s="1886"/>
      <c r="G35" s="1886"/>
      <c r="H35" s="1886"/>
      <c r="I35" s="1886" t="s">
        <v>732</v>
      </c>
      <c r="J35" s="1886"/>
      <c r="K35" s="1886"/>
      <c r="L35" s="1886"/>
      <c r="M35" s="1887"/>
      <c r="O35" s="239"/>
      <c r="P35" s="1888" t="s">
        <v>733</v>
      </c>
      <c r="Q35" s="1888"/>
      <c r="R35" s="1888"/>
      <c r="S35" s="1888"/>
      <c r="T35" s="1888"/>
      <c r="U35" s="1888"/>
      <c r="V35" s="1888"/>
      <c r="W35" s="1888"/>
      <c r="X35" s="1888"/>
      <c r="Y35" s="1888"/>
      <c r="Z35" s="1888"/>
      <c r="AA35" s="1888"/>
      <c r="AB35" s="1888"/>
      <c r="AC35" s="1888"/>
      <c r="AD35" s="1888"/>
      <c r="AF35" s="359" t="s">
        <v>734</v>
      </c>
    </row>
    <row r="36" spans="2:40" ht="12.75" customHeight="1">
      <c r="B36" s="1857"/>
      <c r="C36" s="1858"/>
      <c r="D36" s="1881"/>
      <c r="E36" s="1881"/>
      <c r="F36" s="1881"/>
      <c r="G36" s="1881"/>
      <c r="H36" s="1881"/>
      <c r="I36" s="1881"/>
      <c r="J36" s="1881"/>
      <c r="K36" s="1881"/>
      <c r="L36" s="1881"/>
      <c r="M36" s="1882"/>
      <c r="O36" s="239"/>
      <c r="P36" s="1888"/>
      <c r="Q36" s="1888"/>
      <c r="R36" s="1888"/>
      <c r="S36" s="1888"/>
      <c r="T36" s="1888"/>
      <c r="U36" s="1888"/>
      <c r="V36" s="1888"/>
      <c r="W36" s="1888"/>
      <c r="X36" s="1888"/>
      <c r="Y36" s="1888"/>
      <c r="Z36" s="1888"/>
      <c r="AA36" s="1888"/>
      <c r="AB36" s="1888"/>
      <c r="AC36" s="1888"/>
      <c r="AD36" s="1888"/>
      <c r="AF36" s="329" t="s">
        <v>735</v>
      </c>
    </row>
    <row r="37" spans="2:40">
      <c r="B37" s="1857" t="s">
        <v>717</v>
      </c>
      <c r="C37" s="1858"/>
      <c r="D37" s="1881" t="s">
        <v>736</v>
      </c>
      <c r="E37" s="1881"/>
      <c r="F37" s="1881"/>
      <c r="G37" s="1881"/>
      <c r="H37" s="1881"/>
      <c r="I37" s="1881" t="s">
        <v>737</v>
      </c>
      <c r="J37" s="1881"/>
      <c r="K37" s="1881"/>
      <c r="L37" s="1881"/>
      <c r="M37" s="1882"/>
      <c r="P37" s="358" t="s">
        <v>738</v>
      </c>
      <c r="Q37" s="359"/>
      <c r="R37" s="359"/>
      <c r="S37" s="359"/>
      <c r="T37" s="359"/>
      <c r="U37" s="359"/>
      <c r="V37" s="359"/>
      <c r="W37" s="359"/>
      <c r="X37" s="236"/>
      <c r="Y37" s="236"/>
      <c r="Z37" s="359"/>
      <c r="AA37" s="359"/>
      <c r="AB37" s="359"/>
      <c r="AC37" s="359"/>
      <c r="AD37" s="359"/>
    </row>
    <row r="38" spans="2:40" ht="12.75" customHeight="1">
      <c r="B38" s="1857"/>
      <c r="C38" s="1858"/>
      <c r="D38" s="1881"/>
      <c r="E38" s="1881"/>
      <c r="F38" s="1881"/>
      <c r="G38" s="1881"/>
      <c r="H38" s="1881"/>
      <c r="I38" s="1881"/>
      <c r="J38" s="1881"/>
      <c r="K38" s="1881"/>
      <c r="L38" s="1881"/>
      <c r="M38" s="1882"/>
      <c r="P38" s="358" t="s">
        <v>739</v>
      </c>
      <c r="Q38" s="358"/>
      <c r="R38" s="358"/>
      <c r="S38" s="358"/>
      <c r="T38" s="358"/>
      <c r="U38" s="358"/>
      <c r="V38" s="358"/>
      <c r="W38" s="358"/>
      <c r="X38" s="358"/>
      <c r="Y38" s="358"/>
      <c r="Z38" s="358"/>
      <c r="AA38" s="358"/>
      <c r="AB38" s="358"/>
      <c r="AC38" s="358"/>
      <c r="AD38" s="358"/>
      <c r="AF38" s="359" t="s">
        <v>740</v>
      </c>
    </row>
    <row r="39" spans="2:40" ht="12.75" customHeight="1">
      <c r="B39" s="1857" t="s">
        <v>719</v>
      </c>
      <c r="C39" s="1858"/>
      <c r="D39" s="1881" t="s">
        <v>741</v>
      </c>
      <c r="E39" s="1881"/>
      <c r="F39" s="1881"/>
      <c r="G39" s="1881"/>
      <c r="H39" s="1881"/>
      <c r="I39" s="1881" t="s">
        <v>742</v>
      </c>
      <c r="J39" s="1881"/>
      <c r="K39" s="1881"/>
      <c r="L39" s="1881"/>
      <c r="M39" s="1882"/>
      <c r="P39" s="358" t="s">
        <v>743</v>
      </c>
      <c r="Q39" s="358"/>
      <c r="R39" s="358"/>
      <c r="S39" s="358"/>
      <c r="T39" s="358"/>
      <c r="U39" s="358"/>
      <c r="V39" s="358"/>
      <c r="W39" s="358"/>
      <c r="X39" s="358"/>
      <c r="Y39" s="358"/>
      <c r="Z39" s="358"/>
      <c r="AA39" s="358"/>
      <c r="AB39" s="358"/>
      <c r="AC39" s="358"/>
      <c r="AD39" s="358"/>
      <c r="AF39" s="1885" t="s">
        <v>744</v>
      </c>
      <c r="AG39" s="1885"/>
      <c r="AH39" s="1885"/>
      <c r="AI39" s="1885"/>
      <c r="AJ39" s="1885"/>
      <c r="AK39" s="1885"/>
      <c r="AL39" s="1885"/>
      <c r="AM39" s="1885"/>
      <c r="AN39" s="1885"/>
    </row>
    <row r="40" spans="2:40" ht="12.75" customHeight="1">
      <c r="B40" s="1857"/>
      <c r="C40" s="1858"/>
      <c r="D40" s="1881"/>
      <c r="E40" s="1881"/>
      <c r="F40" s="1881"/>
      <c r="G40" s="1881"/>
      <c r="H40" s="1881"/>
      <c r="I40" s="1881"/>
      <c r="J40" s="1881"/>
      <c r="K40" s="1881"/>
      <c r="L40" s="1881"/>
      <c r="M40" s="1882"/>
      <c r="P40" s="358" t="s">
        <v>745</v>
      </c>
      <c r="Q40" s="417"/>
      <c r="R40" s="417"/>
      <c r="S40" s="417"/>
      <c r="T40" s="417"/>
      <c r="U40" s="417"/>
      <c r="V40" s="417"/>
      <c r="W40" s="417"/>
      <c r="X40" s="417"/>
      <c r="Y40" s="417"/>
      <c r="Z40" s="417"/>
      <c r="AA40" s="417"/>
      <c r="AB40" s="417"/>
      <c r="AC40" s="417"/>
      <c r="AD40" s="417"/>
      <c r="AF40" s="1885"/>
      <c r="AG40" s="1885"/>
      <c r="AH40" s="1885"/>
      <c r="AI40" s="1885"/>
      <c r="AJ40" s="1885"/>
      <c r="AK40" s="1885"/>
      <c r="AL40" s="1885"/>
      <c r="AM40" s="1885"/>
      <c r="AN40" s="1885"/>
    </row>
    <row r="41" spans="2:40">
      <c r="B41" s="1857" t="s">
        <v>721</v>
      </c>
      <c r="C41" s="1858"/>
      <c r="D41" s="1881" t="s">
        <v>746</v>
      </c>
      <c r="E41" s="1881"/>
      <c r="F41" s="1881"/>
      <c r="G41" s="1881"/>
      <c r="H41" s="1881"/>
      <c r="I41" s="1881" t="s">
        <v>747</v>
      </c>
      <c r="J41" s="1881"/>
      <c r="K41" s="1881"/>
      <c r="L41" s="1881"/>
      <c r="M41" s="1882"/>
      <c r="Q41" s="417"/>
      <c r="R41" s="417"/>
      <c r="S41" s="417"/>
      <c r="T41" s="417"/>
      <c r="U41" s="417"/>
      <c r="V41" s="417"/>
      <c r="W41" s="417"/>
      <c r="X41" s="417"/>
      <c r="Y41" s="417"/>
      <c r="Z41" s="417"/>
      <c r="AA41" s="417"/>
      <c r="AB41" s="417"/>
      <c r="AC41" s="417"/>
      <c r="AD41" s="417"/>
      <c r="AF41" s="329" t="s">
        <v>748</v>
      </c>
    </row>
    <row r="42" spans="2:40" ht="12.75" customHeight="1">
      <c r="B42" s="1857"/>
      <c r="C42" s="1858"/>
      <c r="D42" s="1881"/>
      <c r="E42" s="1881"/>
      <c r="F42" s="1881"/>
      <c r="G42" s="1881"/>
      <c r="H42" s="1881"/>
      <c r="I42" s="1881"/>
      <c r="J42" s="1881"/>
      <c r="K42" s="1881"/>
      <c r="L42" s="1881"/>
      <c r="M42" s="1882"/>
      <c r="P42" s="358" t="s">
        <v>749</v>
      </c>
      <c r="Q42" s="359"/>
      <c r="R42" s="359"/>
      <c r="S42" s="359"/>
      <c r="T42" s="359"/>
      <c r="U42" s="359"/>
      <c r="V42" s="359"/>
      <c r="W42" s="359"/>
      <c r="X42" s="236"/>
      <c r="Y42" s="236"/>
      <c r="Z42" s="359"/>
      <c r="AA42" s="359"/>
      <c r="AB42" s="359"/>
      <c r="AC42" s="359"/>
      <c r="AD42" s="359"/>
      <c r="AF42" s="329" t="s">
        <v>750</v>
      </c>
    </row>
    <row r="43" spans="2:40">
      <c r="B43" s="1857" t="s">
        <v>722</v>
      </c>
      <c r="C43" s="1858"/>
      <c r="D43" s="1881" t="s">
        <v>751</v>
      </c>
      <c r="E43" s="1881"/>
      <c r="F43" s="1881"/>
      <c r="G43" s="1881"/>
      <c r="H43" s="1881"/>
      <c r="I43" s="1881" t="s">
        <v>747</v>
      </c>
      <c r="J43" s="1881"/>
      <c r="K43" s="1881"/>
      <c r="L43" s="1881"/>
      <c r="M43" s="1882"/>
      <c r="P43" s="358" t="s">
        <v>752</v>
      </c>
      <c r="Q43" s="358"/>
      <c r="R43" s="358"/>
      <c r="S43" s="358"/>
      <c r="T43" s="358"/>
      <c r="U43" s="358"/>
      <c r="V43" s="358"/>
      <c r="W43" s="358"/>
      <c r="X43" s="358"/>
      <c r="Y43" s="358"/>
      <c r="Z43" s="358"/>
      <c r="AA43" s="358"/>
      <c r="AB43" s="358"/>
      <c r="AC43" s="358"/>
      <c r="AD43" s="358"/>
      <c r="AF43" s="329" t="s">
        <v>753</v>
      </c>
      <c r="AH43" s="231"/>
    </row>
    <row r="44" spans="2:40" ht="12.75" customHeight="1">
      <c r="B44" s="1857"/>
      <c r="C44" s="1858"/>
      <c r="D44" s="1881"/>
      <c r="E44" s="1881"/>
      <c r="F44" s="1881"/>
      <c r="G44" s="1881"/>
      <c r="H44" s="1881"/>
      <c r="I44" s="1881"/>
      <c r="J44" s="1881"/>
      <c r="K44" s="1881"/>
      <c r="L44" s="1881"/>
      <c r="M44" s="1882"/>
      <c r="AF44" s="329" t="s">
        <v>754</v>
      </c>
      <c r="AH44" s="231"/>
    </row>
    <row r="45" spans="2:40">
      <c r="B45" s="1857" t="s">
        <v>724</v>
      </c>
      <c r="C45" s="1858"/>
      <c r="D45" s="1881" t="s">
        <v>755</v>
      </c>
      <c r="E45" s="1881"/>
      <c r="F45" s="1881"/>
      <c r="G45" s="1881"/>
      <c r="H45" s="1881"/>
      <c r="I45" s="1881" t="s">
        <v>756</v>
      </c>
      <c r="J45" s="1881"/>
      <c r="K45" s="1881"/>
      <c r="L45" s="1881"/>
      <c r="M45" s="1882"/>
      <c r="AF45" s="329" t="s">
        <v>757</v>
      </c>
      <c r="AH45" s="231"/>
    </row>
    <row r="46" spans="2:40" ht="12.75" customHeight="1">
      <c r="B46" s="1862"/>
      <c r="C46" s="1863"/>
      <c r="D46" s="1883"/>
      <c r="E46" s="1883"/>
      <c r="F46" s="1883"/>
      <c r="G46" s="1883"/>
      <c r="H46" s="1883"/>
      <c r="I46" s="1883"/>
      <c r="J46" s="1883"/>
      <c r="K46" s="1883"/>
      <c r="L46" s="1883"/>
      <c r="M46" s="1884"/>
      <c r="Q46" s="329"/>
    </row>
    <row r="48" spans="2:40" ht="12.75" customHeight="1"/>
    <row r="49" spans="2:15">
      <c r="B49" s="1867" t="s">
        <v>758</v>
      </c>
      <c r="C49" s="1867"/>
      <c r="D49" s="1867"/>
      <c r="E49" s="1867"/>
      <c r="F49" s="1867"/>
      <c r="G49" s="1867"/>
      <c r="H49" s="1867"/>
      <c r="I49" s="1867"/>
      <c r="J49" s="1867"/>
      <c r="K49" s="1867"/>
      <c r="L49" s="1867"/>
      <c r="M49" s="1867"/>
      <c r="N49" s="1867"/>
      <c r="O49" s="1867"/>
    </row>
    <row r="50" spans="2:15" ht="12.75" customHeight="1"/>
    <row r="51" spans="2:15">
      <c r="B51" s="1868" t="s">
        <v>703</v>
      </c>
      <c r="C51" s="1869"/>
      <c r="D51" s="1870" t="s">
        <v>759</v>
      </c>
      <c r="E51" s="1870"/>
      <c r="F51" s="1870"/>
      <c r="G51" s="1870"/>
      <c r="H51" s="1870"/>
      <c r="I51" s="1870"/>
      <c r="J51" s="1870"/>
      <c r="K51" s="1870"/>
      <c r="L51" s="1870"/>
      <c r="M51" s="1870"/>
      <c r="N51" s="1870"/>
      <c r="O51" s="1871"/>
    </row>
    <row r="52" spans="2:15" ht="12.75" customHeight="1">
      <c r="B52" s="1874" t="s">
        <v>711</v>
      </c>
      <c r="C52" s="1875"/>
      <c r="D52" s="1872"/>
      <c r="E52" s="1872"/>
      <c r="F52" s="1872"/>
      <c r="G52" s="1872"/>
      <c r="H52" s="1872"/>
      <c r="I52" s="1872"/>
      <c r="J52" s="1872"/>
      <c r="K52" s="1872"/>
      <c r="L52" s="1872"/>
      <c r="M52" s="1872"/>
      <c r="N52" s="1872"/>
      <c r="O52" s="1873"/>
    </row>
    <row r="53" spans="2:15">
      <c r="B53" s="1876" t="s">
        <v>715</v>
      </c>
      <c r="C53" s="1877"/>
      <c r="D53" s="1878" t="s">
        <v>496</v>
      </c>
      <c r="E53" s="1879"/>
      <c r="F53" s="1879"/>
      <c r="G53" s="1879"/>
      <c r="H53" s="1879"/>
      <c r="I53" s="1879"/>
      <c r="J53" s="1879"/>
      <c r="K53" s="1879"/>
      <c r="L53" s="1879"/>
      <c r="M53" s="1879"/>
      <c r="N53" s="1879"/>
      <c r="O53" s="1880"/>
    </row>
    <row r="54" spans="2:15" ht="12.75" customHeight="1">
      <c r="B54" s="1857"/>
      <c r="C54" s="1858"/>
      <c r="D54" s="1859"/>
      <c r="E54" s="1860"/>
      <c r="F54" s="1860"/>
      <c r="G54" s="1860"/>
      <c r="H54" s="1860"/>
      <c r="I54" s="1860"/>
      <c r="J54" s="1860"/>
      <c r="K54" s="1860"/>
      <c r="L54" s="1860"/>
      <c r="M54" s="1860"/>
      <c r="N54" s="1860"/>
      <c r="O54" s="1861"/>
    </row>
    <row r="55" spans="2:15">
      <c r="B55" s="1857" t="s">
        <v>717</v>
      </c>
      <c r="C55" s="1858"/>
      <c r="D55" s="1859" t="s">
        <v>760</v>
      </c>
      <c r="E55" s="1860"/>
      <c r="F55" s="1860"/>
      <c r="G55" s="1860"/>
      <c r="H55" s="1860"/>
      <c r="I55" s="1860"/>
      <c r="J55" s="1860"/>
      <c r="K55" s="1860"/>
      <c r="L55" s="1860"/>
      <c r="M55" s="1860"/>
      <c r="N55" s="1860"/>
      <c r="O55" s="1861"/>
    </row>
    <row r="56" spans="2:15" ht="12.75" customHeight="1">
      <c r="B56" s="1857"/>
      <c r="C56" s="1858"/>
      <c r="D56" s="1859"/>
      <c r="E56" s="1860"/>
      <c r="F56" s="1860"/>
      <c r="G56" s="1860"/>
      <c r="H56" s="1860"/>
      <c r="I56" s="1860"/>
      <c r="J56" s="1860"/>
      <c r="K56" s="1860"/>
      <c r="L56" s="1860"/>
      <c r="M56" s="1860"/>
      <c r="N56" s="1860"/>
      <c r="O56" s="1861"/>
    </row>
    <row r="57" spans="2:15">
      <c r="B57" s="1857" t="s">
        <v>719</v>
      </c>
      <c r="C57" s="1858"/>
      <c r="D57" s="1859" t="s">
        <v>761</v>
      </c>
      <c r="E57" s="1860"/>
      <c r="F57" s="1860"/>
      <c r="G57" s="1860"/>
      <c r="H57" s="1860"/>
      <c r="I57" s="1860"/>
      <c r="J57" s="1860"/>
      <c r="K57" s="1860"/>
      <c r="L57" s="1860"/>
      <c r="M57" s="1860"/>
      <c r="N57" s="1860"/>
      <c r="O57" s="1861"/>
    </row>
    <row r="58" spans="2:15" ht="12.75" customHeight="1">
      <c r="B58" s="1857"/>
      <c r="C58" s="1858"/>
      <c r="D58" s="1859"/>
      <c r="E58" s="1860"/>
      <c r="F58" s="1860"/>
      <c r="G58" s="1860"/>
      <c r="H58" s="1860"/>
      <c r="I58" s="1860"/>
      <c r="J58" s="1860"/>
      <c r="K58" s="1860"/>
      <c r="L58" s="1860"/>
      <c r="M58" s="1860"/>
      <c r="N58" s="1860"/>
      <c r="O58" s="1861"/>
    </row>
    <row r="59" spans="2:15">
      <c r="B59" s="1857" t="s">
        <v>721</v>
      </c>
      <c r="C59" s="1858"/>
      <c r="D59" s="1859" t="s">
        <v>762</v>
      </c>
      <c r="E59" s="1860"/>
      <c r="F59" s="1860"/>
      <c r="G59" s="1860"/>
      <c r="H59" s="1860"/>
      <c r="I59" s="1860"/>
      <c r="J59" s="1860"/>
      <c r="K59" s="1860"/>
      <c r="L59" s="1860"/>
      <c r="M59" s="1860"/>
      <c r="N59" s="1860"/>
      <c r="O59" s="1861"/>
    </row>
    <row r="60" spans="2:15" ht="12.75" customHeight="1">
      <c r="B60" s="1857"/>
      <c r="C60" s="1858"/>
      <c r="D60" s="1859"/>
      <c r="E60" s="1860"/>
      <c r="F60" s="1860"/>
      <c r="G60" s="1860"/>
      <c r="H60" s="1860"/>
      <c r="I60" s="1860"/>
      <c r="J60" s="1860"/>
      <c r="K60" s="1860"/>
      <c r="L60" s="1860"/>
      <c r="M60" s="1860"/>
      <c r="N60" s="1860"/>
      <c r="O60" s="1861"/>
    </row>
    <row r="61" spans="2:15">
      <c r="B61" s="1857" t="s">
        <v>722</v>
      </c>
      <c r="C61" s="1858"/>
      <c r="D61" s="1859" t="s">
        <v>763</v>
      </c>
      <c r="E61" s="1860"/>
      <c r="F61" s="1860"/>
      <c r="G61" s="1860"/>
      <c r="H61" s="1860"/>
      <c r="I61" s="1860"/>
      <c r="J61" s="1860"/>
      <c r="K61" s="1860"/>
      <c r="L61" s="1860"/>
      <c r="M61" s="1860"/>
      <c r="N61" s="1860"/>
      <c r="O61" s="1861"/>
    </row>
    <row r="62" spans="2:15">
      <c r="B62" s="1857"/>
      <c r="C62" s="1858"/>
      <c r="D62" s="1859"/>
      <c r="E62" s="1860"/>
      <c r="F62" s="1860"/>
      <c r="G62" s="1860"/>
      <c r="H62" s="1860"/>
      <c r="I62" s="1860"/>
      <c r="J62" s="1860"/>
      <c r="K62" s="1860"/>
      <c r="L62" s="1860"/>
      <c r="M62" s="1860"/>
      <c r="N62" s="1860"/>
      <c r="O62" s="1861"/>
    </row>
    <row r="63" spans="2:15">
      <c r="B63" s="1857" t="s">
        <v>724</v>
      </c>
      <c r="C63" s="1858"/>
      <c r="D63" s="1859" t="s">
        <v>764</v>
      </c>
      <c r="E63" s="1860"/>
      <c r="F63" s="1860"/>
      <c r="G63" s="1860"/>
      <c r="H63" s="1860"/>
      <c r="I63" s="1860"/>
      <c r="J63" s="1860"/>
      <c r="K63" s="1860"/>
      <c r="L63" s="1860"/>
      <c r="M63" s="1860"/>
      <c r="N63" s="1860"/>
      <c r="O63" s="1861"/>
    </row>
    <row r="64" spans="2:15">
      <c r="B64" s="1862"/>
      <c r="C64" s="1863"/>
      <c r="D64" s="1864"/>
      <c r="E64" s="1865"/>
      <c r="F64" s="1865"/>
      <c r="G64" s="1865"/>
      <c r="H64" s="1865"/>
      <c r="I64" s="1865"/>
      <c r="J64" s="1865"/>
      <c r="K64" s="1865"/>
      <c r="L64" s="1865"/>
      <c r="M64" s="1865"/>
      <c r="N64" s="1865"/>
      <c r="O64" s="1866"/>
    </row>
  </sheetData>
  <sheetProtection algorithmName="SHA-512" hashValue="NaMu1tY/4BihS53wDvsZzgGfa1UlTo57FG5T0aUCVHx+Hq3pTC90BTqOwM9EPnCGa1SOe7+YixuxU8+plc4z/Q==" saltValue="MZUurm4ct0HqFSAX69IbkQ==" spinCount="100000" sheet="1" objects="1" scenarios="1"/>
  <mergeCells count="155">
    <mergeCell ref="A3:AQ3"/>
    <mergeCell ref="A5:AQ5"/>
    <mergeCell ref="A7:AQ7"/>
    <mergeCell ref="A10:AQ10"/>
    <mergeCell ref="P12:AC12"/>
    <mergeCell ref="D14:J14"/>
    <mergeCell ref="R14:AG14"/>
    <mergeCell ref="AH14:AJ14"/>
    <mergeCell ref="AK14:AM14"/>
    <mergeCell ref="AN14:AP14"/>
    <mergeCell ref="AK15:AM15"/>
    <mergeCell ref="AN15:AP15"/>
    <mergeCell ref="D16:E16"/>
    <mergeCell ref="P16:Q16"/>
    <mergeCell ref="R16:S16"/>
    <mergeCell ref="T16:U16"/>
    <mergeCell ref="V16:W16"/>
    <mergeCell ref="X16:Y16"/>
    <mergeCell ref="Z16:AA16"/>
    <mergeCell ref="AB16:AC16"/>
    <mergeCell ref="D15:E15"/>
    <mergeCell ref="F15:J16"/>
    <mergeCell ref="P15:Q15"/>
    <mergeCell ref="R15:Y15"/>
    <mergeCell ref="Z15:AG15"/>
    <mergeCell ref="AH15:AJ15"/>
    <mergeCell ref="AD16:AE16"/>
    <mergeCell ref="AF16:AG16"/>
    <mergeCell ref="AH16:AJ16"/>
    <mergeCell ref="AB17:AC18"/>
    <mergeCell ref="AD17:AE18"/>
    <mergeCell ref="AF17:AG18"/>
    <mergeCell ref="AH17:AJ18"/>
    <mergeCell ref="AK17:AM18"/>
    <mergeCell ref="AN17:AP18"/>
    <mergeCell ref="AK16:AM16"/>
    <mergeCell ref="AN16:AP16"/>
    <mergeCell ref="D17:E18"/>
    <mergeCell ref="F17:J18"/>
    <mergeCell ref="P17:Q18"/>
    <mergeCell ref="R17:S18"/>
    <mergeCell ref="T17:U18"/>
    <mergeCell ref="V17:W18"/>
    <mergeCell ref="X17:Y18"/>
    <mergeCell ref="Z17:AA18"/>
    <mergeCell ref="AK19:AM20"/>
    <mergeCell ref="AN19:AP20"/>
    <mergeCell ref="D21:E22"/>
    <mergeCell ref="F21:J22"/>
    <mergeCell ref="P21:Q22"/>
    <mergeCell ref="R21:S22"/>
    <mergeCell ref="T21:U22"/>
    <mergeCell ref="V21:W22"/>
    <mergeCell ref="X21:Y22"/>
    <mergeCell ref="Z21:AA22"/>
    <mergeCell ref="X19:Y20"/>
    <mergeCell ref="Z19:AA20"/>
    <mergeCell ref="AB19:AC20"/>
    <mergeCell ref="AD19:AE20"/>
    <mergeCell ref="AF19:AG20"/>
    <mergeCell ref="AH19:AJ20"/>
    <mergeCell ref="D19:E20"/>
    <mergeCell ref="F19:J20"/>
    <mergeCell ref="P19:Q20"/>
    <mergeCell ref="R19:S20"/>
    <mergeCell ref="T19:U20"/>
    <mergeCell ref="V19:W20"/>
    <mergeCell ref="AN25:AP26"/>
    <mergeCell ref="D23:E24"/>
    <mergeCell ref="F23:J24"/>
    <mergeCell ref="P23:Q24"/>
    <mergeCell ref="R23:S24"/>
    <mergeCell ref="T23:U24"/>
    <mergeCell ref="V23:W24"/>
    <mergeCell ref="AB21:AC22"/>
    <mergeCell ref="AD21:AE22"/>
    <mergeCell ref="AF21:AG22"/>
    <mergeCell ref="AH21:AJ22"/>
    <mergeCell ref="AK21:AM22"/>
    <mergeCell ref="AN21:AP22"/>
    <mergeCell ref="AN27:AP28"/>
    <mergeCell ref="B30:M30"/>
    <mergeCell ref="B32:M32"/>
    <mergeCell ref="AH27:AJ28"/>
    <mergeCell ref="AK27:AM28"/>
    <mergeCell ref="AK23:AM24"/>
    <mergeCell ref="AN23:AP24"/>
    <mergeCell ref="P25:Q26"/>
    <mergeCell ref="R25:S26"/>
    <mergeCell ref="T25:U26"/>
    <mergeCell ref="V25:W26"/>
    <mergeCell ref="X25:Y26"/>
    <mergeCell ref="Z25:AA26"/>
    <mergeCell ref="AB25:AC26"/>
    <mergeCell ref="AD25:AE26"/>
    <mergeCell ref="X23:Y24"/>
    <mergeCell ref="Z23:AA24"/>
    <mergeCell ref="AB23:AC24"/>
    <mergeCell ref="AD23:AE24"/>
    <mergeCell ref="AF23:AG24"/>
    <mergeCell ref="AH23:AJ24"/>
    <mergeCell ref="AF25:AG26"/>
    <mergeCell ref="AH25:AJ26"/>
    <mergeCell ref="AK25:AM26"/>
    <mergeCell ref="B33:C33"/>
    <mergeCell ref="D33:H34"/>
    <mergeCell ref="I33:M34"/>
    <mergeCell ref="P33:AD33"/>
    <mergeCell ref="B34:C34"/>
    <mergeCell ref="Z27:AA28"/>
    <mergeCell ref="AB27:AC28"/>
    <mergeCell ref="AD27:AE28"/>
    <mergeCell ref="AF27:AG28"/>
    <mergeCell ref="B26:M28"/>
    <mergeCell ref="P27:Q28"/>
    <mergeCell ref="R27:S28"/>
    <mergeCell ref="T27:U28"/>
    <mergeCell ref="V27:W28"/>
    <mergeCell ref="X27:Y28"/>
    <mergeCell ref="B39:C40"/>
    <mergeCell ref="D39:H40"/>
    <mergeCell ref="I39:M40"/>
    <mergeCell ref="AF39:AN40"/>
    <mergeCell ref="B41:C42"/>
    <mergeCell ref="D41:H42"/>
    <mergeCell ref="I41:M42"/>
    <mergeCell ref="B35:C36"/>
    <mergeCell ref="D35:H36"/>
    <mergeCell ref="I35:M36"/>
    <mergeCell ref="P35:AD36"/>
    <mergeCell ref="B37:C38"/>
    <mergeCell ref="D37:H38"/>
    <mergeCell ref="I37:M38"/>
    <mergeCell ref="B49:O49"/>
    <mergeCell ref="B51:C51"/>
    <mergeCell ref="D51:O52"/>
    <mergeCell ref="B52:C52"/>
    <mergeCell ref="B53:C54"/>
    <mergeCell ref="D53:O54"/>
    <mergeCell ref="B43:C44"/>
    <mergeCell ref="D43:H44"/>
    <mergeCell ref="I43:M44"/>
    <mergeCell ref="B45:C46"/>
    <mergeCell ref="D45:H46"/>
    <mergeCell ref="I45:M46"/>
    <mergeCell ref="B61:C62"/>
    <mergeCell ref="D61:O62"/>
    <mergeCell ref="B63:C64"/>
    <mergeCell ref="D63:O64"/>
    <mergeCell ref="B55:C56"/>
    <mergeCell ref="D55:O56"/>
    <mergeCell ref="B57:C58"/>
    <mergeCell ref="D57:O58"/>
    <mergeCell ref="B59:C60"/>
    <mergeCell ref="D59:O60"/>
  </mergeCells>
  <printOptions horizontalCentered="1"/>
  <pageMargins left="0.15748031496062992" right="0.15748031496062992" top="0.23622047244094491" bottom="0.43307086614173229" header="0.19685039370078741" footer="0.15748031496062992"/>
  <pageSetup paperSize="8" scale="94" firstPageNumber="6"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0">
    <tabColor rgb="FFFFFF00"/>
    <pageSetUpPr fitToPage="1"/>
  </sheetPr>
  <dimension ref="A1:AQ48"/>
  <sheetViews>
    <sheetView topLeftCell="C25" workbookViewId="0">
      <selection activeCell="U49" sqref="U49"/>
    </sheetView>
  </sheetViews>
  <sheetFormatPr defaultColWidth="9.140625" defaultRowHeight="12.75"/>
  <cols>
    <col min="1" max="1" width="1.5703125" style="231" customWidth="1"/>
    <col min="2" max="4" width="4.42578125" style="231" customWidth="1"/>
    <col min="5" max="5" width="4.42578125" style="326" customWidth="1"/>
    <col min="6" max="6" width="4.42578125" style="329" customWidth="1"/>
    <col min="7" max="11" width="4.42578125" style="231" customWidth="1"/>
    <col min="12" max="13" width="4.42578125" style="329" customWidth="1"/>
    <col min="14" max="14" width="4.42578125" style="231" customWidth="1"/>
    <col min="15" max="15" width="3.85546875" style="231" customWidth="1"/>
    <col min="16" max="16" width="4.28515625" style="231" customWidth="1"/>
    <col min="17" max="18" width="4.42578125" style="231" customWidth="1"/>
    <col min="19" max="22" width="4.42578125" style="329" customWidth="1"/>
    <col min="23" max="23" width="5" style="329" customWidth="1"/>
    <col min="24" max="33" width="4.42578125" style="329" customWidth="1"/>
    <col min="34" max="34" width="0.85546875" style="329" customWidth="1"/>
    <col min="35" max="35" width="4.140625" style="329" customWidth="1"/>
    <col min="36" max="36" width="8.7109375" style="329" customWidth="1"/>
    <col min="37" max="41" width="4.42578125" style="329" customWidth="1"/>
    <col min="42" max="43" width="4.42578125" style="231" customWidth="1"/>
    <col min="44" max="16384" width="9.140625" style="231"/>
  </cols>
  <sheetData>
    <row r="1" spans="1:43" s="217" customFormat="1" ht="6.75" customHeight="1" thickBot="1">
      <c r="B1" s="218"/>
    </row>
    <row r="2" spans="1:43"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G2" s="219"/>
      <c r="AH2" s="219"/>
      <c r="AI2" s="219"/>
      <c r="AJ2" s="219"/>
      <c r="AK2" s="219"/>
      <c r="AL2" s="219"/>
      <c r="AM2" s="219"/>
      <c r="AN2" s="219"/>
      <c r="AO2" s="219"/>
      <c r="AP2" s="219"/>
      <c r="AQ2" s="219"/>
    </row>
    <row r="3" spans="1:43"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c r="X3" s="1820"/>
      <c r="Y3" s="1820"/>
      <c r="Z3" s="1820"/>
      <c r="AA3" s="1820"/>
      <c r="AB3" s="1820"/>
      <c r="AC3" s="1820"/>
      <c r="AD3" s="1820"/>
      <c r="AE3" s="1820"/>
      <c r="AF3" s="1820"/>
      <c r="AG3" s="1820"/>
      <c r="AH3" s="1820"/>
      <c r="AI3" s="1820"/>
      <c r="AJ3" s="1820"/>
      <c r="AK3" s="1820"/>
      <c r="AL3" s="1820"/>
      <c r="AM3" s="1820"/>
      <c r="AN3" s="1820"/>
      <c r="AO3" s="1820"/>
      <c r="AP3" s="1820"/>
      <c r="AQ3" s="1820"/>
    </row>
    <row r="4" spans="1:43" s="217" customFormat="1" ht="4.5" customHeight="1">
      <c r="A4" s="221"/>
      <c r="B4" s="222"/>
      <c r="C4" s="222"/>
      <c r="D4" s="222"/>
      <c r="H4" s="222"/>
      <c r="I4" s="222"/>
      <c r="J4" s="222"/>
      <c r="K4" s="222"/>
      <c r="M4" s="223"/>
      <c r="N4" s="224"/>
      <c r="O4" s="225"/>
    </row>
    <row r="5" spans="1:43" s="217" customFormat="1" ht="22.5">
      <c r="A5" s="1821" t="str">
        <f>'ICAO Tables (Taxiw)'!A5:AQ5</f>
        <v>3.  TAXIWAYS</v>
      </c>
      <c r="B5" s="1821"/>
      <c r="C5" s="1821"/>
      <c r="D5" s="1821"/>
      <c r="E5" s="1821"/>
      <c r="F5" s="1821"/>
      <c r="G5" s="1821"/>
      <c r="H5" s="1821"/>
      <c r="I5" s="1821"/>
      <c r="J5" s="1821"/>
      <c r="K5" s="1821"/>
      <c r="L5" s="1821"/>
      <c r="M5" s="1821"/>
      <c r="N5" s="1821"/>
      <c r="O5" s="1821"/>
      <c r="P5" s="1821"/>
      <c r="Q5" s="1821"/>
      <c r="R5" s="1821"/>
      <c r="S5" s="1821"/>
      <c r="T5" s="1821"/>
      <c r="U5" s="1821"/>
      <c r="V5" s="1821"/>
      <c r="W5" s="1821"/>
      <c r="X5" s="1821"/>
      <c r="Y5" s="1821"/>
      <c r="Z5" s="1821"/>
      <c r="AA5" s="1821"/>
      <c r="AB5" s="1821"/>
      <c r="AC5" s="1821"/>
      <c r="AD5" s="1821"/>
      <c r="AE5" s="1821"/>
      <c r="AF5" s="1821"/>
      <c r="AG5" s="1821"/>
      <c r="AH5" s="1821"/>
      <c r="AI5" s="1821"/>
      <c r="AJ5" s="1821"/>
      <c r="AK5" s="1821"/>
      <c r="AL5" s="1821"/>
      <c r="AM5" s="1821"/>
      <c r="AN5" s="1821"/>
      <c r="AO5" s="1821"/>
      <c r="AP5" s="1821"/>
      <c r="AQ5" s="1821"/>
    </row>
    <row r="6" spans="1:43" s="217" customFormat="1" ht="7.5" customHeight="1">
      <c r="A6" s="221"/>
      <c r="B6" s="222"/>
      <c r="C6" s="222"/>
      <c r="D6" s="222"/>
      <c r="H6" s="222"/>
      <c r="I6" s="222"/>
      <c r="J6" s="222"/>
      <c r="K6" s="222"/>
      <c r="M6" s="223"/>
      <c r="N6" s="224"/>
      <c r="O6" s="225"/>
    </row>
    <row r="7" spans="1:43" s="217" customFormat="1">
      <c r="A7" s="1822"/>
      <c r="B7" s="1822"/>
      <c r="C7" s="1822"/>
      <c r="D7" s="1822"/>
      <c r="E7" s="1822"/>
      <c r="F7" s="1822"/>
      <c r="G7" s="1822"/>
      <c r="H7" s="1822"/>
      <c r="I7" s="1822"/>
      <c r="J7" s="1822"/>
      <c r="K7" s="1822"/>
      <c r="L7" s="1822"/>
      <c r="M7" s="1822"/>
      <c r="N7" s="1822"/>
      <c r="O7" s="1822"/>
      <c r="P7" s="1822"/>
      <c r="Q7" s="1822"/>
      <c r="R7" s="1822"/>
      <c r="S7" s="1822"/>
      <c r="T7" s="1822"/>
      <c r="U7" s="1822"/>
      <c r="V7" s="1822"/>
      <c r="W7" s="1822"/>
      <c r="X7" s="1822"/>
      <c r="Y7" s="1822"/>
      <c r="Z7" s="1822"/>
      <c r="AA7" s="1822"/>
      <c r="AB7" s="1822"/>
      <c r="AC7" s="1822"/>
      <c r="AD7" s="1822"/>
      <c r="AE7" s="1822"/>
      <c r="AF7" s="1822"/>
      <c r="AG7" s="1822"/>
      <c r="AH7" s="1822"/>
      <c r="AI7" s="1822"/>
      <c r="AJ7" s="1822"/>
      <c r="AK7" s="1822"/>
      <c r="AL7" s="1822"/>
      <c r="AM7" s="1822"/>
      <c r="AN7" s="1822"/>
      <c r="AO7" s="1822"/>
      <c r="AP7" s="1822"/>
      <c r="AQ7" s="1822"/>
    </row>
    <row r="8" spans="1:43"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c r="X8" s="226"/>
      <c r="Y8" s="226"/>
      <c r="Z8" s="226"/>
      <c r="AA8" s="226"/>
      <c r="AB8" s="226"/>
      <c r="AC8" s="226"/>
      <c r="AD8" s="226"/>
      <c r="AE8" s="226"/>
      <c r="AF8" s="226"/>
      <c r="AG8" s="226"/>
      <c r="AH8" s="226"/>
      <c r="AI8" s="226"/>
      <c r="AJ8" s="226"/>
      <c r="AK8" s="226"/>
      <c r="AL8" s="226"/>
      <c r="AM8" s="226"/>
      <c r="AN8" s="226"/>
      <c r="AO8" s="226"/>
      <c r="AP8" s="226"/>
      <c r="AQ8" s="226"/>
    </row>
    <row r="9" spans="1:43" s="217" customFormat="1" ht="8.25" customHeight="1">
      <c r="A9" s="228"/>
      <c r="B9" s="229"/>
      <c r="C9" s="229"/>
      <c r="D9" s="229"/>
      <c r="E9" s="229"/>
      <c r="F9" s="229"/>
      <c r="G9" s="229"/>
      <c r="H9" s="229"/>
      <c r="I9" s="229"/>
      <c r="J9" s="230"/>
      <c r="K9" s="229"/>
      <c r="L9" s="229"/>
      <c r="M9" s="229"/>
      <c r="N9" s="229"/>
      <c r="O9" s="229"/>
      <c r="P9" s="229"/>
      <c r="Q9" s="229"/>
      <c r="R9" s="229"/>
      <c r="S9" s="229"/>
      <c r="T9" s="229"/>
      <c r="U9" s="229"/>
      <c r="V9" s="229"/>
      <c r="W9" s="229"/>
      <c r="X9" s="229"/>
      <c r="Y9" s="229"/>
      <c r="Z9" s="229"/>
      <c r="AA9" s="229"/>
      <c r="AB9" s="229"/>
      <c r="AC9" s="229"/>
      <c r="AD9" s="229"/>
      <c r="AE9" s="229"/>
      <c r="AF9" s="229"/>
      <c r="AG9" s="229"/>
      <c r="AH9" s="229"/>
      <c r="AI9" s="229"/>
      <c r="AJ9" s="229"/>
      <c r="AK9" s="229"/>
      <c r="AL9" s="229"/>
      <c r="AM9" s="229"/>
      <c r="AN9" s="229"/>
      <c r="AO9" s="229"/>
      <c r="AP9" s="229"/>
      <c r="AQ9" s="229"/>
    </row>
    <row r="10" spans="1:43" s="217" customFormat="1" ht="18">
      <c r="A10" s="1823" t="s">
        <v>765</v>
      </c>
      <c r="B10" s="1823"/>
      <c r="C10" s="1823"/>
      <c r="D10" s="1823"/>
      <c r="E10" s="1823"/>
      <c r="F10" s="1823"/>
      <c r="G10" s="1823"/>
      <c r="H10" s="1823"/>
      <c r="I10" s="1823"/>
      <c r="J10" s="1823"/>
      <c r="K10" s="1823"/>
      <c r="L10" s="1823"/>
      <c r="M10" s="1823"/>
      <c r="N10" s="1823"/>
      <c r="O10" s="1823"/>
      <c r="P10" s="1823"/>
      <c r="Q10" s="1823"/>
      <c r="R10" s="1823"/>
      <c r="S10" s="1823"/>
      <c r="T10" s="1823"/>
      <c r="U10" s="1823"/>
      <c r="V10" s="1823"/>
      <c r="W10" s="1823"/>
      <c r="X10" s="1823"/>
      <c r="Y10" s="1823"/>
      <c r="Z10" s="1823"/>
      <c r="AA10" s="1823"/>
      <c r="AB10" s="1823"/>
      <c r="AC10" s="1823"/>
      <c r="AD10" s="1823"/>
      <c r="AE10" s="1823"/>
      <c r="AF10" s="1823"/>
      <c r="AG10" s="1823"/>
      <c r="AH10" s="1823"/>
      <c r="AI10" s="1823"/>
      <c r="AJ10" s="1823"/>
      <c r="AK10" s="1823"/>
      <c r="AL10" s="1823"/>
      <c r="AM10" s="1823"/>
      <c r="AN10" s="1823"/>
      <c r="AO10" s="1823"/>
      <c r="AP10" s="1823"/>
      <c r="AQ10" s="1823"/>
    </row>
    <row r="11" spans="1:43" s="217" customFormat="1" ht="15">
      <c r="A11" s="228"/>
      <c r="B11" s="229"/>
      <c r="C11" s="229"/>
      <c r="D11" s="229"/>
      <c r="E11" s="229"/>
      <c r="F11" s="229"/>
      <c r="G11" s="229"/>
      <c r="H11" s="229"/>
      <c r="I11" s="229"/>
      <c r="J11" s="230"/>
      <c r="K11" s="229"/>
      <c r="L11" s="229"/>
      <c r="M11" s="229"/>
      <c r="N11" s="229"/>
      <c r="O11" s="229"/>
      <c r="P11" s="229"/>
      <c r="Q11" s="229"/>
      <c r="R11" s="229"/>
      <c r="S11" s="229"/>
      <c r="T11" s="229"/>
      <c r="U11" s="229"/>
      <c r="V11" s="229"/>
      <c r="W11" s="229"/>
      <c r="X11" s="229"/>
      <c r="Y11" s="229"/>
      <c r="Z11" s="229"/>
      <c r="AA11" s="229"/>
      <c r="AB11" s="229"/>
      <c r="AC11" s="229"/>
      <c r="AD11" s="229"/>
      <c r="AE11" s="229"/>
      <c r="AF11" s="229"/>
      <c r="AG11" s="229"/>
      <c r="AH11" s="229"/>
      <c r="AI11" s="229"/>
      <c r="AJ11" s="229"/>
      <c r="AK11" s="229"/>
      <c r="AL11" s="229"/>
      <c r="AM11" s="229"/>
      <c r="AN11" s="229"/>
      <c r="AO11" s="229"/>
    </row>
    <row r="12" spans="1:43" ht="10.5" customHeight="1"/>
    <row r="13" spans="1:43" ht="19.5">
      <c r="B13" s="236"/>
      <c r="C13" s="236"/>
      <c r="D13" s="419"/>
      <c r="E13" s="419"/>
      <c r="F13" s="419"/>
      <c r="G13" s="419"/>
      <c r="H13" s="419"/>
      <c r="I13" s="419"/>
      <c r="J13" s="419"/>
      <c r="K13" s="419"/>
      <c r="L13" s="419"/>
      <c r="M13" s="419"/>
      <c r="O13" s="236"/>
      <c r="AC13" s="422"/>
      <c r="AD13" s="422"/>
      <c r="AE13" s="422"/>
      <c r="AF13" s="422"/>
      <c r="AI13" s="423"/>
      <c r="AJ13" s="423"/>
    </row>
    <row r="14" spans="1:43" ht="18.75" customHeight="1">
      <c r="B14" s="419"/>
      <c r="C14" s="419"/>
      <c r="D14" s="420"/>
      <c r="E14" s="420"/>
      <c r="F14" s="420"/>
      <c r="G14" s="420"/>
      <c r="H14" s="420"/>
      <c r="I14" s="420"/>
      <c r="J14" s="420"/>
      <c r="K14" s="420"/>
      <c r="L14" s="420"/>
      <c r="M14" s="420"/>
      <c r="O14" s="236"/>
      <c r="AM14" s="423"/>
      <c r="AN14" s="423"/>
      <c r="AO14" s="423"/>
    </row>
    <row r="15" spans="1:43">
      <c r="B15" s="419"/>
      <c r="C15" s="419"/>
      <c r="D15" s="420"/>
      <c r="E15" s="420"/>
      <c r="F15" s="420"/>
      <c r="G15" s="420"/>
      <c r="H15" s="420"/>
      <c r="I15" s="420"/>
      <c r="J15" s="420"/>
      <c r="K15" s="420"/>
      <c r="L15" s="420"/>
      <c r="M15" s="420"/>
      <c r="O15" s="236"/>
      <c r="AG15" s="359"/>
    </row>
    <row r="16" spans="1:43" ht="19.5">
      <c r="B16" s="419"/>
      <c r="C16" s="419"/>
      <c r="D16" s="420"/>
      <c r="E16" s="420"/>
      <c r="F16" s="420"/>
      <c r="G16" s="420"/>
      <c r="H16" s="420"/>
      <c r="I16" s="420"/>
      <c r="J16" s="420"/>
      <c r="K16" s="420"/>
      <c r="L16" s="420"/>
      <c r="M16" s="420"/>
      <c r="AC16" s="422"/>
      <c r="AD16" s="422"/>
      <c r="AE16" s="422"/>
      <c r="AF16" s="422"/>
    </row>
    <row r="17" spans="2:33" ht="23.25" customHeight="1">
      <c r="B17" s="419"/>
      <c r="C17" s="419"/>
      <c r="D17" s="420"/>
      <c r="E17" s="420"/>
      <c r="F17" s="420"/>
      <c r="G17" s="420"/>
      <c r="H17" s="420"/>
      <c r="I17" s="420"/>
      <c r="J17" s="420"/>
      <c r="K17" s="420"/>
      <c r="L17" s="420"/>
      <c r="M17" s="420"/>
      <c r="AC17" s="424"/>
      <c r="AD17" s="424"/>
      <c r="AE17" s="424"/>
      <c r="AF17" s="424"/>
    </row>
    <row r="18" spans="2:33" ht="12.75" customHeight="1">
      <c r="B18" s="419"/>
      <c r="C18" s="419"/>
      <c r="D18" s="420"/>
      <c r="E18" s="420"/>
      <c r="F18" s="420"/>
      <c r="G18" s="420"/>
      <c r="H18" s="420"/>
      <c r="I18" s="420"/>
      <c r="J18" s="420"/>
      <c r="K18" s="420"/>
      <c r="L18" s="420"/>
      <c r="M18" s="420"/>
    </row>
    <row r="19" spans="2:33">
      <c r="B19" s="419"/>
      <c r="C19" s="419"/>
      <c r="D19" s="420"/>
      <c r="E19" s="420"/>
      <c r="F19" s="420"/>
      <c r="G19" s="420"/>
      <c r="H19" s="420"/>
      <c r="I19" s="420"/>
      <c r="J19" s="420"/>
      <c r="K19" s="420"/>
      <c r="L19" s="420"/>
      <c r="M19" s="420"/>
      <c r="Q19" s="329"/>
      <c r="R19" s="329"/>
      <c r="Y19" s="231"/>
      <c r="Z19" s="231"/>
    </row>
    <row r="20" spans="2:33" ht="12.75" customHeight="1">
      <c r="B20" s="419"/>
      <c r="C20" s="419"/>
      <c r="D20" s="420"/>
      <c r="E20" s="420"/>
      <c r="F20" s="420"/>
      <c r="G20" s="420"/>
      <c r="H20" s="420"/>
      <c r="I20" s="420"/>
      <c r="J20" s="420"/>
      <c r="K20" s="420"/>
      <c r="L20" s="420"/>
      <c r="M20" s="420"/>
      <c r="P20" s="236"/>
      <c r="Q20" s="236"/>
      <c r="R20" s="236"/>
      <c r="S20" s="236"/>
      <c r="T20" s="236"/>
      <c r="U20" s="236"/>
      <c r="V20" s="236"/>
      <c r="W20" s="236"/>
      <c r="X20" s="236"/>
      <c r="Y20" s="236"/>
      <c r="Z20" s="236"/>
      <c r="AA20" s="236"/>
      <c r="AB20" s="236"/>
      <c r="AC20" s="236"/>
      <c r="AD20" s="236"/>
      <c r="AF20" s="236"/>
    </row>
    <row r="21" spans="2:33">
      <c r="B21" s="419"/>
      <c r="C21" s="419"/>
      <c r="D21" s="420"/>
      <c r="E21" s="420"/>
      <c r="F21" s="420"/>
      <c r="G21" s="420"/>
      <c r="H21" s="420"/>
      <c r="I21" s="420"/>
      <c r="J21" s="420"/>
      <c r="K21" s="420"/>
      <c r="L21" s="420"/>
      <c r="M21" s="420"/>
      <c r="Q21" s="359"/>
      <c r="R21" s="359"/>
      <c r="S21" s="359"/>
      <c r="T21" s="359"/>
      <c r="U21" s="359"/>
      <c r="V21" s="359"/>
      <c r="W21" s="359"/>
      <c r="X21" s="359"/>
      <c r="Y21" s="236"/>
      <c r="Z21" s="236"/>
      <c r="AA21" s="359"/>
      <c r="AB21" s="359"/>
      <c r="AC21" s="359"/>
      <c r="AD21" s="359"/>
      <c r="AE21" s="359"/>
    </row>
    <row r="22" spans="2:33" ht="12.75" customHeight="1">
      <c r="B22" s="419"/>
      <c r="C22" s="419"/>
      <c r="D22" s="420"/>
      <c r="E22" s="420"/>
      <c r="F22" s="420"/>
      <c r="G22" s="420"/>
      <c r="H22" s="420"/>
      <c r="I22" s="420"/>
      <c r="J22" s="420"/>
      <c r="K22" s="420"/>
      <c r="L22" s="420"/>
      <c r="M22" s="420"/>
      <c r="Q22" s="358"/>
      <c r="R22" s="358"/>
      <c r="S22" s="358"/>
      <c r="T22" s="358"/>
      <c r="U22" s="358"/>
      <c r="V22" s="358"/>
      <c r="W22" s="358"/>
      <c r="X22" s="358"/>
      <c r="Y22" s="358"/>
      <c r="Z22" s="358"/>
      <c r="AA22" s="358"/>
      <c r="AB22" s="358"/>
      <c r="AC22" s="358"/>
      <c r="AD22" s="358"/>
      <c r="AE22" s="358"/>
    </row>
    <row r="23" spans="2:33">
      <c r="B23" s="419"/>
      <c r="C23" s="419"/>
      <c r="D23" s="420"/>
      <c r="E23" s="420"/>
      <c r="F23" s="420"/>
      <c r="G23" s="420"/>
      <c r="H23" s="420"/>
      <c r="I23" s="420"/>
      <c r="J23" s="420"/>
      <c r="K23" s="420"/>
      <c r="L23" s="420"/>
      <c r="M23" s="420"/>
      <c r="Q23" s="358"/>
      <c r="R23" s="358"/>
      <c r="S23" s="358"/>
      <c r="T23" s="358"/>
      <c r="U23" s="358"/>
      <c r="V23" s="358"/>
      <c r="W23" s="358"/>
      <c r="X23" s="358"/>
      <c r="Y23" s="358"/>
      <c r="Z23" s="358"/>
      <c r="AA23" s="358"/>
      <c r="AB23" s="358"/>
      <c r="AC23" s="358"/>
      <c r="AD23" s="358"/>
      <c r="AE23" s="358"/>
      <c r="AG23" s="359"/>
    </row>
    <row r="24" spans="2:33" ht="12.75" customHeight="1">
      <c r="B24" s="419"/>
      <c r="C24" s="419"/>
      <c r="D24" s="420"/>
      <c r="E24" s="420"/>
      <c r="F24" s="420"/>
      <c r="G24" s="420"/>
      <c r="H24" s="420"/>
      <c r="I24" s="420"/>
      <c r="J24" s="420"/>
      <c r="K24" s="420"/>
      <c r="L24" s="420"/>
      <c r="M24" s="420"/>
      <c r="Q24" s="358"/>
      <c r="R24" s="358"/>
      <c r="S24" s="358"/>
      <c r="T24" s="358"/>
      <c r="U24" s="358"/>
      <c r="V24" s="358"/>
      <c r="W24" s="358"/>
      <c r="X24" s="358"/>
      <c r="Y24" s="358"/>
      <c r="Z24" s="358"/>
      <c r="AA24" s="358"/>
      <c r="AB24" s="358"/>
      <c r="AC24" s="358"/>
      <c r="AD24" s="358"/>
      <c r="AE24" s="358"/>
    </row>
    <row r="25" spans="2:33">
      <c r="B25" s="419"/>
      <c r="C25" s="419"/>
      <c r="D25" s="420"/>
      <c r="E25" s="420"/>
      <c r="F25" s="420"/>
      <c r="G25" s="420"/>
      <c r="H25" s="420"/>
      <c r="I25" s="420"/>
      <c r="J25" s="420"/>
      <c r="K25" s="420"/>
      <c r="L25" s="420"/>
      <c r="M25" s="420"/>
      <c r="Q25" s="358"/>
      <c r="R25" s="358"/>
      <c r="S25" s="358"/>
      <c r="T25" s="358"/>
      <c r="U25" s="358"/>
      <c r="V25" s="358"/>
      <c r="W25" s="358"/>
      <c r="X25" s="358"/>
      <c r="Y25" s="358"/>
      <c r="Z25" s="358"/>
      <c r="AA25" s="358"/>
      <c r="AB25" s="358"/>
      <c r="AC25" s="358"/>
      <c r="AD25" s="358"/>
      <c r="AE25" s="358"/>
    </row>
    <row r="26" spans="2:33" ht="12.75" customHeight="1">
      <c r="Q26" s="358"/>
      <c r="R26" s="358"/>
      <c r="S26" s="358"/>
      <c r="T26" s="358"/>
      <c r="U26" s="358"/>
      <c r="V26" s="358"/>
      <c r="W26" s="358"/>
      <c r="X26" s="358"/>
      <c r="Y26" s="358"/>
      <c r="Z26" s="358"/>
      <c r="AA26" s="358"/>
      <c r="AB26" s="358"/>
      <c r="AC26" s="358"/>
      <c r="AD26" s="358"/>
      <c r="AE26" s="358"/>
    </row>
    <row r="27" spans="2:33">
      <c r="Q27" s="358"/>
      <c r="R27" s="358"/>
      <c r="S27" s="358"/>
      <c r="T27" s="358"/>
      <c r="U27" s="358"/>
      <c r="V27" s="358"/>
      <c r="W27" s="358"/>
      <c r="X27" s="358"/>
      <c r="Y27" s="358"/>
      <c r="Z27" s="358"/>
      <c r="AA27" s="358"/>
      <c r="AB27" s="358"/>
      <c r="AC27" s="358"/>
      <c r="AD27" s="358"/>
      <c r="AE27" s="358"/>
    </row>
    <row r="28" spans="2:33">
      <c r="Q28" s="358"/>
      <c r="R28" s="358"/>
      <c r="S28" s="358"/>
      <c r="T28" s="358"/>
      <c r="U28" s="358"/>
      <c r="V28" s="358"/>
      <c r="W28" s="358"/>
      <c r="X28" s="358"/>
      <c r="Y28" s="358"/>
      <c r="Z28" s="358"/>
      <c r="AA28" s="358"/>
      <c r="AB28" s="358"/>
      <c r="AC28" s="358"/>
      <c r="AD28" s="358"/>
      <c r="AE28" s="358"/>
    </row>
    <row r="29" spans="2:33">
      <c r="Q29" s="358"/>
      <c r="R29" s="358"/>
      <c r="S29" s="358"/>
      <c r="T29" s="358"/>
      <c r="U29" s="358"/>
      <c r="V29" s="358"/>
      <c r="W29" s="358"/>
      <c r="X29" s="358"/>
      <c r="Y29" s="358"/>
      <c r="Z29" s="358"/>
      <c r="AA29" s="358"/>
      <c r="AB29" s="358"/>
      <c r="AC29" s="358"/>
      <c r="AD29" s="358"/>
      <c r="AE29" s="358"/>
    </row>
    <row r="30" spans="2:33">
      <c r="Q30" s="358"/>
      <c r="R30" s="358"/>
      <c r="S30" s="358"/>
      <c r="T30" s="358"/>
      <c r="U30" s="358"/>
      <c r="V30" s="358"/>
      <c r="W30" s="358"/>
      <c r="X30" s="358"/>
      <c r="Y30" s="358"/>
      <c r="Z30" s="358"/>
      <c r="AA30" s="358"/>
      <c r="AB30" s="358"/>
      <c r="AC30" s="358"/>
      <c r="AD30" s="358"/>
      <c r="AE30" s="358"/>
    </row>
    <row r="31" spans="2:33" ht="12.75" customHeight="1">
      <c r="B31" s="415"/>
      <c r="C31" s="415"/>
      <c r="D31" s="415"/>
      <c r="E31" s="415"/>
      <c r="F31" s="415"/>
      <c r="G31" s="415"/>
      <c r="H31" s="415"/>
      <c r="I31" s="415"/>
      <c r="J31" s="415"/>
      <c r="K31" s="415"/>
      <c r="L31" s="415"/>
      <c r="M31" s="415"/>
      <c r="N31" s="415"/>
      <c r="O31" s="415"/>
      <c r="Q31" s="358"/>
      <c r="R31" s="358"/>
      <c r="S31" s="358"/>
      <c r="T31" s="358"/>
      <c r="U31" s="358"/>
      <c r="V31" s="358"/>
      <c r="W31" s="358"/>
      <c r="X31" s="358"/>
    </row>
    <row r="32" spans="2:33">
      <c r="Q32" s="358"/>
      <c r="R32" s="358"/>
      <c r="S32" s="358"/>
      <c r="T32" s="358"/>
      <c r="U32" s="358"/>
      <c r="V32" s="358"/>
      <c r="W32" s="358"/>
      <c r="X32" s="358"/>
    </row>
    <row r="33" spans="1:38" ht="12.75" customHeight="1">
      <c r="B33" s="236"/>
      <c r="C33" s="236"/>
      <c r="D33" s="236"/>
      <c r="E33" s="236"/>
      <c r="F33" s="236"/>
      <c r="G33" s="236"/>
      <c r="H33" s="236"/>
      <c r="I33" s="236"/>
      <c r="J33" s="236"/>
      <c r="K33" s="236"/>
      <c r="L33" s="236"/>
      <c r="M33" s="236"/>
      <c r="N33" s="236"/>
      <c r="O33" s="236"/>
    </row>
    <row r="34" spans="1:38">
      <c r="B34" s="236"/>
      <c r="C34" s="236"/>
      <c r="D34" s="236"/>
      <c r="E34" s="236"/>
      <c r="F34" s="236"/>
      <c r="G34" s="236"/>
      <c r="H34" s="236"/>
      <c r="I34" s="236"/>
      <c r="J34" s="236"/>
      <c r="K34" s="236"/>
      <c r="L34" s="236"/>
      <c r="M34" s="236"/>
      <c r="N34" s="236"/>
      <c r="O34" s="236"/>
      <c r="Q34" s="415"/>
      <c r="R34" s="415"/>
      <c r="S34" s="415"/>
      <c r="T34" s="415"/>
      <c r="U34" s="415"/>
      <c r="V34" s="415"/>
      <c r="W34" s="415"/>
      <c r="X34" s="415"/>
      <c r="Y34" s="415"/>
      <c r="Z34" s="415"/>
      <c r="AA34" s="415"/>
      <c r="AB34" s="415"/>
      <c r="AC34" s="415"/>
      <c r="AD34" s="415"/>
      <c r="AE34" s="415"/>
    </row>
    <row r="35" spans="1:38">
      <c r="B35" s="321"/>
      <c r="C35" s="321"/>
      <c r="D35" s="425"/>
      <c r="E35" s="425"/>
      <c r="F35" s="425"/>
      <c r="G35" s="425"/>
      <c r="H35" s="425"/>
      <c r="I35" s="425"/>
      <c r="J35" s="425"/>
      <c r="K35" s="425"/>
      <c r="L35" s="425"/>
      <c r="M35" s="425"/>
      <c r="N35" s="425"/>
      <c r="O35" s="425"/>
    </row>
    <row r="36" spans="1:38">
      <c r="B36" s="321"/>
      <c r="C36" s="321"/>
      <c r="D36" s="425"/>
      <c r="E36" s="425"/>
      <c r="F36" s="425"/>
      <c r="G36" s="425"/>
      <c r="H36" s="425"/>
      <c r="I36" s="425"/>
      <c r="J36" s="425"/>
      <c r="K36" s="425"/>
      <c r="L36" s="425"/>
      <c r="M36" s="425"/>
      <c r="N36" s="425"/>
      <c r="O36" s="425"/>
      <c r="Q36" s="417"/>
      <c r="R36" s="417"/>
      <c r="S36" s="417"/>
      <c r="T36" s="417"/>
      <c r="U36" s="417"/>
      <c r="V36" s="417"/>
      <c r="W36" s="417"/>
      <c r="X36" s="417"/>
      <c r="Y36" s="417"/>
      <c r="Z36" s="417"/>
      <c r="AA36" s="417"/>
      <c r="AB36" s="417"/>
      <c r="AC36" s="417"/>
      <c r="AD36" s="417"/>
      <c r="AE36" s="417"/>
    </row>
    <row r="37" spans="1:38">
      <c r="B37" s="321"/>
      <c r="C37" s="321"/>
      <c r="D37" s="425"/>
      <c r="E37" s="425"/>
      <c r="F37" s="425"/>
      <c r="G37" s="425"/>
      <c r="H37" s="425"/>
      <c r="I37" s="425"/>
      <c r="J37" s="425"/>
      <c r="K37" s="425"/>
      <c r="L37" s="425"/>
      <c r="M37" s="425"/>
      <c r="N37" s="425"/>
      <c r="O37" s="425"/>
      <c r="Q37" s="417"/>
      <c r="R37" s="417"/>
      <c r="S37" s="417"/>
      <c r="T37" s="417"/>
      <c r="U37" s="417"/>
      <c r="V37" s="417"/>
      <c r="W37" s="417"/>
      <c r="X37" s="417"/>
      <c r="Y37" s="417"/>
      <c r="Z37" s="417"/>
      <c r="AA37" s="417"/>
      <c r="AB37" s="417"/>
      <c r="AC37" s="417"/>
      <c r="AD37" s="417"/>
      <c r="AE37" s="417"/>
    </row>
    <row r="38" spans="1:38">
      <c r="B38" s="321"/>
      <c r="C38" s="321"/>
      <c r="D38" s="425"/>
      <c r="E38" s="425"/>
      <c r="F38" s="425"/>
      <c r="G38" s="425"/>
      <c r="H38" s="425"/>
      <c r="I38" s="425"/>
      <c r="J38" s="425"/>
      <c r="K38" s="425"/>
      <c r="L38" s="425"/>
      <c r="M38" s="425"/>
      <c r="N38" s="425"/>
      <c r="O38" s="425"/>
      <c r="Q38" s="358"/>
      <c r="R38" s="359"/>
      <c r="S38" s="359"/>
      <c r="T38" s="359"/>
      <c r="U38" s="359"/>
      <c r="V38" s="359"/>
      <c r="W38" s="359"/>
      <c r="X38" s="359"/>
      <c r="Y38" s="236"/>
      <c r="Z38" s="236"/>
      <c r="AA38" s="359"/>
      <c r="AB38" s="359"/>
      <c r="AC38" s="359"/>
      <c r="AD38" s="359"/>
      <c r="AE38" s="359"/>
    </row>
    <row r="39" spans="1:38">
      <c r="B39" s="1973"/>
      <c r="C39" s="1973"/>
      <c r="D39" s="1973"/>
      <c r="E39" s="1973"/>
      <c r="F39" s="1973"/>
      <c r="G39" s="1973"/>
      <c r="H39" s="1973"/>
      <c r="I39" s="1973"/>
      <c r="J39" s="1973"/>
      <c r="K39" s="1973"/>
      <c r="L39" s="1973"/>
      <c r="M39" s="1973"/>
      <c r="N39" s="1973"/>
      <c r="O39" s="1973"/>
      <c r="P39" s="1973"/>
      <c r="Q39" s="1973"/>
      <c r="R39" s="358"/>
      <c r="S39" s="358"/>
      <c r="T39" s="358"/>
      <c r="U39" s="426"/>
      <c r="V39" s="358"/>
      <c r="W39" s="358"/>
      <c r="X39" s="358"/>
      <c r="Y39" s="358"/>
      <c r="Z39" s="358"/>
      <c r="AA39" s="358"/>
      <c r="AB39" s="236"/>
      <c r="AC39" s="358"/>
      <c r="AD39" s="358"/>
      <c r="AE39" s="358"/>
      <c r="AG39" s="415"/>
    </row>
    <row r="40" spans="1:38">
      <c r="B40" s="1972"/>
      <c r="C40" s="1972"/>
      <c r="D40" s="1972"/>
      <c r="E40" s="1972"/>
      <c r="F40" s="1972"/>
      <c r="G40" s="1972"/>
      <c r="H40" s="1972"/>
      <c r="I40" s="425"/>
      <c r="J40" s="425"/>
      <c r="K40" s="425"/>
      <c r="L40" s="425"/>
      <c r="M40" s="425"/>
      <c r="N40" s="425"/>
      <c r="O40" s="425"/>
      <c r="Q40" s="358"/>
      <c r="R40" s="358"/>
      <c r="S40" s="358"/>
      <c r="T40" s="358"/>
      <c r="U40" s="358"/>
      <c r="V40" s="358"/>
      <c r="W40" s="358"/>
      <c r="X40" s="358"/>
      <c r="Y40" s="358"/>
      <c r="Z40" s="358"/>
      <c r="AA40" s="358"/>
      <c r="AB40" s="358"/>
      <c r="AC40" s="358"/>
      <c r="AD40" s="358"/>
      <c r="AE40" s="358"/>
    </row>
    <row r="41" spans="1:38">
      <c r="B41" s="321"/>
      <c r="C41" s="321"/>
      <c r="D41" s="425"/>
      <c r="E41" s="425"/>
      <c r="F41" s="425"/>
      <c r="G41" s="425"/>
      <c r="H41" s="425"/>
      <c r="I41" s="425"/>
      <c r="J41" s="425"/>
      <c r="K41" s="425"/>
      <c r="L41" s="425"/>
      <c r="M41" s="425"/>
      <c r="N41" s="425"/>
      <c r="O41" s="425"/>
      <c r="Q41" s="358"/>
      <c r="R41" s="417"/>
      <c r="S41" s="417"/>
      <c r="T41" s="417"/>
      <c r="U41" s="417"/>
      <c r="V41" s="417"/>
      <c r="W41" s="417"/>
      <c r="X41" s="417"/>
      <c r="Y41" s="417"/>
      <c r="Z41" s="417"/>
      <c r="AA41" s="417"/>
      <c r="AB41" s="417"/>
      <c r="AC41" s="417"/>
      <c r="AD41" s="417"/>
      <c r="AE41" s="417"/>
      <c r="AG41" s="359"/>
    </row>
    <row r="42" spans="1:38">
      <c r="D42" s="233"/>
      <c r="F42" s="233"/>
      <c r="G42" s="233"/>
      <c r="Q42" s="421"/>
      <c r="R42" s="417"/>
      <c r="S42" s="417"/>
      <c r="U42" s="231"/>
      <c r="V42" s="417"/>
      <c r="W42" s="417"/>
      <c r="X42" s="417"/>
      <c r="Y42" s="417"/>
      <c r="Z42" s="417"/>
      <c r="AB42" s="231"/>
      <c r="AC42" s="417"/>
      <c r="AD42" s="417"/>
      <c r="AE42" s="417"/>
    </row>
    <row r="43" spans="1:38">
      <c r="B43" s="236"/>
      <c r="C43" s="236"/>
      <c r="D43" s="233"/>
      <c r="F43" s="236"/>
      <c r="G43" s="236"/>
      <c r="O43" s="233"/>
      <c r="P43" s="244"/>
      <c r="Q43" s="358"/>
      <c r="R43" s="359"/>
      <c r="S43" s="359"/>
      <c r="T43" s="359"/>
      <c r="U43" s="359"/>
      <c r="V43" s="359"/>
      <c r="W43" s="359"/>
      <c r="X43" s="359"/>
      <c r="Y43" s="236"/>
      <c r="Z43" s="236"/>
      <c r="AA43" s="359"/>
      <c r="AB43" s="359"/>
      <c r="AC43" s="359"/>
      <c r="AD43" s="359"/>
      <c r="AE43" s="359"/>
    </row>
    <row r="44" spans="1:38">
      <c r="A44" s="239"/>
      <c r="B44" s="239"/>
      <c r="C44" s="239"/>
      <c r="D44" s="239"/>
      <c r="E44" s="239"/>
      <c r="F44" s="239"/>
      <c r="G44" s="239"/>
      <c r="H44" s="239"/>
      <c r="I44" s="239"/>
      <c r="J44" s="239"/>
      <c r="K44" s="239"/>
      <c r="L44" s="239"/>
      <c r="M44" s="239"/>
      <c r="Q44" s="358"/>
      <c r="R44" s="358"/>
      <c r="S44" s="358"/>
      <c r="T44" s="358"/>
      <c r="U44" s="358"/>
      <c r="V44" s="358"/>
      <c r="W44" s="358"/>
      <c r="X44" s="358"/>
      <c r="Y44" s="358"/>
      <c r="Z44" s="358"/>
      <c r="AA44" s="358"/>
      <c r="AB44" s="358"/>
      <c r="AC44" s="358"/>
      <c r="AD44" s="358"/>
      <c r="AE44" s="358"/>
    </row>
    <row r="45" spans="1:38">
      <c r="A45" s="239"/>
      <c r="B45" s="239"/>
      <c r="C45" s="239"/>
      <c r="D45" s="239"/>
      <c r="E45" s="239"/>
      <c r="F45" s="239"/>
      <c r="G45" s="239"/>
      <c r="H45" s="239"/>
      <c r="I45" s="239"/>
      <c r="J45" s="239"/>
      <c r="K45" s="239"/>
      <c r="L45" s="239"/>
      <c r="M45" s="239"/>
    </row>
    <row r="48" spans="1:38" ht="15">
      <c r="AJ48" s="663"/>
      <c r="AL48" s="663"/>
    </row>
  </sheetData>
  <sheetProtection algorithmName="SHA-512" hashValue="MQ0wJSbBTAXPaNnQJVHt6hwhXaNUD/3tAads5turQrX9DoRyuIK48hp6CLbatrKJ9hbsjhS6HGCM3iOs8jK7Ow==" saltValue="zw4+KwxW7T9LZBTA+DryyA==" spinCount="100000" sheet="1" objects="1" scenarios="1"/>
  <mergeCells count="8">
    <mergeCell ref="B40:H40"/>
    <mergeCell ref="A3:AQ3"/>
    <mergeCell ref="A5:AQ5"/>
    <mergeCell ref="A7:AQ7"/>
    <mergeCell ref="A10:AQ10"/>
    <mergeCell ref="B39:H39"/>
    <mergeCell ref="I39:N39"/>
    <mergeCell ref="O39:Q39"/>
  </mergeCells>
  <printOptions horizontalCentered="1" verticalCentered="1"/>
  <pageMargins left="0" right="0" top="0" bottom="0" header="0.19685039370078741" footer="0.15748031496062992"/>
  <pageSetup paperSize="9" scale="76" firstPageNumber="7"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1">
    <tabColor indexed="10"/>
    <pageSetUpPr fitToPage="1"/>
  </sheetPr>
  <dimension ref="A1:AB77"/>
  <sheetViews>
    <sheetView zoomScale="80" zoomScaleNormal="80" workbookViewId="0">
      <selection activeCell="N59" sqref="N59"/>
    </sheetView>
  </sheetViews>
  <sheetFormatPr defaultColWidth="9.140625" defaultRowHeight="12.75"/>
  <cols>
    <col min="1" max="1" width="5.7109375" style="233" customWidth="1"/>
    <col min="2" max="15" width="9.140625" style="233"/>
    <col min="16" max="16" width="17.7109375" style="233" bestFit="1" customWidth="1"/>
    <col min="17" max="17" width="9.140625" style="233"/>
    <col min="18" max="18" width="11" style="233" customWidth="1"/>
    <col min="19" max="19" width="21.140625" style="246" bestFit="1" customWidth="1"/>
    <col min="20" max="20" width="9.140625" style="233"/>
    <col min="21" max="21" width="12" style="233" hidden="1" customWidth="1"/>
    <col min="22" max="22" width="2.28515625" style="233" bestFit="1" customWidth="1"/>
    <col min="23" max="23" width="13.140625" style="233" customWidth="1"/>
    <col min="24" max="24" width="10.42578125" style="233" bestFit="1" customWidth="1"/>
    <col min="25" max="16384" width="9.140625" style="233"/>
  </cols>
  <sheetData>
    <row r="1" spans="1:28" s="217" customFormat="1" ht="6.75" customHeight="1" thickBot="1">
      <c r="B1" s="218"/>
    </row>
    <row r="2" spans="1:28"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c r="X2" s="219"/>
    </row>
    <row r="3" spans="1:28"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c r="X3" s="1820"/>
    </row>
    <row r="4" spans="1:28" s="217" customFormat="1" ht="4.5" customHeight="1">
      <c r="A4" s="221"/>
      <c r="B4" s="222"/>
      <c r="C4" s="222"/>
      <c r="D4" s="222"/>
      <c r="J4" s="222"/>
      <c r="K4" s="222"/>
      <c r="L4" s="222"/>
      <c r="M4" s="222"/>
      <c r="O4" s="222"/>
      <c r="P4" s="222"/>
      <c r="Q4" s="223"/>
      <c r="R4" s="224"/>
      <c r="S4" s="225"/>
    </row>
    <row r="5" spans="1:28" s="217" customFormat="1" ht="22.5">
      <c r="A5" s="1821" t="str">
        <f>'ICAO Tables (Taxiw)'!A5:AQ5</f>
        <v>3.  TAXIWAYS</v>
      </c>
      <c r="B5" s="1821"/>
      <c r="C5" s="1821"/>
      <c r="D5" s="1821"/>
      <c r="E5" s="1821"/>
      <c r="F5" s="1821"/>
      <c r="G5" s="1821"/>
      <c r="H5" s="1821"/>
      <c r="I5" s="1821"/>
      <c r="J5" s="1821"/>
      <c r="K5" s="1821"/>
      <c r="L5" s="1821"/>
      <c r="M5" s="1821"/>
      <c r="N5" s="1821"/>
      <c r="O5" s="1821"/>
      <c r="P5" s="1821"/>
      <c r="Q5" s="1821"/>
      <c r="R5" s="1821"/>
      <c r="S5" s="1821"/>
      <c r="T5" s="1821"/>
      <c r="U5" s="1821"/>
      <c r="V5" s="1821"/>
      <c r="W5" s="1821"/>
      <c r="X5" s="1821"/>
    </row>
    <row r="6" spans="1:28" s="217" customFormat="1" ht="7.5" customHeight="1">
      <c r="A6" s="221"/>
      <c r="B6" s="222"/>
      <c r="C6" s="222"/>
      <c r="D6" s="222"/>
      <c r="J6" s="222"/>
      <c r="K6" s="222"/>
      <c r="L6" s="222"/>
      <c r="M6" s="222"/>
      <c r="O6" s="222"/>
      <c r="P6" s="222"/>
      <c r="Q6" s="223"/>
      <c r="R6" s="224"/>
      <c r="S6" s="225"/>
    </row>
    <row r="7" spans="1:28" s="217" customFormat="1" hidden="1">
      <c r="A7" s="1822">
        <v>39814</v>
      </c>
      <c r="B7" s="1822"/>
      <c r="C7" s="1822"/>
      <c r="D7" s="1822"/>
      <c r="E7" s="1822"/>
      <c r="F7" s="1822"/>
      <c r="G7" s="1822"/>
      <c r="H7" s="1822"/>
      <c r="I7" s="1822"/>
      <c r="J7" s="1822"/>
      <c r="K7" s="1822"/>
      <c r="L7" s="1822"/>
      <c r="M7" s="1822"/>
      <c r="N7" s="1822"/>
      <c r="O7" s="1822"/>
      <c r="P7" s="1822"/>
      <c r="Q7" s="1822"/>
      <c r="R7" s="1822"/>
      <c r="S7" s="1822"/>
      <c r="T7" s="1822"/>
      <c r="U7" s="1822"/>
      <c r="V7" s="1822"/>
      <c r="W7" s="1822"/>
      <c r="X7" s="1822"/>
    </row>
    <row r="8" spans="1:28"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c r="X8" s="226"/>
    </row>
    <row r="9" spans="1:28" s="217" customFormat="1" ht="8.25" customHeight="1">
      <c r="A9" s="228"/>
      <c r="B9" s="229"/>
      <c r="C9" s="229"/>
      <c r="D9" s="229"/>
      <c r="E9" s="229"/>
      <c r="F9" s="229"/>
      <c r="G9" s="229"/>
      <c r="H9" s="229"/>
      <c r="I9" s="229"/>
      <c r="J9" s="229"/>
      <c r="K9" s="229"/>
      <c r="L9" s="230"/>
      <c r="M9" s="229"/>
      <c r="N9" s="229"/>
      <c r="O9" s="229"/>
      <c r="P9" s="229"/>
      <c r="Q9" s="229"/>
      <c r="R9" s="229"/>
      <c r="S9" s="229"/>
      <c r="T9" s="229"/>
      <c r="U9" s="229"/>
      <c r="V9" s="229"/>
      <c r="W9" s="229"/>
      <c r="X9" s="229"/>
    </row>
    <row r="11" spans="1:28" ht="18">
      <c r="A11" s="1823" t="s">
        <v>766</v>
      </c>
      <c r="B11" s="1823"/>
      <c r="C11" s="1823"/>
      <c r="D11" s="1823"/>
      <c r="E11" s="1823"/>
      <c r="F11" s="1823"/>
      <c r="G11" s="1823"/>
      <c r="H11" s="1823"/>
      <c r="I11" s="1823"/>
      <c r="J11" s="1823"/>
      <c r="K11" s="1823"/>
      <c r="L11" s="1823"/>
      <c r="M11" s="1823"/>
      <c r="N11" s="1823"/>
      <c r="O11" s="1823"/>
      <c r="P11" s="1823"/>
      <c r="Q11" s="1823"/>
      <c r="R11" s="1823"/>
      <c r="S11" s="1823"/>
      <c r="T11" s="1823"/>
      <c r="U11" s="1823"/>
      <c r="V11" s="1823"/>
      <c r="W11" s="1823"/>
      <c r="X11" s="1823"/>
      <c r="Y11" s="232"/>
      <c r="Z11" s="232"/>
      <c r="AA11" s="232"/>
      <c r="AB11" s="232"/>
    </row>
    <row r="12" spans="1:28">
      <c r="O12" s="231"/>
      <c r="P12" s="231"/>
      <c r="Q12" s="231"/>
      <c r="R12" s="231"/>
      <c r="S12" s="675" t="s">
        <v>493</v>
      </c>
      <c r="T12" s="231"/>
      <c r="U12" s="1973" t="s">
        <v>306</v>
      </c>
      <c r="V12" s="1973"/>
      <c r="W12" s="1973"/>
      <c r="X12" s="1973"/>
    </row>
    <row r="13" spans="1:28">
      <c r="O13" s="231"/>
      <c r="P13" s="231"/>
      <c r="Q13" s="231"/>
      <c r="R13" s="231"/>
      <c r="S13" s="234"/>
      <c r="T13" s="231"/>
      <c r="U13" s="675">
        <v>2009</v>
      </c>
      <c r="V13" s="231"/>
      <c r="W13" s="236">
        <v>2020</v>
      </c>
      <c r="X13" s="231"/>
    </row>
    <row r="14" spans="1:28">
      <c r="N14" s="231"/>
      <c r="O14" s="231"/>
      <c r="P14" s="231"/>
      <c r="Q14" s="231"/>
      <c r="R14" s="231"/>
      <c r="S14" s="234"/>
      <c r="T14" s="231"/>
      <c r="U14" s="231"/>
      <c r="V14" s="231"/>
      <c r="W14" s="231"/>
      <c r="X14" s="231"/>
    </row>
    <row r="15" spans="1:28">
      <c r="N15" s="235" t="s">
        <v>494</v>
      </c>
      <c r="O15" s="236" t="s">
        <v>767</v>
      </c>
      <c r="P15" s="231"/>
      <c r="Q15" s="231"/>
      <c r="R15" s="231"/>
      <c r="S15" s="234" t="s">
        <v>768</v>
      </c>
      <c r="T15" s="231"/>
      <c r="U15" s="231"/>
      <c r="V15" s="231"/>
      <c r="W15" s="231"/>
    </row>
    <row r="16" spans="1:28">
      <c r="N16" s="231"/>
      <c r="O16" s="231"/>
      <c r="P16" s="231"/>
      <c r="Q16" s="231"/>
      <c r="R16" s="231"/>
      <c r="S16" s="234"/>
      <c r="T16" s="231"/>
      <c r="U16" s="231"/>
      <c r="V16" s="231"/>
      <c r="W16" s="231"/>
      <c r="X16" s="231"/>
    </row>
    <row r="17" spans="14:24">
      <c r="N17" s="235" t="s">
        <v>499</v>
      </c>
      <c r="O17" s="236" t="s">
        <v>214</v>
      </c>
      <c r="P17" s="231"/>
      <c r="Q17" s="231"/>
      <c r="R17" s="231"/>
      <c r="S17" s="427">
        <f>'Code F Taxiway &amp; SH'!C22</f>
        <v>25</v>
      </c>
      <c r="T17" s="231"/>
      <c r="U17" s="238">
        <f>ROUND('Code F Taxiway &amp; SH'!H54,-2)</f>
        <v>1100</v>
      </c>
      <c r="V17" s="231"/>
      <c r="W17" s="238">
        <f>ROUND('Code F Taxiway &amp; SH'!M54,-2)</f>
        <v>2000</v>
      </c>
      <c r="X17" s="240" t="s">
        <v>769</v>
      </c>
    </row>
    <row r="18" spans="14:24">
      <c r="N18" s="231"/>
      <c r="O18" s="231"/>
      <c r="P18" s="231"/>
      <c r="Q18" s="231"/>
      <c r="R18" s="231"/>
      <c r="S18" s="234"/>
      <c r="T18" s="231"/>
    </row>
    <row r="19" spans="14:24">
      <c r="N19" s="235" t="s">
        <v>508</v>
      </c>
      <c r="O19" s="236" t="s">
        <v>216</v>
      </c>
      <c r="P19" s="231"/>
      <c r="Q19" s="231"/>
      <c r="R19" s="231"/>
      <c r="S19" s="427">
        <f>'Code F Taxiway &amp; SH'!S22*2</f>
        <v>35</v>
      </c>
      <c r="T19" s="231"/>
      <c r="U19" s="238">
        <f>'Code F Taxiway &amp; SH'!X39</f>
        <v>500</v>
      </c>
      <c r="V19" s="231"/>
      <c r="W19" s="238">
        <f>'Code F Taxiway &amp; SH'!AB39</f>
        <v>920</v>
      </c>
      <c r="X19" s="240" t="s">
        <v>769</v>
      </c>
    </row>
    <row r="20" spans="14:24">
      <c r="S20" s="428"/>
      <c r="V20" s="231"/>
      <c r="X20" s="231"/>
    </row>
    <row r="21" spans="14:24">
      <c r="N21" s="235" t="s">
        <v>512</v>
      </c>
      <c r="O21" s="236" t="s">
        <v>770</v>
      </c>
      <c r="P21" s="231"/>
      <c r="Q21" s="231"/>
      <c r="R21" s="231"/>
      <c r="S21" s="427">
        <f>'Code F Taxiway &amp; SH'!AH22*2</f>
        <v>55</v>
      </c>
      <c r="T21" s="231"/>
      <c r="U21" s="238">
        <f>'Code F Taxiway &amp; SH'!AM31</f>
        <v>50</v>
      </c>
      <c r="W21" s="238">
        <f>'Code F Taxiway &amp; SH'!AQ31</f>
        <v>90</v>
      </c>
      <c r="X21" s="240" t="s">
        <v>769</v>
      </c>
    </row>
    <row r="22" spans="14:24">
      <c r="N22" s="231"/>
      <c r="O22" s="231"/>
      <c r="P22" s="231"/>
      <c r="Q22" s="231"/>
      <c r="R22" s="231"/>
      <c r="S22" s="427"/>
      <c r="T22" s="231"/>
      <c r="U22" s="238"/>
      <c r="V22" s="231"/>
      <c r="W22" s="238"/>
      <c r="X22" s="231"/>
    </row>
    <row r="23" spans="14:24">
      <c r="R23" s="233" t="s">
        <v>771</v>
      </c>
      <c r="S23" s="427">
        <f>SUM(S17:S22)</f>
        <v>115</v>
      </c>
      <c r="V23" s="231"/>
      <c r="X23" s="231"/>
    </row>
    <row r="24" spans="14:24">
      <c r="N24" s="231"/>
      <c r="O24" s="231"/>
      <c r="P24" s="231"/>
      <c r="Q24" s="231"/>
      <c r="R24" s="231"/>
      <c r="S24" s="234"/>
      <c r="T24" s="231"/>
      <c r="V24" s="231"/>
      <c r="X24" s="231"/>
    </row>
    <row r="25" spans="14:24">
      <c r="N25" s="235" t="s">
        <v>526</v>
      </c>
      <c r="O25" s="236" t="s">
        <v>772</v>
      </c>
      <c r="P25" s="231"/>
      <c r="Q25" s="231"/>
      <c r="R25" s="231"/>
      <c r="S25" s="234"/>
      <c r="T25" s="231"/>
      <c r="U25" s="332">
        <f>ROUND('Code F Taxiway &amp; SH'!E57,-2)</f>
        <v>3800</v>
      </c>
      <c r="V25" s="231"/>
      <c r="W25" s="332">
        <f>ROUND('Code F Taxiway &amp; SH'!M57,-2)</f>
        <v>7000</v>
      </c>
      <c r="X25" s="429" t="s">
        <v>773</v>
      </c>
    </row>
    <row r="26" spans="14:24">
      <c r="N26" s="231"/>
      <c r="O26" s="231"/>
      <c r="P26" s="231"/>
      <c r="Q26" s="231"/>
      <c r="R26" s="231"/>
      <c r="S26" s="234"/>
      <c r="T26" s="231"/>
      <c r="U26" s="231"/>
      <c r="V26" s="231"/>
      <c r="W26" s="231"/>
      <c r="X26" s="240"/>
    </row>
    <row r="27" spans="14:24">
      <c r="N27" s="235" t="s">
        <v>529</v>
      </c>
      <c r="O27" s="236" t="s">
        <v>227</v>
      </c>
      <c r="P27" s="231"/>
      <c r="Q27" s="231"/>
      <c r="R27" s="231"/>
      <c r="S27" s="234"/>
      <c r="T27" s="430" t="s">
        <v>774</v>
      </c>
      <c r="U27" s="395">
        <v>40000</v>
      </c>
      <c r="V27" s="231"/>
      <c r="W27" s="395">
        <f>40000*1.15</f>
        <v>46000</v>
      </c>
      <c r="X27" s="429" t="s">
        <v>773</v>
      </c>
    </row>
    <row r="28" spans="14:24">
      <c r="N28" s="231"/>
      <c r="O28" s="231"/>
      <c r="P28" s="231"/>
      <c r="Q28" s="231"/>
      <c r="R28" s="231"/>
      <c r="S28" s="234"/>
      <c r="T28" s="231"/>
      <c r="U28" s="231"/>
      <c r="V28" s="231"/>
      <c r="W28" s="231"/>
      <c r="X28" s="231"/>
    </row>
    <row r="29" spans="14:24">
      <c r="N29" s="231"/>
      <c r="O29" s="231"/>
      <c r="P29" s="231"/>
      <c r="Q29" s="231"/>
      <c r="R29" s="231"/>
      <c r="S29" s="234"/>
      <c r="T29" s="231"/>
      <c r="U29" s="231"/>
      <c r="V29" s="231"/>
      <c r="W29" s="231"/>
      <c r="X29" s="231"/>
    </row>
    <row r="30" spans="14:24">
      <c r="N30" s="231"/>
      <c r="O30" s="231"/>
      <c r="P30" s="231"/>
      <c r="Q30" s="231"/>
      <c r="R30" s="231"/>
      <c r="S30" s="234"/>
      <c r="T30" s="231"/>
      <c r="U30" s="231"/>
      <c r="V30" s="231"/>
      <c r="W30" s="231"/>
      <c r="X30" s="231"/>
    </row>
    <row r="31" spans="14:24">
      <c r="N31" s="235" t="s">
        <v>532</v>
      </c>
      <c r="O31" s="236" t="s">
        <v>544</v>
      </c>
      <c r="P31" s="231"/>
      <c r="Q31" s="231"/>
      <c r="R31" s="231"/>
      <c r="S31" s="234"/>
      <c r="T31" s="231"/>
      <c r="U31" s="231"/>
      <c r="V31" s="231"/>
      <c r="W31" s="231"/>
      <c r="X31" s="231"/>
    </row>
    <row r="32" spans="14:24">
      <c r="N32" s="231"/>
      <c r="O32" s="231" t="s">
        <v>545</v>
      </c>
      <c r="P32" s="231"/>
      <c r="Q32" s="231"/>
      <c r="R32" s="231"/>
      <c r="S32" s="234"/>
      <c r="T32" s="231"/>
      <c r="U32" s="231"/>
      <c r="V32" s="236"/>
      <c r="W32" s="236"/>
      <c r="X32" s="231"/>
    </row>
    <row r="33" spans="14:24">
      <c r="N33" s="231"/>
      <c r="O33" s="231" t="s">
        <v>546</v>
      </c>
      <c r="P33" s="231"/>
      <c r="Q33" s="231"/>
      <c r="R33" s="231"/>
      <c r="S33" s="234"/>
      <c r="T33" s="231"/>
      <c r="U33" s="231"/>
      <c r="V33" s="231"/>
      <c r="W33" s="231"/>
      <c r="X33" s="231"/>
    </row>
    <row r="34" spans="14:24">
      <c r="N34" s="231"/>
      <c r="O34" s="231" t="s">
        <v>547</v>
      </c>
      <c r="P34" s="231"/>
      <c r="Q34" s="231"/>
      <c r="R34" s="231"/>
      <c r="S34" s="234"/>
      <c r="T34" s="231"/>
      <c r="U34" s="231"/>
      <c r="V34" s="231"/>
      <c r="W34" s="231"/>
      <c r="X34" s="231"/>
    </row>
    <row r="35" spans="14:24">
      <c r="N35" s="231"/>
      <c r="O35" s="231" t="s">
        <v>775</v>
      </c>
      <c r="P35" s="231"/>
      <c r="Q35" s="231"/>
      <c r="R35" s="231"/>
      <c r="S35" s="234"/>
      <c r="T35" s="231"/>
      <c r="U35" s="231"/>
      <c r="V35" s="231"/>
      <c r="W35" s="231"/>
      <c r="X35" s="231"/>
    </row>
    <row r="36" spans="14:24">
      <c r="N36" s="231"/>
      <c r="O36" s="231" t="s">
        <v>557</v>
      </c>
      <c r="P36" s="231"/>
      <c r="Q36" s="231"/>
      <c r="R36" s="231"/>
      <c r="S36" s="234"/>
      <c r="T36" s="231"/>
      <c r="U36" s="231"/>
      <c r="V36" s="231"/>
      <c r="W36" s="231"/>
      <c r="X36" s="231"/>
    </row>
    <row r="37" spans="14:24">
      <c r="N37" s="231"/>
      <c r="O37" s="231" t="s">
        <v>551</v>
      </c>
      <c r="P37" s="231"/>
      <c r="Q37" s="231"/>
      <c r="R37" s="231"/>
      <c r="S37" s="234"/>
      <c r="T37" s="231"/>
      <c r="U37" s="231"/>
      <c r="V37" s="231"/>
      <c r="W37" s="231"/>
      <c r="X37" s="231"/>
    </row>
    <row r="38" spans="14:24">
      <c r="N38" s="231"/>
      <c r="O38" s="231" t="s">
        <v>552</v>
      </c>
      <c r="P38" s="231"/>
      <c r="Q38" s="231"/>
      <c r="R38" s="231"/>
      <c r="S38" s="234"/>
      <c r="T38" s="231"/>
      <c r="U38" s="231"/>
      <c r="V38" s="231"/>
      <c r="W38" s="231"/>
      <c r="X38" s="231"/>
    </row>
    <row r="39" spans="14:24">
      <c r="N39" s="235"/>
      <c r="O39" s="231" t="s">
        <v>553</v>
      </c>
      <c r="P39" s="231"/>
      <c r="Q39" s="231"/>
      <c r="R39" s="231"/>
      <c r="S39" s="234"/>
      <c r="T39" s="231"/>
      <c r="U39" s="231"/>
      <c r="V39" s="231"/>
      <c r="W39" s="231"/>
      <c r="X39" s="231"/>
    </row>
    <row r="40" spans="14:24">
      <c r="N40" s="235"/>
      <c r="O40" s="231" t="s">
        <v>554</v>
      </c>
      <c r="P40" s="231"/>
      <c r="Q40" s="231"/>
      <c r="R40" s="231"/>
      <c r="S40" s="234"/>
      <c r="T40" s="231"/>
      <c r="U40" s="231"/>
      <c r="V40" s="231"/>
      <c r="W40" s="231"/>
      <c r="X40" s="231"/>
    </row>
    <row r="41" spans="14:24">
      <c r="N41" s="231"/>
      <c r="O41" s="231" t="s">
        <v>776</v>
      </c>
      <c r="P41" s="231"/>
      <c r="Q41" s="231"/>
      <c r="R41" s="231"/>
      <c r="S41" s="234"/>
      <c r="T41" s="231"/>
      <c r="U41" s="231"/>
      <c r="V41" s="231"/>
      <c r="W41" s="231"/>
      <c r="X41" s="231"/>
    </row>
    <row r="42" spans="14:24">
      <c r="O42" s="231" t="s">
        <v>560</v>
      </c>
      <c r="P42" s="231"/>
      <c r="Q42" s="231"/>
      <c r="R42" s="231"/>
      <c r="S42" s="234"/>
      <c r="T42" s="231"/>
      <c r="U42" s="231"/>
      <c r="V42" s="231"/>
      <c r="W42" s="231"/>
      <c r="X42" s="231"/>
    </row>
    <row r="43" spans="14:24">
      <c r="O43" s="231" t="s">
        <v>777</v>
      </c>
      <c r="P43" s="231"/>
      <c r="Q43" s="231"/>
      <c r="R43" s="231"/>
      <c r="S43" s="234"/>
      <c r="T43" s="231"/>
      <c r="U43" s="231"/>
      <c r="V43" s="231"/>
      <c r="W43" s="231"/>
      <c r="X43" s="231"/>
    </row>
    <row r="44" spans="14:24">
      <c r="O44" s="231" t="s">
        <v>561</v>
      </c>
      <c r="P44" s="231"/>
      <c r="Q44" s="231"/>
      <c r="R44" s="231"/>
      <c r="S44" s="234"/>
      <c r="T44" s="231"/>
      <c r="U44" s="231"/>
      <c r="V44" s="231"/>
      <c r="W44" s="231"/>
      <c r="X44" s="231"/>
    </row>
    <row r="45" spans="14:24">
      <c r="O45" s="231" t="s">
        <v>778</v>
      </c>
      <c r="P45" s="231"/>
      <c r="Q45" s="231"/>
      <c r="R45" s="231"/>
      <c r="S45" s="234"/>
      <c r="T45" s="231"/>
      <c r="U45" s="231"/>
      <c r="V45" s="231"/>
      <c r="W45" s="231"/>
      <c r="X45" s="231"/>
    </row>
    <row r="46" spans="14:24">
      <c r="N46" s="231"/>
      <c r="P46" s="231"/>
      <c r="Q46" s="231"/>
      <c r="R46" s="231"/>
      <c r="S46" s="234"/>
      <c r="T46" s="231"/>
      <c r="U46" s="231"/>
      <c r="V46" s="231"/>
      <c r="W46" s="231"/>
      <c r="X46" s="231"/>
    </row>
    <row r="47" spans="14:24">
      <c r="N47" s="231"/>
      <c r="O47" s="431" t="s">
        <v>779</v>
      </c>
      <c r="P47" s="231"/>
      <c r="Q47" s="231"/>
      <c r="R47" s="231"/>
      <c r="S47" s="234"/>
      <c r="T47" s="231"/>
      <c r="U47" s="231"/>
      <c r="V47" s="231"/>
      <c r="W47" s="231"/>
      <c r="X47" s="231"/>
    </row>
    <row r="48" spans="14:24">
      <c r="N48" s="231"/>
      <c r="O48" s="236" t="s">
        <v>780</v>
      </c>
      <c r="P48" s="231"/>
      <c r="Q48" s="231"/>
      <c r="R48" s="231"/>
      <c r="S48" s="234"/>
      <c r="T48" s="231"/>
      <c r="U48" s="231"/>
      <c r="V48" s="231"/>
      <c r="W48" s="231"/>
      <c r="X48" s="231"/>
    </row>
    <row r="49" spans="2:24">
      <c r="N49" s="231"/>
      <c r="O49" s="236" t="s">
        <v>781</v>
      </c>
      <c r="P49" s="231"/>
      <c r="Q49" s="231"/>
      <c r="R49" s="231"/>
      <c r="S49" s="234"/>
      <c r="T49" s="231"/>
      <c r="U49" s="231"/>
      <c r="V49" s="231"/>
      <c r="W49" s="231"/>
      <c r="X49" s="231"/>
    </row>
    <row r="50" spans="2:24">
      <c r="N50" s="231"/>
      <c r="O50" s="236" t="s">
        <v>782</v>
      </c>
      <c r="P50" s="231"/>
      <c r="Q50" s="231"/>
      <c r="R50" s="231"/>
      <c r="S50" s="234"/>
      <c r="T50" s="231"/>
      <c r="U50" s="231"/>
      <c r="V50" s="231"/>
      <c r="W50" s="231"/>
      <c r="X50" s="231"/>
    </row>
    <row r="51" spans="2:24">
      <c r="N51" s="231"/>
      <c r="P51" s="231"/>
      <c r="Q51" s="231"/>
      <c r="R51" s="231"/>
      <c r="S51" s="234"/>
      <c r="T51" s="231"/>
      <c r="U51" s="231"/>
      <c r="V51" s="231"/>
      <c r="W51" s="231"/>
      <c r="X51" s="231"/>
    </row>
    <row r="52" spans="2:24">
      <c r="N52" s="231"/>
      <c r="O52" s="231"/>
      <c r="P52" s="231"/>
      <c r="Q52" s="231"/>
      <c r="R52" s="231"/>
      <c r="S52" s="234"/>
      <c r="T52" s="231"/>
      <c r="U52" s="231"/>
      <c r="V52" s="231"/>
      <c r="W52" s="231"/>
      <c r="X52" s="231"/>
    </row>
    <row r="53" spans="2:24">
      <c r="N53" s="231"/>
      <c r="P53" s="231"/>
      <c r="Q53" s="231"/>
      <c r="R53" s="231"/>
      <c r="S53" s="234"/>
      <c r="T53" s="231"/>
      <c r="U53" s="231"/>
      <c r="V53" s="231"/>
      <c r="W53" s="231"/>
      <c r="X53" s="231"/>
    </row>
    <row r="54" spans="2:24">
      <c r="N54" s="231"/>
      <c r="O54" s="231"/>
      <c r="P54" s="231"/>
      <c r="Q54" s="231"/>
      <c r="R54" s="231"/>
      <c r="S54" s="234"/>
      <c r="T54" s="231"/>
      <c r="U54" s="231"/>
      <c r="V54" s="231"/>
      <c r="W54" s="231"/>
      <c r="X54" s="231"/>
    </row>
    <row r="55" spans="2:24">
      <c r="N55" s="231"/>
      <c r="O55" s="231"/>
      <c r="P55" s="231"/>
      <c r="Q55" s="231"/>
      <c r="R55" s="231"/>
      <c r="S55" s="234"/>
      <c r="T55" s="231"/>
      <c r="U55" s="231"/>
      <c r="V55" s="231"/>
      <c r="W55" s="231"/>
      <c r="X55" s="231"/>
    </row>
    <row r="56" spans="2:24">
      <c r="N56" s="231"/>
      <c r="O56" s="231"/>
      <c r="P56" s="231"/>
      <c r="Q56" s="231"/>
      <c r="R56" s="231"/>
      <c r="S56" s="234"/>
      <c r="T56" s="231"/>
      <c r="U56" s="231"/>
      <c r="V56" s="231"/>
      <c r="W56" s="231"/>
      <c r="X56" s="231"/>
    </row>
    <row r="57" spans="2:24">
      <c r="B57" s="233" t="s">
        <v>783</v>
      </c>
      <c r="N57" s="231"/>
      <c r="P57" s="231"/>
      <c r="Q57" s="231"/>
      <c r="R57" s="231"/>
      <c r="S57" s="234"/>
      <c r="T57" s="231"/>
      <c r="U57" s="231"/>
      <c r="V57" s="231"/>
      <c r="W57" s="231"/>
      <c r="X57" s="231"/>
    </row>
    <row r="58" spans="2:24">
      <c r="B58" s="233" t="s">
        <v>784</v>
      </c>
      <c r="N58" s="231"/>
      <c r="V58" s="231"/>
      <c r="W58" s="231"/>
      <c r="X58" s="231"/>
    </row>
    <row r="59" spans="2:24">
      <c r="B59" s="233" t="s">
        <v>785</v>
      </c>
      <c r="N59" s="231"/>
      <c r="V59" s="231"/>
      <c r="W59" s="231"/>
      <c r="X59" s="231"/>
    </row>
    <row r="60" spans="2:24">
      <c r="V60" s="231"/>
      <c r="W60" s="231"/>
      <c r="X60" s="231"/>
    </row>
    <row r="61" spans="2:24">
      <c r="V61" s="231"/>
      <c r="W61" s="231"/>
      <c r="X61" s="231"/>
    </row>
    <row r="62" spans="2:24">
      <c r="V62" s="231"/>
      <c r="W62" s="231"/>
      <c r="X62" s="231"/>
    </row>
    <row r="63" spans="2:24">
      <c r="O63" s="231"/>
      <c r="Q63" s="662"/>
      <c r="V63" s="231"/>
      <c r="W63" s="231"/>
      <c r="X63" s="231"/>
    </row>
    <row r="64" spans="2:24">
      <c r="O64" s="231"/>
      <c r="V64" s="231"/>
      <c r="W64" s="231"/>
      <c r="X64" s="231"/>
    </row>
    <row r="65" spans="15:24">
      <c r="O65" s="231"/>
      <c r="V65" s="231"/>
      <c r="W65" s="231"/>
      <c r="X65" s="231"/>
    </row>
    <row r="66" spans="15:24">
      <c r="O66" s="231"/>
      <c r="V66" s="231"/>
      <c r="W66" s="231"/>
      <c r="X66" s="231"/>
    </row>
    <row r="67" spans="15:24">
      <c r="O67" s="231"/>
      <c r="V67" s="231"/>
      <c r="W67" s="231"/>
      <c r="X67" s="231"/>
    </row>
    <row r="68" spans="15:24">
      <c r="O68" s="231"/>
      <c r="V68" s="231"/>
      <c r="W68" s="231"/>
      <c r="X68" s="231"/>
    </row>
    <row r="69" spans="15:24">
      <c r="V69" s="231"/>
      <c r="W69" s="231"/>
      <c r="X69" s="231"/>
    </row>
    <row r="70" spans="15:24">
      <c r="V70" s="231"/>
      <c r="W70" s="231"/>
      <c r="X70" s="231"/>
    </row>
    <row r="71" spans="15:24">
      <c r="V71" s="231"/>
      <c r="W71" s="231"/>
      <c r="X71" s="231"/>
    </row>
    <row r="72" spans="15:24">
      <c r="V72" s="231"/>
      <c r="W72" s="231"/>
      <c r="X72" s="231"/>
    </row>
    <row r="73" spans="15:24">
      <c r="X73" s="231"/>
    </row>
    <row r="74" spans="15:24">
      <c r="X74" s="231"/>
    </row>
    <row r="75" spans="15:24">
      <c r="X75" s="231"/>
    </row>
    <row r="76" spans="15:24">
      <c r="X76" s="231"/>
    </row>
    <row r="77" spans="15:24">
      <c r="X77" s="231"/>
    </row>
  </sheetData>
  <sheetProtection algorithmName="SHA-512" hashValue="fzxPnd9rcv5U36vorf171ITFpbOABubV8MkRVbg5bIct5ZtQD5gx4PhrDqATKf5h2xBOxfmuf6ql6LyeOq3fMg==" saltValue="qO2dsIiyjX1ZRhld4vrYyA==" spinCount="100000" sheet="1" objects="1" scenarios="1"/>
  <mergeCells count="5">
    <mergeCell ref="A3:X3"/>
    <mergeCell ref="A5:X5"/>
    <mergeCell ref="A7:X7"/>
    <mergeCell ref="A11:X11"/>
    <mergeCell ref="U12:X12"/>
  </mergeCells>
  <printOptions horizontalCentered="1"/>
  <pageMargins left="0.15748031496062992" right="0.15748031496062992" top="0.35433070866141736" bottom="0.15748031496062992" header="0.15748031496062992" footer="0.15748031496062992"/>
  <pageSetup paperSize="8" scale="91" firstPageNumber="8"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2">
    <tabColor theme="9" tint="-0.249977111117893"/>
    <pageSetUpPr fitToPage="1"/>
  </sheetPr>
  <dimension ref="A1:AQ95"/>
  <sheetViews>
    <sheetView topLeftCell="A27" zoomScale="80" zoomScaleNormal="80" workbookViewId="0">
      <selection activeCell="AS67" sqref="AS67"/>
    </sheetView>
  </sheetViews>
  <sheetFormatPr defaultColWidth="9.140625" defaultRowHeight="12.75" outlineLevelCol="1"/>
  <cols>
    <col min="1" max="1" width="3" style="231" customWidth="1"/>
    <col min="2" max="2" width="27.140625" style="231" customWidth="1"/>
    <col min="3" max="3" width="8.42578125" style="231" customWidth="1"/>
    <col min="4" max="4" width="10.85546875" style="231" customWidth="1"/>
    <col min="5" max="5" width="10.28515625" style="361" customWidth="1"/>
    <col min="6" max="6" width="18" style="327" hidden="1" customWidth="1" outlineLevel="1"/>
    <col min="7" max="7" width="4.42578125" style="328" hidden="1" customWidth="1" outlineLevel="1"/>
    <col min="8" max="8" width="9.42578125" style="432" hidden="1" customWidth="1" collapsed="1"/>
    <col min="9" max="9" width="5" style="231" hidden="1" customWidth="1"/>
    <col min="10" max="10" width="11.140625" style="231" hidden="1" customWidth="1"/>
    <col min="11" max="11" width="5" style="231" hidden="1" customWidth="1"/>
    <col min="12" max="12" width="11" style="231" customWidth="1"/>
    <col min="13" max="13" width="6.28515625" style="231" customWidth="1"/>
    <col min="14" max="14" width="2.7109375" style="231" customWidth="1"/>
    <col min="15" max="15" width="3.42578125" style="231" customWidth="1"/>
    <col min="16" max="20" width="9.140625" style="231"/>
    <col min="21" max="21" width="11.5703125" style="231" hidden="1" customWidth="1" outlineLevel="1"/>
    <col min="22" max="22" width="4.42578125" style="231" hidden="1" customWidth="1" outlineLevel="1"/>
    <col min="23" max="23" width="0" style="231" hidden="1" customWidth="1" collapsed="1"/>
    <col min="24" max="24" width="6.42578125" style="231" hidden="1" customWidth="1"/>
    <col min="25" max="25" width="11.42578125" style="231" hidden="1" customWidth="1"/>
    <col min="26" max="26" width="6.42578125" style="231" hidden="1" customWidth="1"/>
    <col min="27" max="27" width="11" style="231" customWidth="1"/>
    <col min="28" max="29" width="7.28515625" style="231" customWidth="1"/>
    <col min="30" max="30" width="3.42578125" style="231" customWidth="1"/>
    <col min="31" max="31" width="5.42578125" style="231" customWidth="1"/>
    <col min="32" max="32" width="9" style="231" customWidth="1"/>
    <col min="33" max="33" width="10" style="231" bestFit="1" customWidth="1"/>
    <col min="34" max="35" width="9.140625" style="231"/>
    <col min="36" max="36" width="11.5703125" style="231" hidden="1" customWidth="1" outlineLevel="1"/>
    <col min="37" max="37" width="4.42578125" style="231" hidden="1" customWidth="1" outlineLevel="1"/>
    <col min="38" max="38" width="0" style="231" hidden="1" customWidth="1" collapsed="1"/>
    <col min="39" max="39" width="6.28515625" style="231" hidden="1" customWidth="1"/>
    <col min="40" max="41" width="0" style="231" hidden="1" customWidth="1"/>
    <col min="42" max="16384" width="9.140625" style="231"/>
  </cols>
  <sheetData>
    <row r="1" spans="1:39" s="217" customFormat="1" ht="6.75" customHeight="1" thickBot="1">
      <c r="B1" s="218"/>
    </row>
    <row r="2" spans="1:39"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G2" s="219"/>
      <c r="AH2" s="219"/>
      <c r="AI2" s="219"/>
      <c r="AL2" s="219"/>
      <c r="AM2" s="219"/>
    </row>
    <row r="3" spans="1:39"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c r="X3" s="1820"/>
      <c r="Y3" s="1820"/>
      <c r="Z3" s="1820"/>
      <c r="AA3" s="1820"/>
      <c r="AB3" s="1820"/>
      <c r="AC3" s="1820"/>
      <c r="AD3" s="1820"/>
      <c r="AE3" s="1820"/>
      <c r="AF3" s="1820"/>
      <c r="AG3" s="1820"/>
      <c r="AH3" s="1820"/>
      <c r="AI3" s="1820"/>
    </row>
    <row r="4" spans="1:39" s="217" customFormat="1" ht="4.5" customHeight="1">
      <c r="A4" s="221"/>
      <c r="B4" s="222"/>
      <c r="C4" s="222"/>
      <c r="D4" s="222"/>
      <c r="N4" s="222"/>
      <c r="O4" s="222"/>
      <c r="P4" s="222"/>
      <c r="Q4" s="222"/>
      <c r="S4" s="222"/>
      <c r="T4" s="222"/>
      <c r="U4" s="223"/>
      <c r="V4" s="224"/>
      <c r="W4" s="225"/>
    </row>
    <row r="5" spans="1:39" s="217" customFormat="1" ht="22.5">
      <c r="A5" s="1821" t="str">
        <f>'Master Runways'!A5:W5</f>
        <v>4.  RUNWAYS</v>
      </c>
      <c r="B5" s="1821"/>
      <c r="C5" s="1821"/>
      <c r="D5" s="1821"/>
      <c r="E5" s="1821"/>
      <c r="F5" s="1821"/>
      <c r="G5" s="1821"/>
      <c r="H5" s="1821"/>
      <c r="I5" s="1821"/>
      <c r="J5" s="1821"/>
      <c r="K5" s="1821"/>
      <c r="L5" s="1821"/>
      <c r="M5" s="1821"/>
      <c r="N5" s="1821"/>
      <c r="O5" s="1821"/>
      <c r="P5" s="1821"/>
      <c r="Q5" s="1821"/>
      <c r="R5" s="1821"/>
      <c r="S5" s="1821"/>
      <c r="T5" s="1821"/>
      <c r="U5" s="1821"/>
      <c r="V5" s="1821"/>
      <c r="W5" s="1821"/>
      <c r="X5" s="1821"/>
      <c r="Y5" s="1821"/>
      <c r="Z5" s="1821"/>
      <c r="AA5" s="1821"/>
      <c r="AB5" s="1821"/>
      <c r="AC5" s="1821"/>
      <c r="AD5" s="1821"/>
      <c r="AE5" s="1821"/>
      <c r="AF5" s="1821"/>
      <c r="AG5" s="1821"/>
      <c r="AH5" s="1821"/>
      <c r="AI5" s="1821"/>
    </row>
    <row r="6" spans="1:39" s="217" customFormat="1" ht="7.5" customHeight="1">
      <c r="A6" s="221"/>
      <c r="B6" s="222"/>
      <c r="C6" s="222"/>
      <c r="D6" s="222"/>
      <c r="N6" s="222"/>
      <c r="O6" s="222"/>
      <c r="P6" s="222"/>
      <c r="Q6" s="222"/>
      <c r="S6" s="222"/>
      <c r="T6" s="222"/>
      <c r="U6" s="223"/>
      <c r="V6" s="224"/>
      <c r="W6" s="225"/>
    </row>
    <row r="7" spans="1:39" s="217" customFormat="1" hidden="1">
      <c r="A7" s="1822">
        <f>'Master Apron stands'!A7</f>
        <v>43040</v>
      </c>
      <c r="B7" s="1822"/>
      <c r="C7" s="1822"/>
      <c r="D7" s="1822"/>
      <c r="E7" s="1822"/>
      <c r="F7" s="1822"/>
      <c r="G7" s="1822"/>
      <c r="H7" s="1822"/>
      <c r="I7" s="1822"/>
      <c r="J7" s="1822"/>
      <c r="K7" s="1822"/>
      <c r="L7" s="1822"/>
      <c r="M7" s="1822"/>
      <c r="N7" s="1822"/>
      <c r="O7" s="1822"/>
      <c r="P7" s="1822"/>
      <c r="Q7" s="1822"/>
      <c r="R7" s="1822"/>
      <c r="S7" s="1822"/>
      <c r="T7" s="1822"/>
      <c r="U7" s="1822"/>
      <c r="V7" s="1822"/>
      <c r="W7" s="1822"/>
      <c r="X7" s="1822"/>
      <c r="Y7" s="1822"/>
      <c r="Z7" s="1822"/>
      <c r="AA7" s="1822"/>
      <c r="AB7" s="1822"/>
      <c r="AC7" s="1822"/>
      <c r="AD7" s="1822"/>
      <c r="AE7" s="1822"/>
      <c r="AF7" s="1822"/>
      <c r="AG7" s="1822"/>
      <c r="AH7" s="1822"/>
      <c r="AI7" s="1822"/>
    </row>
    <row r="8" spans="1:39"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c r="X8" s="226"/>
      <c r="Y8" s="226"/>
      <c r="Z8" s="226"/>
      <c r="AA8" s="226"/>
      <c r="AB8" s="226"/>
      <c r="AC8" s="226"/>
      <c r="AD8" s="226"/>
      <c r="AE8" s="226"/>
      <c r="AH8" s="226"/>
      <c r="AI8" s="226"/>
      <c r="AL8" s="226"/>
      <c r="AM8" s="226"/>
    </row>
    <row r="9" spans="1:39" s="217" customFormat="1" ht="8.25" customHeight="1" thickBot="1">
      <c r="A9" s="228"/>
      <c r="B9" s="229"/>
      <c r="C9" s="229"/>
      <c r="D9" s="229"/>
      <c r="E9" s="229"/>
      <c r="F9" s="229"/>
      <c r="G9" s="229"/>
      <c r="H9" s="229"/>
      <c r="I9" s="229"/>
      <c r="J9" s="229"/>
      <c r="K9" s="229"/>
      <c r="L9" s="229"/>
      <c r="M9" s="229"/>
      <c r="N9" s="229"/>
      <c r="O9" s="229"/>
      <c r="P9" s="230"/>
      <c r="Q9" s="229"/>
      <c r="R9" s="229"/>
      <c r="S9" s="229"/>
      <c r="T9" s="229"/>
      <c r="U9" s="229"/>
      <c r="V9" s="229"/>
      <c r="W9" s="229"/>
      <c r="X9" s="229"/>
      <c r="Y9" s="229"/>
      <c r="Z9" s="229"/>
      <c r="AA9" s="229"/>
      <c r="AB9" s="229"/>
      <c r="AC9" s="229"/>
      <c r="AD9" s="229"/>
      <c r="AE9" s="229"/>
      <c r="AF9" s="219"/>
      <c r="AG9" s="219"/>
      <c r="AH9" s="229"/>
      <c r="AI9" s="229"/>
      <c r="AL9" s="229"/>
      <c r="AM9" s="229"/>
    </row>
    <row r="10" spans="1:39" s="217" customFormat="1" ht="18.600000000000001" customHeight="1" thickBot="1">
      <c r="A10" s="228"/>
      <c r="B10" s="1834" t="s">
        <v>185</v>
      </c>
      <c r="C10" s="1835"/>
      <c r="D10" s="1835"/>
      <c r="E10" s="552"/>
      <c r="F10" s="555"/>
      <c r="G10"/>
      <c r="H10"/>
      <c r="I10"/>
      <c r="J10"/>
      <c r="K10"/>
      <c r="L10"/>
      <c r="M10"/>
      <c r="N10" s="671"/>
      <c r="O10" s="229"/>
      <c r="P10" s="230"/>
      <c r="Q10" s="229"/>
      <c r="R10" s="229"/>
      <c r="S10" s="229"/>
      <c r="T10" s="229"/>
      <c r="U10" s="229"/>
      <c r="V10" s="229"/>
      <c r="W10" s="229"/>
      <c r="X10" s="229"/>
      <c r="Y10" s="229"/>
      <c r="Z10" s="229"/>
      <c r="AA10" s="229"/>
      <c r="AB10" s="229"/>
      <c r="AC10" s="229"/>
      <c r="AD10" s="229"/>
      <c r="AE10" s="229"/>
      <c r="AH10" s="229"/>
      <c r="AI10" s="229"/>
      <c r="AL10" s="229"/>
      <c r="AM10" s="229"/>
    </row>
    <row r="11" spans="1:39" s="217" customFormat="1" ht="21.6" customHeight="1">
      <c r="A11" s="228"/>
      <c r="B11" s="549" t="s">
        <v>186</v>
      </c>
      <c r="C11" s="547">
        <v>43040</v>
      </c>
      <c r="D11" s="553">
        <v>217.6</v>
      </c>
      <c r="E11" s="1988" t="str">
        <f>'New Bldg Rates'!M4</f>
        <v>Reference 2021 Q4 Table 2 - BER Building Cost Index</v>
      </c>
      <c r="F11" s="1989"/>
      <c r="G11" s="1989"/>
      <c r="H11" s="1989"/>
      <c r="I11" s="1989"/>
      <c r="J11" s="1989"/>
      <c r="K11" s="1989"/>
      <c r="L11" s="1989"/>
      <c r="M11" s="1989"/>
      <c r="N11" s="1989"/>
      <c r="O11" s="1989"/>
      <c r="P11" s="1989"/>
      <c r="Q11" s="1989"/>
      <c r="R11" s="1990"/>
      <c r="S11" s="229"/>
      <c r="T11" s="229"/>
      <c r="U11" s="229"/>
      <c r="V11" s="229"/>
      <c r="W11" s="229"/>
      <c r="X11" s="229"/>
      <c r="Y11" s="229"/>
      <c r="Z11" s="229"/>
      <c r="AA11" s="229"/>
      <c r="AB11" s="229"/>
      <c r="AC11" s="229"/>
      <c r="AD11" s="229"/>
      <c r="AE11" s="229"/>
      <c r="AH11" s="229"/>
      <c r="AI11" s="229"/>
      <c r="AL11" s="229"/>
      <c r="AM11" s="229"/>
    </row>
    <row r="12" spans="1:39" s="217" customFormat="1" ht="15.6" customHeight="1" thickBot="1">
      <c r="A12" s="228"/>
      <c r="B12" s="550" t="s">
        <v>187</v>
      </c>
      <c r="C12" s="548">
        <f>'Code C,E &amp; F stands'!C14</f>
        <v>44621</v>
      </c>
      <c r="D12" s="554">
        <f>'New Bldg Rates'!L5</f>
        <v>267.26587999999998</v>
      </c>
      <c r="E12" s="1991"/>
      <c r="F12" s="1992"/>
      <c r="G12" s="1992"/>
      <c r="H12" s="1992"/>
      <c r="I12" s="1992"/>
      <c r="J12" s="1992"/>
      <c r="K12" s="1992"/>
      <c r="L12" s="1992"/>
      <c r="M12" s="1992"/>
      <c r="N12" s="1992"/>
      <c r="O12" s="1992"/>
      <c r="P12" s="1992"/>
      <c r="Q12" s="1992"/>
      <c r="R12" s="1993"/>
      <c r="S12" s="229"/>
      <c r="T12" s="229"/>
      <c r="U12" s="229"/>
      <c r="V12" s="229"/>
      <c r="W12" s="229"/>
      <c r="X12" s="229"/>
      <c r="Y12" s="229"/>
      <c r="Z12" s="229"/>
      <c r="AA12" s="229"/>
      <c r="AB12" s="229"/>
      <c r="AC12" s="229"/>
      <c r="AD12" s="229"/>
      <c r="AE12" s="229"/>
      <c r="AH12" s="229"/>
      <c r="AI12" s="229"/>
      <c r="AL12" s="229"/>
      <c r="AM12" s="229"/>
    </row>
    <row r="13" spans="1:39" s="217" customFormat="1" ht="15">
      <c r="A13" s="228"/>
      <c r="B13" s="229"/>
      <c r="C13" s="229"/>
      <c r="D13" s="229"/>
      <c r="E13" s="229"/>
      <c r="F13" s="229"/>
      <c r="G13" s="229"/>
      <c r="H13" s="229"/>
      <c r="I13" s="229"/>
      <c r="J13" s="229"/>
      <c r="K13" s="229"/>
      <c r="L13" s="229"/>
      <c r="M13" s="229"/>
      <c r="N13" s="229"/>
      <c r="O13" s="229"/>
      <c r="P13" s="230"/>
      <c r="Q13" s="229"/>
      <c r="R13" s="229"/>
      <c r="S13" s="229"/>
      <c r="T13" s="229"/>
      <c r="U13" s="229"/>
      <c r="V13" s="229"/>
      <c r="W13" s="229"/>
      <c r="X13" s="229"/>
      <c r="Y13" s="229"/>
      <c r="Z13" s="229"/>
      <c r="AA13" s="229"/>
      <c r="AB13" s="229"/>
      <c r="AC13" s="229"/>
      <c r="AD13" s="229"/>
      <c r="AE13" s="229"/>
    </row>
    <row r="14" spans="1:39" s="217" customFormat="1" ht="18">
      <c r="A14" s="1823" t="s">
        <v>786</v>
      </c>
      <c r="B14" s="1823"/>
      <c r="C14" s="1823"/>
      <c r="D14" s="1823"/>
      <c r="E14" s="1823"/>
      <c r="F14" s="1823"/>
      <c r="G14" s="1823"/>
      <c r="H14" s="1823"/>
      <c r="I14" s="1823"/>
      <c r="J14" s="1823"/>
      <c r="K14" s="1823"/>
      <c r="L14" s="1823"/>
      <c r="M14" s="1823"/>
      <c r="N14" s="1823"/>
      <c r="O14" s="1823"/>
      <c r="P14" s="1823"/>
      <c r="Q14" s="1823"/>
      <c r="R14" s="1823"/>
      <c r="S14" s="1823"/>
      <c r="T14" s="1823"/>
      <c r="U14" s="1823"/>
      <c r="V14" s="1823"/>
      <c r="W14" s="1823"/>
      <c r="X14" s="1823"/>
      <c r="Y14" s="1823"/>
      <c r="Z14" s="1823"/>
      <c r="AA14" s="1823"/>
      <c r="AB14" s="1823"/>
      <c r="AC14" s="1823"/>
      <c r="AD14" s="1823"/>
      <c r="AE14" s="1823"/>
      <c r="AF14" s="1823"/>
      <c r="AG14" s="1823"/>
      <c r="AH14" s="1823"/>
      <c r="AI14" s="1823"/>
      <c r="AJ14" s="1823"/>
      <c r="AK14" s="1823"/>
      <c r="AL14" s="1823"/>
      <c r="AM14" s="1823"/>
    </row>
    <row r="15" spans="1:39" ht="18">
      <c r="AD15" s="671"/>
      <c r="AE15" s="671"/>
      <c r="AF15" s="671"/>
      <c r="AG15" s="671"/>
      <c r="AH15" s="671"/>
      <c r="AI15" s="671"/>
      <c r="AJ15" s="217"/>
      <c r="AK15" s="217"/>
      <c r="AL15" s="217"/>
      <c r="AM15" s="217"/>
    </row>
    <row r="17" spans="1:43" ht="14.45" customHeight="1">
      <c r="A17" s="247"/>
      <c r="B17" s="248"/>
      <c r="C17" s="248"/>
      <c r="D17" s="248"/>
      <c r="E17" s="249"/>
      <c r="F17" s="250" t="s">
        <v>787</v>
      </c>
      <c r="G17" s="251"/>
      <c r="H17" s="1842" t="str">
        <f>'Code C,E &amp; F stands'!$H$16</f>
        <v>Estimated Rates</v>
      </c>
      <c r="I17" s="1843"/>
      <c r="J17" s="1843"/>
      <c r="K17" s="1843"/>
      <c r="L17" s="1843"/>
      <c r="M17" s="1844"/>
      <c r="O17" s="247"/>
      <c r="P17" s="248"/>
      <c r="Q17" s="248"/>
      <c r="R17" s="248"/>
      <c r="S17" s="380"/>
      <c r="T17" s="249"/>
      <c r="U17" s="250" t="s">
        <v>787</v>
      </c>
      <c r="V17" s="251"/>
      <c r="W17" s="1842" t="str">
        <f>'Code C,E &amp; F stands'!$H$16</f>
        <v>Estimated Rates</v>
      </c>
      <c r="X17" s="1843"/>
      <c r="Y17" s="1843"/>
      <c r="Z17" s="1843"/>
      <c r="AA17" s="1843"/>
      <c r="AB17" s="1844"/>
      <c r="AD17" s="247"/>
      <c r="AE17" s="248"/>
      <c r="AF17" s="248"/>
      <c r="AG17" s="248"/>
      <c r="AH17" s="380"/>
      <c r="AI17" s="249"/>
      <c r="AJ17" s="250" t="s">
        <v>787</v>
      </c>
      <c r="AK17" s="251"/>
      <c r="AL17" s="1842" t="str">
        <f>'Code C,E &amp; F stands'!$H$16</f>
        <v>Estimated Rates</v>
      </c>
      <c r="AM17" s="1843"/>
      <c r="AN17" s="1843"/>
      <c r="AO17" s="1843"/>
      <c r="AP17" s="1843"/>
      <c r="AQ17" s="1844"/>
    </row>
    <row r="18" spans="1:43" ht="18.75" customHeight="1">
      <c r="A18" s="1985" t="s">
        <v>788</v>
      </c>
      <c r="B18" s="1986"/>
      <c r="C18" s="1986"/>
      <c r="D18" s="1986"/>
      <c r="E18" s="1987"/>
      <c r="F18" s="255"/>
      <c r="G18" s="256"/>
      <c r="H18" s="1845"/>
      <c r="I18" s="1846"/>
      <c r="J18" s="1846"/>
      <c r="K18" s="1846"/>
      <c r="L18" s="1846"/>
      <c r="M18" s="1847"/>
      <c r="O18" s="1985" t="s">
        <v>789</v>
      </c>
      <c r="P18" s="1986"/>
      <c r="Q18" s="1986"/>
      <c r="R18" s="1986"/>
      <c r="S18" s="1986"/>
      <c r="T18" s="1987"/>
      <c r="U18" s="255"/>
      <c r="V18" s="256"/>
      <c r="W18" s="1845"/>
      <c r="X18" s="1846"/>
      <c r="Y18" s="1846"/>
      <c r="Z18" s="1846"/>
      <c r="AA18" s="1846"/>
      <c r="AB18" s="1847"/>
      <c r="AD18" s="1985" t="s">
        <v>790</v>
      </c>
      <c r="AE18" s="1986"/>
      <c r="AF18" s="1986"/>
      <c r="AG18" s="1986"/>
      <c r="AH18" s="1986"/>
      <c r="AI18" s="1987"/>
      <c r="AJ18" s="255"/>
      <c r="AK18" s="256"/>
      <c r="AL18" s="1845"/>
      <c r="AM18" s="1846"/>
      <c r="AN18" s="1846"/>
      <c r="AO18" s="1846"/>
      <c r="AP18" s="1846"/>
      <c r="AQ18" s="1847"/>
    </row>
    <row r="19" spans="1:43">
      <c r="A19" s="1985"/>
      <c r="B19" s="1986"/>
      <c r="C19" s="1986"/>
      <c r="D19" s="1986"/>
      <c r="E19" s="1987"/>
      <c r="F19" s="255"/>
      <c r="G19" s="256"/>
      <c r="H19" s="1826" t="str">
        <f>'Code C,E &amp; F stands'!$H$18</f>
        <v>Base Date Jan '09</v>
      </c>
      <c r="I19" s="1827"/>
      <c r="J19" s="1828" t="s">
        <v>571</v>
      </c>
      <c r="K19" s="1827"/>
      <c r="L19" s="1829">
        <f>'Code F,C Taxilane &amp; Serv Roads'!Z18</f>
        <v>44621</v>
      </c>
      <c r="M19" s="1830"/>
      <c r="O19" s="1985"/>
      <c r="P19" s="1986"/>
      <c r="Q19" s="1986"/>
      <c r="R19" s="1986"/>
      <c r="S19" s="1986"/>
      <c r="T19" s="1987"/>
      <c r="U19" s="255"/>
      <c r="V19" s="256"/>
      <c r="W19" s="1826" t="str">
        <f>'Code C,E &amp; F stands'!$H$18</f>
        <v>Base Date Jan '09</v>
      </c>
      <c r="X19" s="1827"/>
      <c r="Y19" s="1828" t="s">
        <v>571</v>
      </c>
      <c r="Z19" s="1827"/>
      <c r="AA19" s="1829">
        <f>L19</f>
        <v>44621</v>
      </c>
      <c r="AB19" s="1830"/>
      <c r="AC19" s="594"/>
      <c r="AD19" s="1985"/>
      <c r="AE19" s="1986"/>
      <c r="AF19" s="1986"/>
      <c r="AG19" s="1986"/>
      <c r="AH19" s="1986"/>
      <c r="AI19" s="1987"/>
      <c r="AJ19" s="255"/>
      <c r="AK19" s="256"/>
      <c r="AL19" s="1826" t="str">
        <f>'Code C,E &amp; F stands'!$H$18</f>
        <v>Base Date Jan '09</v>
      </c>
      <c r="AM19" s="1827"/>
      <c r="AN19" s="1828" t="s">
        <v>571</v>
      </c>
      <c r="AO19" s="1827"/>
      <c r="AP19" s="1829">
        <f>L19</f>
        <v>44621</v>
      </c>
      <c r="AQ19" s="1830"/>
    </row>
    <row r="20" spans="1:43">
      <c r="A20" s="261"/>
      <c r="B20" s="262"/>
      <c r="C20" s="263"/>
      <c r="D20" s="263"/>
      <c r="E20" s="264"/>
      <c r="F20" s="265"/>
      <c r="G20" s="266"/>
      <c r="H20" s="433"/>
      <c r="I20" s="268"/>
      <c r="J20" s="1828"/>
      <c r="K20" s="1827"/>
      <c r="L20" s="1828"/>
      <c r="M20" s="1827"/>
      <c r="O20" s="261"/>
      <c r="P20" s="262"/>
      <c r="Q20" s="263"/>
      <c r="R20" s="263"/>
      <c r="S20" s="434"/>
      <c r="T20" s="264"/>
      <c r="U20" s="265"/>
      <c r="V20" s="266"/>
      <c r="W20" s="433"/>
      <c r="X20" s="268"/>
      <c r="Y20" s="1974"/>
      <c r="Z20" s="1975"/>
      <c r="AA20" s="1976"/>
      <c r="AB20" s="1975"/>
      <c r="AC20" s="594"/>
      <c r="AD20" s="261"/>
      <c r="AE20" s="262"/>
      <c r="AF20" s="263"/>
      <c r="AG20" s="263"/>
      <c r="AH20" s="434"/>
      <c r="AI20" s="264"/>
      <c r="AJ20" s="265"/>
      <c r="AK20" s="266"/>
      <c r="AL20" s="433"/>
      <c r="AM20" s="268"/>
      <c r="AN20" s="1974"/>
      <c r="AO20" s="1975"/>
      <c r="AP20" s="1976"/>
      <c r="AQ20" s="1975"/>
    </row>
    <row r="21" spans="1:43">
      <c r="A21" s="336"/>
      <c r="C21" s="231">
        <v>60</v>
      </c>
      <c r="D21" s="363" t="s">
        <v>791</v>
      </c>
      <c r="E21" s="337"/>
      <c r="F21" s="272"/>
      <c r="G21" s="273"/>
      <c r="H21" s="435"/>
      <c r="I21" s="275"/>
      <c r="J21" s="362"/>
      <c r="K21" s="371"/>
      <c r="L21" s="363"/>
      <c r="M21" s="371"/>
      <c r="O21" s="336"/>
      <c r="Q21" s="237"/>
      <c r="R21" s="231">
        <v>7.5</v>
      </c>
      <c r="S21" s="231" t="s">
        <v>792</v>
      </c>
      <c r="T21" s="337"/>
      <c r="U21" s="272"/>
      <c r="V21" s="273"/>
      <c r="W21" s="276"/>
      <c r="X21" s="275"/>
      <c r="Y21" s="362"/>
      <c r="Z21" s="371"/>
      <c r="AA21" s="363"/>
      <c r="AB21" s="371"/>
      <c r="AD21" s="336"/>
      <c r="AF21" s="237"/>
      <c r="AG21" s="231">
        <v>240</v>
      </c>
      <c r="AH21" s="231" t="s">
        <v>793</v>
      </c>
      <c r="AI21" s="337"/>
      <c r="AJ21" s="272"/>
      <c r="AK21" s="273"/>
      <c r="AL21" s="276"/>
      <c r="AM21" s="275"/>
      <c r="AN21" s="362"/>
      <c r="AO21" s="371"/>
      <c r="AP21" s="363"/>
      <c r="AQ21" s="371"/>
    </row>
    <row r="22" spans="1:43">
      <c r="A22" s="277" t="s">
        <v>794</v>
      </c>
      <c r="E22" s="339"/>
      <c r="F22" s="279"/>
      <c r="G22" s="280"/>
      <c r="H22" s="436"/>
      <c r="I22" s="275"/>
      <c r="J22" s="438"/>
      <c r="K22" s="275"/>
      <c r="M22" s="275"/>
      <c r="O22" s="277" t="s">
        <v>794</v>
      </c>
      <c r="S22" s="361"/>
      <c r="T22" s="339"/>
      <c r="U22" s="279"/>
      <c r="V22" s="280"/>
      <c r="W22" s="282"/>
      <c r="X22" s="275"/>
      <c r="Y22" s="438"/>
      <c r="Z22" s="275"/>
      <c r="AB22" s="275"/>
      <c r="AD22" s="336"/>
      <c r="AG22" s="231">
        <f>60*2</f>
        <v>120</v>
      </c>
      <c r="AH22" s="231" t="s">
        <v>792</v>
      </c>
      <c r="AI22" s="339"/>
      <c r="AJ22" s="279"/>
      <c r="AK22" s="280"/>
      <c r="AL22" s="282"/>
      <c r="AM22" s="275"/>
      <c r="AN22" s="438"/>
      <c r="AO22" s="275"/>
      <c r="AQ22" s="275"/>
    </row>
    <row r="23" spans="1:43" ht="15">
      <c r="A23" s="283" t="s">
        <v>574</v>
      </c>
      <c r="B23" s="231" t="s">
        <v>637</v>
      </c>
      <c r="E23" s="339"/>
      <c r="F23" s="279">
        <f>104.45+2.92</f>
        <v>107.37</v>
      </c>
      <c r="G23" s="280"/>
      <c r="H23" s="436">
        <f>+F23</f>
        <v>107.37</v>
      </c>
      <c r="I23" s="275"/>
      <c r="J23" s="572">
        <f>(H23*(217/145-1))+H23</f>
        <v>160.68475862068968</v>
      </c>
      <c r="K23" s="575"/>
      <c r="L23" s="573">
        <f>(J23*($D$12/$D$11-1))+J23</f>
        <v>197.36008003376017</v>
      </c>
      <c r="M23" s="275"/>
      <c r="O23" s="283" t="s">
        <v>574</v>
      </c>
      <c r="P23" s="231" t="s">
        <v>795</v>
      </c>
      <c r="T23" s="341"/>
      <c r="U23" s="342"/>
      <c r="V23" s="342"/>
      <c r="W23" s="437"/>
      <c r="X23" s="275"/>
      <c r="Y23" s="572"/>
      <c r="Z23" s="575"/>
      <c r="AA23" s="573"/>
      <c r="AB23" s="275"/>
      <c r="AD23" s="277" t="s">
        <v>794</v>
      </c>
      <c r="AH23" s="361"/>
      <c r="AI23" s="339"/>
      <c r="AJ23" s="279"/>
      <c r="AK23" s="280"/>
      <c r="AL23" s="282"/>
      <c r="AM23" s="275"/>
      <c r="AN23" s="572"/>
      <c r="AO23" s="575"/>
      <c r="AP23" s="573"/>
      <c r="AQ23" s="275"/>
    </row>
    <row r="24" spans="1:43" ht="15">
      <c r="A24" s="283" t="s">
        <v>574</v>
      </c>
      <c r="B24" s="231" t="s">
        <v>796</v>
      </c>
      <c r="E24" s="339"/>
      <c r="F24" s="279">
        <f>166.39+6.11+2.92</f>
        <v>175.42</v>
      </c>
      <c r="G24" s="280"/>
      <c r="H24" s="436">
        <f>+F24/80*90</f>
        <v>197.34749999999997</v>
      </c>
      <c r="I24" s="275"/>
      <c r="J24" s="572">
        <f>(H24*(217/145-1))+H24</f>
        <v>295.34074137931032</v>
      </c>
      <c r="K24" s="575"/>
      <c r="L24" s="573">
        <f t="shared" ref="L24:L33" si="0">(J24*($D$12/$D$11-1))+J24</f>
        <v>362.75047401008169</v>
      </c>
      <c r="M24" s="562"/>
      <c r="O24" s="438"/>
      <c r="P24" s="439" t="s">
        <v>797</v>
      </c>
      <c r="Q24" s="440"/>
      <c r="R24" s="440"/>
      <c r="S24" s="440"/>
      <c r="T24" s="441"/>
      <c r="U24" s="442">
        <v>208.17</v>
      </c>
      <c r="V24" s="280"/>
      <c r="W24" s="436">
        <f>+U24*1.05</f>
        <v>218.57849999999999</v>
      </c>
      <c r="X24" s="275"/>
      <c r="Y24" s="572">
        <f>(W24*(217/145-1))+W24</f>
        <v>327.11403103448276</v>
      </c>
      <c r="Z24" s="575"/>
      <c r="AA24" s="573">
        <f t="shared" ref="AA24:AA33" si="1">(Y24*($D$12/$D$11-1))+Y24</f>
        <v>401.77582428666517</v>
      </c>
      <c r="AB24" s="562"/>
      <c r="AC24" s="557"/>
      <c r="AD24" s="283" t="s">
        <v>574</v>
      </c>
      <c r="AE24" s="231" t="s">
        <v>798</v>
      </c>
      <c r="AH24" s="361"/>
      <c r="AI24" s="339"/>
      <c r="AJ24" s="279"/>
      <c r="AK24" s="280"/>
      <c r="AL24" s="282">
        <f>'Code F Taxiway &amp; SH'!AM25</f>
        <v>35</v>
      </c>
      <c r="AM24" s="275"/>
      <c r="AN24" s="572">
        <f>(AL24*(217/145-1))+AL24</f>
        <v>52.379310344827587</v>
      </c>
      <c r="AO24" s="575"/>
      <c r="AP24" s="573">
        <f t="shared" ref="AP24:AP28" si="2">(AN24*($D$12/$D$11-1))+AN24</f>
        <v>64.334570188894517</v>
      </c>
      <c r="AQ24" s="562"/>
    </row>
    <row r="25" spans="1:43" ht="15">
      <c r="A25" s="283" t="s">
        <v>574</v>
      </c>
      <c r="B25" s="231" t="s">
        <v>799</v>
      </c>
      <c r="E25" s="285">
        <f>'Code F,C Taxilane &amp; Serv Roads'!AF26</f>
        <v>350</v>
      </c>
      <c r="F25" s="279">
        <f>345.66*0.15</f>
        <v>51.849000000000004</v>
      </c>
      <c r="G25" s="280"/>
      <c r="H25" s="436">
        <f>E25*0.125</f>
        <v>43.75</v>
      </c>
      <c r="I25" s="275"/>
      <c r="J25" s="572">
        <f t="shared" ref="J25:J33" si="3">(H25*(217/145-1))+H25</f>
        <v>65.474137931034491</v>
      </c>
      <c r="K25" s="575"/>
      <c r="L25" s="573">
        <f t="shared" si="0"/>
        <v>80.418212736118164</v>
      </c>
      <c r="M25" s="562"/>
      <c r="O25" s="283" t="s">
        <v>574</v>
      </c>
      <c r="P25" s="231" t="s">
        <v>799</v>
      </c>
      <c r="S25" s="361"/>
      <c r="T25" s="285">
        <f>E25</f>
        <v>350</v>
      </c>
      <c r="U25" s="279">
        <f>345.66*0.15</f>
        <v>51.849000000000004</v>
      </c>
      <c r="V25" s="280"/>
      <c r="W25" s="436">
        <f>T25*0.125</f>
        <v>43.75</v>
      </c>
      <c r="X25" s="275"/>
      <c r="Y25" s="572">
        <f t="shared" ref="Y25:Y33" si="4">(W25*(217/145-1))+W25</f>
        <v>65.474137931034491</v>
      </c>
      <c r="Z25" s="575"/>
      <c r="AA25" s="573">
        <f t="shared" si="1"/>
        <v>80.418212736118164</v>
      </c>
      <c r="AB25" s="562"/>
      <c r="AC25" s="557"/>
      <c r="AD25" s="283" t="s">
        <v>574</v>
      </c>
      <c r="AE25" s="231" t="s">
        <v>800</v>
      </c>
      <c r="AH25" s="361"/>
      <c r="AI25" s="285">
        <f>T28</f>
        <v>190</v>
      </c>
      <c r="AJ25" s="279">
        <f>170.66*0.15</f>
        <v>25.599</v>
      </c>
      <c r="AK25" s="280"/>
      <c r="AL25" s="436">
        <f>AI25*0.15</f>
        <v>28.5</v>
      </c>
      <c r="AM25" s="275"/>
      <c r="AN25" s="572">
        <f t="shared" ref="AN25:AN28" si="5">(AL25*(217/145-1))+AL25</f>
        <v>42.651724137931041</v>
      </c>
      <c r="AO25" s="575"/>
      <c r="AP25" s="573">
        <f t="shared" si="2"/>
        <v>52.386721439528401</v>
      </c>
      <c r="AQ25" s="562"/>
    </row>
    <row r="26" spans="1:43" ht="15">
      <c r="A26" s="283" t="s">
        <v>574</v>
      </c>
      <c r="B26" s="231" t="s">
        <v>801</v>
      </c>
      <c r="E26" s="285">
        <f>'Code C,E &amp; F stands'!E27</f>
        <v>375</v>
      </c>
      <c r="F26" s="279">
        <f>146.85*0.15+265.11*0.15</f>
        <v>61.793999999999997</v>
      </c>
      <c r="G26" s="280"/>
      <c r="H26" s="436">
        <f>E26*0.175</f>
        <v>65.625</v>
      </c>
      <c r="I26" s="275"/>
      <c r="J26" s="572">
        <f t="shared" si="3"/>
        <v>98.21120689655173</v>
      </c>
      <c r="K26" s="575"/>
      <c r="L26" s="573">
        <f t="shared" si="0"/>
        <v>120.62731910417723</v>
      </c>
      <c r="M26" s="562"/>
      <c r="O26" s="283" t="s">
        <v>574</v>
      </c>
      <c r="P26" s="231" t="s">
        <v>802</v>
      </c>
      <c r="S26" s="361"/>
      <c r="T26" s="285">
        <f>'Code F Taxiway &amp; SH'!U28</f>
        <v>360</v>
      </c>
      <c r="U26" s="279">
        <f>146.85*0.2+265.11*0.2</f>
        <v>82.39200000000001</v>
      </c>
      <c r="V26" s="280"/>
      <c r="W26" s="436">
        <f>T26*0.125</f>
        <v>45</v>
      </c>
      <c r="X26" s="275"/>
      <c r="Y26" s="572">
        <f t="shared" si="4"/>
        <v>67.344827586206904</v>
      </c>
      <c r="Z26" s="575"/>
      <c r="AA26" s="573">
        <f t="shared" si="1"/>
        <v>82.715875957150104</v>
      </c>
      <c r="AB26" s="562"/>
      <c r="AC26" s="557"/>
      <c r="AD26" s="283" t="s">
        <v>574</v>
      </c>
      <c r="AE26" s="231" t="s">
        <v>800</v>
      </c>
      <c r="AH26" s="361"/>
      <c r="AI26" s="285">
        <f>T28</f>
        <v>190</v>
      </c>
      <c r="AJ26" s="279">
        <f>170.66*0.15</f>
        <v>25.599</v>
      </c>
      <c r="AK26" s="280"/>
      <c r="AL26" s="436">
        <f>AI26*0.15</f>
        <v>28.5</v>
      </c>
      <c r="AM26" s="275"/>
      <c r="AN26" s="572">
        <f t="shared" si="5"/>
        <v>42.651724137931041</v>
      </c>
      <c r="AO26" s="575"/>
      <c r="AP26" s="573">
        <f t="shared" si="2"/>
        <v>52.386721439528401</v>
      </c>
      <c r="AQ26" s="562"/>
    </row>
    <row r="27" spans="1:43" ht="15">
      <c r="A27" s="283" t="s">
        <v>574</v>
      </c>
      <c r="B27" s="231" t="s">
        <v>803</v>
      </c>
      <c r="E27" s="285">
        <f>E26</f>
        <v>375</v>
      </c>
      <c r="F27" s="279">
        <f>146.85*0.15+265.11*0.15</f>
        <v>61.793999999999997</v>
      </c>
      <c r="G27" s="280"/>
      <c r="H27" s="436">
        <f>E27*0.2</f>
        <v>75</v>
      </c>
      <c r="I27" s="275"/>
      <c r="J27" s="572">
        <f t="shared" si="3"/>
        <v>112.24137931034483</v>
      </c>
      <c r="K27" s="575"/>
      <c r="L27" s="573">
        <f t="shared" si="0"/>
        <v>137.85979326191682</v>
      </c>
      <c r="M27" s="562"/>
      <c r="O27" s="283" t="s">
        <v>574</v>
      </c>
      <c r="P27" s="231" t="s">
        <v>804</v>
      </c>
      <c r="S27" s="361"/>
      <c r="T27" s="285">
        <v>220</v>
      </c>
      <c r="U27" s="279">
        <f>+U29</f>
        <v>25.599</v>
      </c>
      <c r="V27" s="280"/>
      <c r="W27" s="436">
        <f>T27*0.15</f>
        <v>33</v>
      </c>
      <c r="X27" s="275"/>
      <c r="Y27" s="572">
        <f t="shared" si="4"/>
        <v>49.386206896551727</v>
      </c>
      <c r="Z27" s="575"/>
      <c r="AA27" s="573">
        <f t="shared" si="1"/>
        <v>60.658309035243406</v>
      </c>
      <c r="AB27" s="562"/>
      <c r="AC27" s="557"/>
      <c r="AD27" s="283" t="s">
        <v>574</v>
      </c>
      <c r="AE27" s="231" t="s">
        <v>587</v>
      </c>
      <c r="AH27" s="361"/>
      <c r="AI27" s="285"/>
      <c r="AJ27" s="279"/>
      <c r="AK27" s="280"/>
      <c r="AL27" s="282">
        <f>'Code C,E &amp; F stands'!$H$31</f>
        <v>10</v>
      </c>
      <c r="AM27" s="275"/>
      <c r="AN27" s="572">
        <f t="shared" si="5"/>
        <v>14.965517241379311</v>
      </c>
      <c r="AO27" s="575"/>
      <c r="AP27" s="573">
        <f t="shared" si="2"/>
        <v>18.381305768255579</v>
      </c>
      <c r="AQ27" s="562"/>
    </row>
    <row r="28" spans="1:43" ht="15">
      <c r="A28" s="283" t="s">
        <v>574</v>
      </c>
      <c r="B28" s="231" t="s">
        <v>805</v>
      </c>
      <c r="E28" s="285">
        <f>'Code C,E &amp; F stands'!E29</f>
        <v>190</v>
      </c>
      <c r="F28" s="279">
        <f>+F29</f>
        <v>27</v>
      </c>
      <c r="G28" s="280"/>
      <c r="H28" s="436">
        <f>E28*0.15</f>
        <v>28.5</v>
      </c>
      <c r="I28" s="275"/>
      <c r="J28" s="572">
        <f t="shared" si="3"/>
        <v>42.651724137931041</v>
      </c>
      <c r="K28" s="575"/>
      <c r="L28" s="573">
        <f t="shared" si="0"/>
        <v>52.386721439528401</v>
      </c>
      <c r="M28" s="562"/>
      <c r="O28" s="283" t="s">
        <v>574</v>
      </c>
      <c r="P28" s="231" t="s">
        <v>806</v>
      </c>
      <c r="S28" s="361"/>
      <c r="T28" s="285">
        <f>E28</f>
        <v>190</v>
      </c>
      <c r="U28" s="279">
        <f>170.66*0.15</f>
        <v>25.599</v>
      </c>
      <c r="V28" s="280"/>
      <c r="W28" s="436">
        <f>T28*0.115</f>
        <v>21.85</v>
      </c>
      <c r="X28" s="275"/>
      <c r="Y28" s="572">
        <f t="shared" si="4"/>
        <v>32.699655172413799</v>
      </c>
      <c r="Z28" s="575"/>
      <c r="AA28" s="573">
        <f t="shared" si="1"/>
        <v>40.163153103638443</v>
      </c>
      <c r="AB28" s="562"/>
      <c r="AC28" s="557"/>
      <c r="AD28" s="283" t="s">
        <v>574</v>
      </c>
      <c r="AE28" s="231" t="s">
        <v>590</v>
      </c>
      <c r="AH28" s="361"/>
      <c r="AI28" s="339"/>
      <c r="AJ28" s="279">
        <f>11544.79/10000</f>
        <v>1.154479</v>
      </c>
      <c r="AK28" s="280"/>
      <c r="AL28" s="443">
        <f>+AJ28*1.1</f>
        <v>1.2699269000000002</v>
      </c>
      <c r="AM28" s="291"/>
      <c r="AN28" s="578">
        <f t="shared" si="5"/>
        <v>1.9005112917241385</v>
      </c>
      <c r="AO28" s="576"/>
      <c r="AP28" s="577">
        <f t="shared" si="2"/>
        <v>2.3342914652232931</v>
      </c>
      <c r="AQ28" s="565"/>
    </row>
    <row r="29" spans="1:43" ht="15">
      <c r="A29" s="283" t="s">
        <v>574</v>
      </c>
      <c r="B29" s="231" t="s">
        <v>807</v>
      </c>
      <c r="E29" s="285">
        <f>E28</f>
        <v>190</v>
      </c>
      <c r="F29" s="279">
        <f>180*0.15</f>
        <v>27</v>
      </c>
      <c r="G29" s="280"/>
      <c r="H29" s="436">
        <f>E29*0.3</f>
        <v>57</v>
      </c>
      <c r="I29" s="275"/>
      <c r="J29" s="572">
        <f t="shared" si="3"/>
        <v>85.303448275862081</v>
      </c>
      <c r="K29" s="575"/>
      <c r="L29" s="573">
        <f t="shared" si="0"/>
        <v>104.7734428790568</v>
      </c>
      <c r="M29" s="562"/>
      <c r="O29" s="283" t="s">
        <v>574</v>
      </c>
      <c r="P29" s="231" t="s">
        <v>808</v>
      </c>
      <c r="S29" s="361"/>
      <c r="T29" s="285">
        <f>'Code F Taxiway &amp; SH'!U31</f>
        <v>190</v>
      </c>
      <c r="U29" s="279">
        <f>170.66*0.15</f>
        <v>25.599</v>
      </c>
      <c r="V29" s="280"/>
      <c r="W29" s="436">
        <f>T29*0.2</f>
        <v>38</v>
      </c>
      <c r="X29" s="275"/>
      <c r="Y29" s="572">
        <f t="shared" si="4"/>
        <v>56.868965517241385</v>
      </c>
      <c r="Z29" s="575"/>
      <c r="AA29" s="573">
        <f t="shared" si="1"/>
        <v>69.848961919371206</v>
      </c>
      <c r="AB29" s="562"/>
      <c r="AC29" s="557"/>
      <c r="AD29" s="438"/>
      <c r="AG29" s="235" t="s">
        <v>591</v>
      </c>
      <c r="AH29" s="361"/>
      <c r="AI29" s="339"/>
      <c r="AJ29" s="293" t="e">
        <f>SUM(#REF!)</f>
        <v>#REF!</v>
      </c>
      <c r="AK29" s="294" t="s">
        <v>272</v>
      </c>
      <c r="AL29" s="444">
        <f>SUM(AL22:AL28)</f>
        <v>103.2699269</v>
      </c>
      <c r="AM29" s="296" t="s">
        <v>592</v>
      </c>
      <c r="AN29" s="444">
        <f t="shared" ref="AN29" si="6">SUM(AN22:AN28)</f>
        <v>154.54878715379311</v>
      </c>
      <c r="AO29" s="296" t="s">
        <v>592</v>
      </c>
      <c r="AP29" s="444">
        <f t="shared" ref="AP29" si="7">SUM(AP22:AP28)</f>
        <v>189.82361030143019</v>
      </c>
      <c r="AQ29" s="296" t="s">
        <v>592</v>
      </c>
    </row>
    <row r="30" spans="1:43" ht="15">
      <c r="A30" s="283" t="s">
        <v>574</v>
      </c>
      <c r="B30" s="231" t="s">
        <v>587</v>
      </c>
      <c r="E30" s="285"/>
      <c r="F30" s="279"/>
      <c r="G30" s="280"/>
      <c r="H30" s="282">
        <f>'Code C,E &amp; F stands'!$H$31</f>
        <v>10</v>
      </c>
      <c r="I30" s="275"/>
      <c r="J30" s="572">
        <f t="shared" si="3"/>
        <v>14.965517241379311</v>
      </c>
      <c r="K30" s="575"/>
      <c r="L30" s="573">
        <f t="shared" si="0"/>
        <v>18.381305768255579</v>
      </c>
      <c r="M30" s="562"/>
      <c r="O30" s="283" t="s">
        <v>574</v>
      </c>
      <c r="P30" s="231" t="s">
        <v>807</v>
      </c>
      <c r="T30" s="285">
        <f>E29</f>
        <v>190</v>
      </c>
      <c r="U30" s="280"/>
      <c r="V30" s="445">
        <f>T30*0.3</f>
        <v>57</v>
      </c>
      <c r="W30" s="282">
        <f>T30*0.3</f>
        <v>57</v>
      </c>
      <c r="X30" s="275"/>
      <c r="Y30" s="572">
        <f t="shared" si="4"/>
        <v>85.303448275862081</v>
      </c>
      <c r="Z30" s="575"/>
      <c r="AA30" s="573">
        <f t="shared" si="1"/>
        <v>104.7734428790568</v>
      </c>
      <c r="AB30" s="562"/>
      <c r="AC30" s="557"/>
      <c r="AD30" s="438"/>
      <c r="AH30" s="361"/>
      <c r="AI30" s="446"/>
      <c r="AJ30" s="288"/>
      <c r="AK30" s="289"/>
      <c r="AL30" s="447"/>
      <c r="AM30" s="275"/>
      <c r="AO30" s="291"/>
      <c r="AQ30" s="291"/>
    </row>
    <row r="31" spans="1:43" ht="15">
      <c r="A31" s="283" t="s">
        <v>574</v>
      </c>
      <c r="B31" s="231" t="s">
        <v>588</v>
      </c>
      <c r="E31" s="339"/>
      <c r="F31" s="279">
        <f>2158863/(19774+48298+60941)</f>
        <v>16.733685752598575</v>
      </c>
      <c r="G31" s="280"/>
      <c r="H31" s="436">
        <f>'Code C,E &amp; F stands'!H32</f>
        <v>17.570370040228504</v>
      </c>
      <c r="I31" s="275"/>
      <c r="J31" s="572">
        <f t="shared" si="3"/>
        <v>26.294967577445419</v>
      </c>
      <c r="K31" s="575"/>
      <c r="L31" s="573">
        <f t="shared" si="0"/>
        <v>32.296634417083723</v>
      </c>
      <c r="M31" s="562"/>
      <c r="O31" s="283" t="s">
        <v>574</v>
      </c>
      <c r="P31" s="231" t="s">
        <v>589</v>
      </c>
      <c r="S31" s="361"/>
      <c r="T31" s="285">
        <f>E32</f>
        <v>55</v>
      </c>
      <c r="U31" s="279">
        <f>(1*45)*(0.65)</f>
        <v>29.25</v>
      </c>
      <c r="V31" s="280"/>
      <c r="W31" s="436">
        <f>T31*(0.05+0.125+0.15+0.15+0.115)</f>
        <v>32.449999999999996</v>
      </c>
      <c r="X31" s="275"/>
      <c r="Y31" s="572">
        <f t="shared" si="4"/>
        <v>48.563103448275861</v>
      </c>
      <c r="Z31" s="575"/>
      <c r="AA31" s="573">
        <f t="shared" si="1"/>
        <v>59.647337217989346</v>
      </c>
      <c r="AB31" s="562"/>
      <c r="AC31" s="557"/>
      <c r="AD31" s="247"/>
      <c r="AE31" s="248"/>
      <c r="AF31" s="248"/>
      <c r="AG31" s="248"/>
      <c r="AH31" s="448"/>
      <c r="AI31" s="449"/>
      <c r="AJ31" s="310"/>
      <c r="AK31" s="311"/>
      <c r="AL31" s="312"/>
      <c r="AM31" s="252"/>
      <c r="AN31" s="312"/>
      <c r="AO31" s="252"/>
      <c r="AP31" s="312"/>
      <c r="AQ31" s="252"/>
    </row>
    <row r="32" spans="1:43" ht="15">
      <c r="A32" s="283" t="s">
        <v>574</v>
      </c>
      <c r="B32" s="231" t="s">
        <v>589</v>
      </c>
      <c r="E32" s="285">
        <f>'Code C,E &amp; F stands'!E33</f>
        <v>55</v>
      </c>
      <c r="F32" s="279">
        <f>(1*45)*(0.65+0.08+0.04)</f>
        <v>34.65</v>
      </c>
      <c r="G32" s="280"/>
      <c r="H32" s="436">
        <f>(0.04+0.09+0.125+0.175+0.2+0.15+0.3)*E32</f>
        <v>59.400000000000006</v>
      </c>
      <c r="I32" s="275"/>
      <c r="J32" s="572">
        <f t="shared" si="3"/>
        <v>88.895172413793119</v>
      </c>
      <c r="K32" s="575"/>
      <c r="L32" s="573">
        <f t="shared" si="0"/>
        <v>109.18495626343815</v>
      </c>
      <c r="M32" s="562"/>
      <c r="O32" s="283" t="s">
        <v>574</v>
      </c>
      <c r="P32" s="231" t="s">
        <v>587</v>
      </c>
      <c r="S32" s="361"/>
      <c r="T32" s="285"/>
      <c r="U32" s="279"/>
      <c r="V32" s="280"/>
      <c r="W32" s="282">
        <f>'Code C,E &amp; F stands'!$H$31</f>
        <v>10</v>
      </c>
      <c r="X32" s="275"/>
      <c r="Y32" s="572">
        <f t="shared" si="4"/>
        <v>14.965517241379311</v>
      </c>
      <c r="Z32" s="575"/>
      <c r="AA32" s="573">
        <f t="shared" si="1"/>
        <v>18.381305768255579</v>
      </c>
      <c r="AB32" s="562"/>
      <c r="AC32" s="557"/>
      <c r="AD32" s="349"/>
      <c r="AE32" s="450" t="s">
        <v>438</v>
      </c>
      <c r="AF32" s="450"/>
      <c r="AG32" s="450"/>
      <c r="AH32" s="451"/>
      <c r="AI32" s="452"/>
      <c r="AJ32" s="453" t="e">
        <f>SUM(AJ29:AJ31)</f>
        <v>#REF!</v>
      </c>
      <c r="AK32" s="454" t="s">
        <v>272</v>
      </c>
      <c r="AL32" s="455">
        <f>ROUND(SUM(AL29:AL31),-1)</f>
        <v>100</v>
      </c>
      <c r="AM32" s="456" t="s">
        <v>272</v>
      </c>
      <c r="AN32" s="455">
        <f t="shared" ref="AN32" si="8">ROUND(SUM(AN29:AN31),-1)</f>
        <v>150</v>
      </c>
      <c r="AO32" s="456" t="s">
        <v>272</v>
      </c>
      <c r="AP32" s="455">
        <f t="shared" ref="AP32" si="9">ROUND(SUM(AP29:AP31),-1)</f>
        <v>190</v>
      </c>
      <c r="AQ32" s="456" t="s">
        <v>272</v>
      </c>
    </row>
    <row r="33" spans="1:43" ht="15">
      <c r="A33" s="283" t="s">
        <v>574</v>
      </c>
      <c r="B33" s="231" t="s">
        <v>590</v>
      </c>
      <c r="E33" s="339"/>
      <c r="F33" s="288">
        <f>11544.79/10000</f>
        <v>1.154479</v>
      </c>
      <c r="G33" s="289"/>
      <c r="H33" s="443">
        <f>+F33*1.1</f>
        <v>1.2699269000000002</v>
      </c>
      <c r="I33" s="291"/>
      <c r="J33" s="578">
        <f t="shared" si="3"/>
        <v>1.9005112917241385</v>
      </c>
      <c r="K33" s="576"/>
      <c r="L33" s="577">
        <f t="shared" si="0"/>
        <v>2.3342914652232931</v>
      </c>
      <c r="M33" s="565"/>
      <c r="O33" s="283" t="s">
        <v>574</v>
      </c>
      <c r="P33" s="231" t="s">
        <v>590</v>
      </c>
      <c r="S33" s="361"/>
      <c r="T33" s="339"/>
      <c r="U33" s="288">
        <f>11544.79/10000</f>
        <v>1.154479</v>
      </c>
      <c r="V33" s="289"/>
      <c r="W33" s="443">
        <f>+U33*1.1</f>
        <v>1.2699269000000002</v>
      </c>
      <c r="X33" s="291"/>
      <c r="Y33" s="578">
        <f t="shared" si="4"/>
        <v>1.9005112917241385</v>
      </c>
      <c r="Z33" s="576"/>
      <c r="AA33" s="577">
        <f t="shared" si="1"/>
        <v>2.3342914652232931</v>
      </c>
      <c r="AB33" s="565"/>
      <c r="AC33" s="558"/>
      <c r="AD33" s="457"/>
      <c r="AE33" s="262"/>
      <c r="AF33" s="262"/>
      <c r="AG33" s="262"/>
      <c r="AH33" s="458"/>
      <c r="AI33" s="459"/>
      <c r="AJ33" s="265"/>
      <c r="AK33" s="266"/>
      <c r="AL33" s="325"/>
      <c r="AM33" s="268"/>
      <c r="AN33" s="325"/>
      <c r="AO33" s="268"/>
      <c r="AP33" s="325"/>
      <c r="AQ33" s="268"/>
    </row>
    <row r="34" spans="1:43">
      <c r="A34" s="438"/>
      <c r="B34" s="235" t="s">
        <v>591</v>
      </c>
      <c r="E34" s="339"/>
      <c r="F34" s="293">
        <f>SUM(F32:F32)</f>
        <v>34.65</v>
      </c>
      <c r="G34" s="294" t="s">
        <v>272</v>
      </c>
      <c r="H34" s="444">
        <f>SUM(H23:H33)</f>
        <v>662.83279694022838</v>
      </c>
      <c r="I34" s="296" t="s">
        <v>592</v>
      </c>
      <c r="J34" s="444">
        <f t="shared" ref="J34" si="10">SUM(J23:J33)</f>
        <v>991.96356507606629</v>
      </c>
      <c r="K34" s="296" t="s">
        <v>592</v>
      </c>
      <c r="L34" s="444">
        <f t="shared" ref="L34" si="11">SUM(L23:L33)</f>
        <v>1218.37323137864</v>
      </c>
      <c r="M34" s="296" t="s">
        <v>592</v>
      </c>
      <c r="O34" s="438"/>
      <c r="R34" s="235" t="s">
        <v>591</v>
      </c>
      <c r="S34" s="361"/>
      <c r="T34" s="339"/>
      <c r="U34" s="293">
        <f>SUM(U31:U31)</f>
        <v>29.25</v>
      </c>
      <c r="V34" s="294" t="s">
        <v>272</v>
      </c>
      <c r="W34" s="444">
        <f>SUM(W22:W33)</f>
        <v>500.89842689999995</v>
      </c>
      <c r="X34" s="296" t="s">
        <v>592</v>
      </c>
      <c r="Y34" s="444">
        <f t="shared" ref="Y34" si="12">SUM(Y23:Y33)</f>
        <v>749.62040439517239</v>
      </c>
      <c r="Z34" s="296" t="s">
        <v>592</v>
      </c>
      <c r="AA34" s="444">
        <f t="shared" ref="AA34" si="13">SUM(AA23:AA33)</f>
        <v>920.71671436871156</v>
      </c>
      <c r="AB34" s="296" t="s">
        <v>592</v>
      </c>
      <c r="AC34" s="544"/>
    </row>
    <row r="35" spans="1:43" ht="15">
      <c r="A35" s="438"/>
      <c r="D35" s="328"/>
      <c r="E35" s="339"/>
      <c r="F35" s="293"/>
      <c r="G35" s="294"/>
      <c r="H35" s="460"/>
      <c r="I35" s="296"/>
      <c r="J35" s="572"/>
      <c r="K35" s="575"/>
      <c r="L35" s="573"/>
      <c r="M35" s="562"/>
      <c r="O35" s="438"/>
      <c r="S35" s="361"/>
      <c r="T35" s="339"/>
      <c r="U35" s="279"/>
      <c r="V35" s="280"/>
      <c r="W35" s="461"/>
      <c r="X35" s="275"/>
      <c r="Z35" s="291"/>
      <c r="AB35" s="291"/>
      <c r="AD35" s="247"/>
      <c r="AE35" s="248"/>
      <c r="AF35" s="248"/>
      <c r="AG35" s="248"/>
      <c r="AH35" s="380"/>
      <c r="AI35" s="249"/>
      <c r="AJ35" s="250" t="s">
        <v>787</v>
      </c>
      <c r="AK35" s="251"/>
      <c r="AL35" s="1842" t="str">
        <f>'Code C,E &amp; F stands'!$H$16</f>
        <v>Estimated Rates</v>
      </c>
      <c r="AM35" s="1843"/>
      <c r="AN35" s="1843"/>
      <c r="AO35" s="1843"/>
      <c r="AP35" s="1843"/>
      <c r="AQ35" s="1844"/>
    </row>
    <row r="36" spans="1:43" ht="18.75" customHeight="1">
      <c r="A36" s="277" t="s">
        <v>809</v>
      </c>
      <c r="D36" s="1983">
        <f>7910203*1.05</f>
        <v>8305713.1500000004</v>
      </c>
      <c r="E36" s="1984"/>
      <c r="F36" s="279"/>
      <c r="G36" s="280"/>
      <c r="H36" s="444">
        <f>D36/$E$56</f>
        <v>37.616454483695655</v>
      </c>
      <c r="I36" s="275"/>
      <c r="J36" s="572">
        <f t="shared" ref="J36" si="14">(H36*(217/145-1))+H36</f>
        <v>56.294969813530741</v>
      </c>
      <c r="K36" s="575"/>
      <c r="L36" s="573">
        <f t="shared" ref="L36" si="15">(J36*($D$12/$D$11-1))+J36</f>
        <v>69.143955178247836</v>
      </c>
      <c r="M36" s="562"/>
      <c r="O36" s="247"/>
      <c r="P36" s="248"/>
      <c r="Q36" s="248"/>
      <c r="R36" s="248"/>
      <c r="S36" s="448"/>
      <c r="T36" s="449"/>
      <c r="U36" s="310"/>
      <c r="V36" s="311"/>
      <c r="W36" s="312"/>
      <c r="X36" s="252"/>
      <c r="Y36" s="312"/>
      <c r="Z36" s="252"/>
      <c r="AA36" s="312"/>
      <c r="AB36" s="252"/>
      <c r="AD36" s="1985" t="s">
        <v>810</v>
      </c>
      <c r="AE36" s="1986"/>
      <c r="AF36" s="1986"/>
      <c r="AG36" s="1986"/>
      <c r="AH36" s="1986"/>
      <c r="AI36" s="1987"/>
      <c r="AJ36" s="255"/>
      <c r="AK36" s="256"/>
      <c r="AL36" s="1845"/>
      <c r="AM36" s="1846"/>
      <c r="AN36" s="1846"/>
      <c r="AO36" s="1846"/>
      <c r="AP36" s="1846"/>
      <c r="AQ36" s="1847"/>
    </row>
    <row r="37" spans="1:43">
      <c r="A37" s="277"/>
      <c r="D37" s="328"/>
      <c r="E37" s="339"/>
      <c r="F37" s="279"/>
      <c r="G37" s="280"/>
      <c r="H37" s="444"/>
      <c r="I37" s="275"/>
      <c r="J37" s="438"/>
      <c r="K37" s="275"/>
      <c r="M37" s="275"/>
      <c r="O37" s="349"/>
      <c r="P37" s="450" t="s">
        <v>438</v>
      </c>
      <c r="Q37" s="450"/>
      <c r="R37" s="450"/>
      <c r="S37" s="451"/>
      <c r="T37" s="452"/>
      <c r="U37" s="453">
        <f>SUM(U34:U36)</f>
        <v>29.25</v>
      </c>
      <c r="V37" s="454" t="s">
        <v>272</v>
      </c>
      <c r="W37" s="455">
        <f>ROUND(SUM(W34:W36),-1)</f>
        <v>500</v>
      </c>
      <c r="X37" s="456" t="s">
        <v>272</v>
      </c>
      <c r="Y37" s="455">
        <f t="shared" ref="Y37" si="16">ROUND(SUM(Y34:Y36),-1)</f>
        <v>750</v>
      </c>
      <c r="Z37" s="456" t="s">
        <v>272</v>
      </c>
      <c r="AA37" s="455">
        <f t="shared" ref="AA37" si="17">ROUND(SUM(AA34:AA36),-1)</f>
        <v>920</v>
      </c>
      <c r="AB37" s="456" t="s">
        <v>272</v>
      </c>
      <c r="AD37" s="1985"/>
      <c r="AE37" s="1986"/>
      <c r="AF37" s="1986"/>
      <c r="AG37" s="1986"/>
      <c r="AH37" s="1986"/>
      <c r="AI37" s="1987"/>
      <c r="AJ37" s="255"/>
      <c r="AK37" s="256"/>
      <c r="AL37" s="1826" t="str">
        <f>'Code C,E &amp; F stands'!$H$18</f>
        <v>Base Date Jan '09</v>
      </c>
      <c r="AM37" s="1827"/>
      <c r="AN37" s="1828" t="s">
        <v>571</v>
      </c>
      <c r="AO37" s="1827"/>
      <c r="AP37" s="1981" t="s">
        <v>572</v>
      </c>
      <c r="AQ37" s="1827"/>
    </row>
    <row r="38" spans="1:43" ht="15">
      <c r="A38" s="277" t="s">
        <v>575</v>
      </c>
      <c r="D38" s="1983">
        <f>(21600+172800+5876+240000+162000+630000+180900+10838+6885+17000+160000)*1.05</f>
        <v>1688293.9500000002</v>
      </c>
      <c r="E38" s="1984"/>
      <c r="F38" s="279" t="e">
        <f>+#REF!/25</f>
        <v>#REF!</v>
      </c>
      <c r="G38" s="280"/>
      <c r="H38" s="444">
        <f>D38/$E$56</f>
        <v>7.6462588315217399</v>
      </c>
      <c r="I38" s="275"/>
      <c r="J38" s="572">
        <f t="shared" ref="J38" si="18">(H38*(217/145-1))+H38</f>
        <v>11.443021837518742</v>
      </c>
      <c r="K38" s="575"/>
      <c r="L38" s="573">
        <f t="shared" ref="L38" si="19">(J38*($D$12/$D$11-1))+J38</f>
        <v>14.054822156542571</v>
      </c>
      <c r="M38" s="275"/>
      <c r="O38" s="457"/>
      <c r="P38" s="262"/>
      <c r="Q38" s="262"/>
      <c r="R38" s="262"/>
      <c r="S38" s="458"/>
      <c r="T38" s="459"/>
      <c r="U38" s="265"/>
      <c r="V38" s="266"/>
      <c r="W38" s="325"/>
      <c r="X38" s="268"/>
      <c r="Y38" s="325"/>
      <c r="Z38" s="268"/>
      <c r="AA38" s="325"/>
      <c r="AB38" s="268"/>
      <c r="AD38" s="261"/>
      <c r="AE38" s="262"/>
      <c r="AF38" s="263"/>
      <c r="AG38" s="263"/>
      <c r="AH38" s="434"/>
      <c r="AI38" s="264"/>
      <c r="AJ38" s="265"/>
      <c r="AK38" s="266"/>
      <c r="AL38" s="433"/>
      <c r="AM38" s="268"/>
      <c r="AN38" s="596"/>
      <c r="AO38" s="597"/>
      <c r="AP38" s="598"/>
      <c r="AQ38" s="597"/>
    </row>
    <row r="39" spans="1:43">
      <c r="A39" s="277"/>
      <c r="D39" s="328"/>
      <c r="E39" s="339"/>
      <c r="F39" s="279"/>
      <c r="G39" s="280"/>
      <c r="H39" s="444"/>
      <c r="I39" s="275"/>
      <c r="J39" s="438"/>
      <c r="K39" s="275"/>
      <c r="M39" s="275"/>
      <c r="AD39" s="336"/>
      <c r="AF39" s="237"/>
      <c r="AG39" s="231">
        <v>37.5</v>
      </c>
      <c r="AH39" s="231" t="s">
        <v>792</v>
      </c>
      <c r="AI39" s="337"/>
      <c r="AJ39" s="272"/>
      <c r="AK39" s="273"/>
      <c r="AL39" s="276"/>
      <c r="AM39" s="275"/>
      <c r="AN39" s="438"/>
      <c r="AO39" s="275"/>
      <c r="AQ39" s="275"/>
    </row>
    <row r="40" spans="1:43" ht="15">
      <c r="A40" s="277" t="s">
        <v>811</v>
      </c>
      <c r="D40" s="1983">
        <f>1283646*1.05</f>
        <v>1347828.3</v>
      </c>
      <c r="E40" s="1984"/>
      <c r="F40" s="279" t="e">
        <f>+#REF!/25</f>
        <v>#REF!</v>
      </c>
      <c r="G40" s="280"/>
      <c r="H40" s="444">
        <f>D40/$E$56</f>
        <v>6.1042948369565222</v>
      </c>
      <c r="I40" s="275"/>
      <c r="J40" s="572">
        <f t="shared" ref="J40" si="20">(H40*(217/145-1))+H40</f>
        <v>9.1353929628935546</v>
      </c>
      <c r="K40" s="575"/>
      <c r="L40" s="573">
        <f t="shared" ref="L40" si="21">(J40*($D$12/$D$11-1))+J40</f>
        <v>11.220490989768166</v>
      </c>
      <c r="M40" s="275"/>
      <c r="O40" s="236" t="s">
        <v>812</v>
      </c>
      <c r="AD40" s="277" t="s">
        <v>794</v>
      </c>
      <c r="AH40" s="361"/>
      <c r="AI40" s="339"/>
      <c r="AJ40" s="279"/>
      <c r="AK40" s="280"/>
      <c r="AL40" s="282"/>
      <c r="AM40" s="275"/>
      <c r="AN40" s="572"/>
      <c r="AO40" s="575"/>
      <c r="AP40" s="573"/>
      <c r="AQ40" s="275"/>
    </row>
    <row r="41" spans="1:43" ht="15">
      <c r="A41" s="277"/>
      <c r="D41" s="328"/>
      <c r="E41" s="339"/>
      <c r="F41" s="279"/>
      <c r="G41" s="280"/>
      <c r="H41" s="444"/>
      <c r="I41" s="275"/>
      <c r="J41" s="438"/>
      <c r="K41" s="275"/>
      <c r="M41" s="275"/>
      <c r="O41" s="237" t="s">
        <v>574</v>
      </c>
      <c r="P41" s="231" t="s">
        <v>813</v>
      </c>
      <c r="AD41" s="283" t="s">
        <v>574</v>
      </c>
      <c r="AE41" s="231" t="s">
        <v>798</v>
      </c>
      <c r="AH41" s="361"/>
      <c r="AI41" s="339"/>
      <c r="AJ41" s="279"/>
      <c r="AK41" s="280"/>
      <c r="AL41" s="282">
        <f>AL24</f>
        <v>35</v>
      </c>
      <c r="AM41" s="275"/>
      <c r="AN41" s="572">
        <f>(AL41*(217/145-1))+AL41</f>
        <v>52.379310344827587</v>
      </c>
      <c r="AO41" s="575"/>
      <c r="AP41" s="573">
        <f t="shared" ref="AP41:AP45" si="22">(AN41*($D$12/$D$11-1))+AN41</f>
        <v>64.334570188894517</v>
      </c>
      <c r="AQ41" s="562"/>
    </row>
    <row r="42" spans="1:43" ht="15">
      <c r="A42" s="277" t="s">
        <v>814</v>
      </c>
      <c r="D42" s="1983">
        <f>2170850*1.05</f>
        <v>2279392.5</v>
      </c>
      <c r="E42" s="1984"/>
      <c r="F42" s="279"/>
      <c r="G42" s="280"/>
      <c r="H42" s="444">
        <f>D42/$E$56</f>
        <v>10.323335597826087</v>
      </c>
      <c r="I42" s="275"/>
      <c r="J42" s="572">
        <f t="shared" ref="J42" si="23">(H42*(217/145-1))+H42</f>
        <v>15.449405687781113</v>
      </c>
      <c r="K42" s="575"/>
      <c r="L42" s="573">
        <f t="shared" ref="L42" si="24">(J42*($D$12/$D$11-1))+J42</f>
        <v>18.975638817195883</v>
      </c>
      <c r="M42" s="275"/>
      <c r="O42" s="237" t="s">
        <v>574</v>
      </c>
      <c r="P42" s="231" t="s">
        <v>815</v>
      </c>
      <c r="AD42" s="283" t="s">
        <v>574</v>
      </c>
      <c r="AE42" s="231" t="s">
        <v>816</v>
      </c>
      <c r="AH42" s="361"/>
      <c r="AI42" s="285">
        <f>T28</f>
        <v>190</v>
      </c>
      <c r="AJ42" s="279">
        <f>170.66*0.15</f>
        <v>25.599</v>
      </c>
      <c r="AK42" s="280"/>
      <c r="AL42" s="436">
        <f>AI42*0.11</f>
        <v>20.9</v>
      </c>
      <c r="AM42" s="275"/>
      <c r="AN42" s="572">
        <f t="shared" ref="AN42:AN45" si="25">(AL42*(217/145-1))+AL42</f>
        <v>31.277931034482759</v>
      </c>
      <c r="AO42" s="575"/>
      <c r="AP42" s="573">
        <f t="shared" si="22"/>
        <v>38.416929055654158</v>
      </c>
      <c r="AQ42" s="562"/>
    </row>
    <row r="43" spans="1:43" ht="15">
      <c r="A43" s="277"/>
      <c r="D43" s="328"/>
      <c r="E43" s="339"/>
      <c r="F43" s="279"/>
      <c r="G43" s="280"/>
      <c r="H43" s="444"/>
      <c r="I43" s="275"/>
      <c r="J43" s="438"/>
      <c r="K43" s="275"/>
      <c r="M43" s="275"/>
      <c r="O43" s="237" t="s">
        <v>574</v>
      </c>
      <c r="P43" s="231" t="s">
        <v>817</v>
      </c>
      <c r="AD43" s="283" t="s">
        <v>574</v>
      </c>
      <c r="AE43" s="231" t="s">
        <v>800</v>
      </c>
      <c r="AH43" s="361"/>
      <c r="AI43" s="285">
        <f>T29</f>
        <v>190</v>
      </c>
      <c r="AJ43" s="279">
        <f>170.66*0.15</f>
        <v>25.599</v>
      </c>
      <c r="AK43" s="280"/>
      <c r="AL43" s="436">
        <f>AI43*0.15</f>
        <v>28.5</v>
      </c>
      <c r="AM43" s="275"/>
      <c r="AN43" s="572">
        <f t="shared" si="25"/>
        <v>42.651724137931041</v>
      </c>
      <c r="AO43" s="575"/>
      <c r="AP43" s="573">
        <f t="shared" si="22"/>
        <v>52.386721439528401</v>
      </c>
      <c r="AQ43" s="562"/>
    </row>
    <row r="44" spans="1:43" ht="15">
      <c r="A44" s="277" t="s">
        <v>615</v>
      </c>
      <c r="D44" s="1983">
        <f>(3429692+2169420+1743426+245054+2740017)*1.05</f>
        <v>10843989.450000001</v>
      </c>
      <c r="E44" s="1984"/>
      <c r="F44" s="279" t="e">
        <f>+#REF!/32.5</f>
        <v>#REF!</v>
      </c>
      <c r="G44" s="280"/>
      <c r="H44" s="444">
        <f>D44/$E$56</f>
        <v>49.112271059782614</v>
      </c>
      <c r="I44" s="275"/>
      <c r="J44" s="572">
        <f t="shared" ref="J44" si="26">(H44*(217/145-1))+H44</f>
        <v>73.499053930847083</v>
      </c>
      <c r="K44" s="575"/>
      <c r="L44" s="573">
        <f t="shared" ref="L44" si="27">(J44*($D$12/$D$11-1))+J44</f>
        <v>90.274767132331363</v>
      </c>
      <c r="M44" s="275"/>
      <c r="O44" s="237" t="s">
        <v>574</v>
      </c>
      <c r="P44" s="231" t="s">
        <v>818</v>
      </c>
      <c r="AD44" s="283" t="s">
        <v>574</v>
      </c>
      <c r="AE44" s="231" t="s">
        <v>587</v>
      </c>
      <c r="AH44" s="361"/>
      <c r="AI44" s="285"/>
      <c r="AJ44" s="279"/>
      <c r="AK44" s="280"/>
      <c r="AL44" s="282">
        <f>'Code C,E &amp; F stands'!$H$31</f>
        <v>10</v>
      </c>
      <c r="AM44" s="275"/>
      <c r="AN44" s="572">
        <f t="shared" si="25"/>
        <v>14.965517241379311</v>
      </c>
      <c r="AO44" s="575"/>
      <c r="AP44" s="573">
        <f t="shared" si="22"/>
        <v>18.381305768255579</v>
      </c>
      <c r="AQ44" s="562"/>
    </row>
    <row r="45" spans="1:43" ht="15">
      <c r="A45" s="277"/>
      <c r="D45" s="328"/>
      <c r="E45" s="339"/>
      <c r="F45" s="279"/>
      <c r="G45" s="280"/>
      <c r="H45" s="444"/>
      <c r="I45" s="275"/>
      <c r="J45" s="438"/>
      <c r="K45" s="275"/>
      <c r="M45" s="275"/>
      <c r="O45" s="237" t="s">
        <v>574</v>
      </c>
      <c r="P45" s="231" t="s">
        <v>819</v>
      </c>
      <c r="AD45" s="283" t="s">
        <v>574</v>
      </c>
      <c r="AE45" s="231" t="s">
        <v>590</v>
      </c>
      <c r="AH45" s="361"/>
      <c r="AI45" s="339"/>
      <c r="AJ45" s="279">
        <f>11544.79/10000</f>
        <v>1.154479</v>
      </c>
      <c r="AK45" s="280"/>
      <c r="AL45" s="443">
        <f>+AJ45*1.1</f>
        <v>1.2699269000000002</v>
      </c>
      <c r="AM45" s="291"/>
      <c r="AN45" s="578">
        <f t="shared" si="25"/>
        <v>1.9005112917241385</v>
      </c>
      <c r="AO45" s="576"/>
      <c r="AP45" s="577">
        <f t="shared" si="22"/>
        <v>2.3342914652232931</v>
      </c>
      <c r="AQ45" s="565"/>
    </row>
    <row r="46" spans="1:43" ht="15">
      <c r="A46" s="277" t="s">
        <v>820</v>
      </c>
      <c r="D46" s="1983">
        <f>2258700*1.05</f>
        <v>2371635</v>
      </c>
      <c r="E46" s="1984"/>
      <c r="F46" s="279">
        <f>+E52/32.5</f>
        <v>0</v>
      </c>
      <c r="G46" s="280"/>
      <c r="H46" s="444">
        <f>D46/$E$56</f>
        <v>10.741100543478261</v>
      </c>
      <c r="I46" s="275"/>
      <c r="J46" s="572">
        <f t="shared" ref="J46" si="28">(H46*(217/145-1))+H46</f>
        <v>16.074612537481261</v>
      </c>
      <c r="K46" s="575"/>
      <c r="L46" s="573">
        <f t="shared" ref="L46" si="29">(J46*($D$12/$D$11-1))+J46</f>
        <v>19.74354533772501</v>
      </c>
      <c r="M46" s="275"/>
      <c r="O46" s="237" t="s">
        <v>574</v>
      </c>
      <c r="P46" s="231" t="s">
        <v>821</v>
      </c>
      <c r="AD46" s="438"/>
      <c r="AG46" s="235" t="s">
        <v>591</v>
      </c>
      <c r="AH46" s="361"/>
      <c r="AI46" s="339"/>
      <c r="AJ46" s="293" t="e">
        <f>SUM(#REF!)</f>
        <v>#REF!</v>
      </c>
      <c r="AK46" s="294" t="s">
        <v>272</v>
      </c>
      <c r="AL46" s="444">
        <f>SUM(AL40:AL45)</f>
        <v>95.669926900000007</v>
      </c>
      <c r="AM46" s="296" t="s">
        <v>592</v>
      </c>
      <c r="AN46" s="444">
        <f t="shared" ref="AN46" si="30">SUM(AN39:AN45)</f>
        <v>143.17499405034485</v>
      </c>
      <c r="AO46" s="296" t="s">
        <v>592</v>
      </c>
      <c r="AP46" s="444">
        <f t="shared" ref="AP46" si="31">SUM(AP39:AP45)</f>
        <v>175.85381791755594</v>
      </c>
      <c r="AQ46" s="296" t="s">
        <v>592</v>
      </c>
    </row>
    <row r="47" spans="1:43">
      <c r="A47" s="277"/>
      <c r="D47" s="328"/>
      <c r="E47" s="339"/>
      <c r="F47" s="279"/>
      <c r="G47" s="280"/>
      <c r="H47" s="444"/>
      <c r="I47" s="275"/>
      <c r="J47" s="438"/>
      <c r="K47" s="275"/>
      <c r="M47" s="275"/>
      <c r="O47" s="237" t="s">
        <v>574</v>
      </c>
      <c r="P47" s="231" t="s">
        <v>822</v>
      </c>
      <c r="AD47" s="438"/>
      <c r="AH47" s="361"/>
      <c r="AI47" s="446"/>
      <c r="AJ47" s="288"/>
      <c r="AK47" s="289"/>
      <c r="AL47" s="447"/>
      <c r="AM47" s="275"/>
      <c r="AO47" s="291"/>
      <c r="AQ47" s="291"/>
    </row>
    <row r="48" spans="1:43" ht="15">
      <c r="A48" s="277" t="s">
        <v>823</v>
      </c>
      <c r="D48" s="1983">
        <f>'[5]CT Runway'!J28*1.05</f>
        <v>111748916.16000001</v>
      </c>
      <c r="E48" s="1984"/>
      <c r="F48" s="279">
        <f>+E54/32.5</f>
        <v>0</v>
      </c>
      <c r="G48" s="280"/>
      <c r="H48" s="444">
        <f>D48/$E$56</f>
        <v>506.10922173913048</v>
      </c>
      <c r="I48" s="275"/>
      <c r="J48" s="572">
        <f t="shared" ref="J48" si="32">(H48*(217/145-1))+H48</f>
        <v>757.41862839580222</v>
      </c>
      <c r="K48" s="575"/>
      <c r="L48" s="573">
        <f t="shared" ref="L48" si="33">(J48*($D$12/$D$11-1))+J48</f>
        <v>930.29483569208207</v>
      </c>
      <c r="M48" s="275"/>
      <c r="AD48" s="247"/>
      <c r="AE48" s="248"/>
      <c r="AF48" s="248"/>
      <c r="AG48" s="248"/>
      <c r="AH48" s="448"/>
      <c r="AI48" s="449"/>
      <c r="AJ48" s="310"/>
      <c r="AK48" s="311"/>
      <c r="AL48" s="312"/>
      <c r="AM48" s="252"/>
      <c r="AN48" s="312"/>
      <c r="AO48" s="252"/>
      <c r="AP48" s="312"/>
      <c r="AQ48" s="252"/>
    </row>
    <row r="49" spans="1:43">
      <c r="A49" s="277"/>
      <c r="D49" s="328"/>
      <c r="E49" s="339"/>
      <c r="F49" s="279"/>
      <c r="G49" s="280"/>
      <c r="H49" s="444"/>
      <c r="I49" s="275"/>
      <c r="J49" s="438"/>
      <c r="K49" s="275"/>
      <c r="M49" s="275"/>
      <c r="O49" s="236" t="s">
        <v>824</v>
      </c>
      <c r="AD49" s="349"/>
      <c r="AE49" s="450" t="s">
        <v>438</v>
      </c>
      <c r="AF49" s="450"/>
      <c r="AG49" s="450"/>
      <c r="AH49" s="451"/>
      <c r="AI49" s="452"/>
      <c r="AJ49" s="453" t="e">
        <f>SUM(AJ46:AJ48)</f>
        <v>#REF!</v>
      </c>
      <c r="AK49" s="454" t="s">
        <v>272</v>
      </c>
      <c r="AL49" s="455">
        <f>ROUND(SUM(AL46:AL48),-1)</f>
        <v>100</v>
      </c>
      <c r="AM49" s="456" t="s">
        <v>272</v>
      </c>
      <c r="AN49" s="455">
        <f t="shared" ref="AN49" si="34">ROUND(SUM(AN46:AN48),-1)</f>
        <v>140</v>
      </c>
      <c r="AO49" s="456" t="s">
        <v>272</v>
      </c>
      <c r="AP49" s="455">
        <f t="shared" ref="AP49" si="35">ROUND(SUM(AP46:AP48),-1)</f>
        <v>180</v>
      </c>
      <c r="AQ49" s="456" t="s">
        <v>272</v>
      </c>
    </row>
    <row r="50" spans="1:43" ht="15">
      <c r="A50" s="277" t="s">
        <v>825</v>
      </c>
      <c r="D50" s="1983">
        <f>'[5]CT Runway'!J29*1.05</f>
        <v>31778372.850000001</v>
      </c>
      <c r="E50" s="1984"/>
      <c r="F50" s="279">
        <f>+E56/32.5</f>
        <v>6793.8461538461543</v>
      </c>
      <c r="G50" s="280"/>
      <c r="H50" s="444">
        <f>D50/$E$56</f>
        <v>143.92379008152176</v>
      </c>
      <c r="I50" s="275"/>
      <c r="J50" s="572">
        <f t="shared" ref="J50" si="36">(H50*(217/145-1))+H50</f>
        <v>215.38939619096706</v>
      </c>
      <c r="K50" s="575"/>
      <c r="L50" s="573">
        <f t="shared" ref="L50" si="37">(J50*($D$12/$D$11-1))+J50</f>
        <v>264.5507192814681</v>
      </c>
      <c r="M50" s="275"/>
      <c r="O50" s="237" t="s">
        <v>574</v>
      </c>
      <c r="P50" s="231" t="s">
        <v>826</v>
      </c>
      <c r="AD50" s="457"/>
      <c r="AE50" s="262"/>
      <c r="AF50" s="262"/>
      <c r="AG50" s="262"/>
      <c r="AH50" s="458"/>
      <c r="AI50" s="459"/>
      <c r="AJ50" s="265"/>
      <c r="AK50" s="266"/>
      <c r="AL50" s="325"/>
      <c r="AM50" s="268"/>
      <c r="AN50" s="599"/>
      <c r="AO50" s="268"/>
      <c r="AP50" s="325"/>
      <c r="AQ50" s="268"/>
    </row>
    <row r="51" spans="1:43" ht="12.75" customHeight="1">
      <c r="A51" s="462"/>
      <c r="B51" s="347"/>
      <c r="C51" s="347"/>
      <c r="D51" s="347"/>
      <c r="E51" s="446"/>
      <c r="F51" s="288"/>
      <c r="G51" s="289"/>
      <c r="H51" s="463"/>
      <c r="I51" s="291"/>
      <c r="J51" s="462"/>
      <c r="K51" s="291"/>
      <c r="L51" s="347"/>
      <c r="M51" s="291"/>
      <c r="O51" s="237" t="s">
        <v>574</v>
      </c>
      <c r="P51" s="231" t="s">
        <v>827</v>
      </c>
      <c r="AN51" s="1982"/>
      <c r="AO51" s="1982"/>
      <c r="AP51" s="1982"/>
      <c r="AQ51" s="1982"/>
    </row>
    <row r="52" spans="1:43" ht="14.45" customHeight="1">
      <c r="A52" s="464"/>
      <c r="B52" s="260"/>
      <c r="C52" s="260"/>
      <c r="D52" s="260"/>
      <c r="E52" s="465"/>
      <c r="F52" s="255"/>
      <c r="G52" s="256"/>
      <c r="H52" s="466"/>
      <c r="I52" s="352"/>
      <c r="J52" s="464"/>
      <c r="K52" s="352"/>
      <c r="L52" s="260"/>
      <c r="M52" s="352"/>
      <c r="O52" s="237" t="s">
        <v>574</v>
      </c>
      <c r="P52" s="231" t="s">
        <v>828</v>
      </c>
      <c r="AD52" s="247"/>
      <c r="AE52" s="248"/>
      <c r="AF52" s="248"/>
      <c r="AG52" s="248"/>
      <c r="AH52" s="380"/>
      <c r="AI52" s="249"/>
      <c r="AJ52" s="250" t="s">
        <v>787</v>
      </c>
      <c r="AK52" s="251"/>
      <c r="AL52" s="1977" t="str">
        <f>'Code C,E &amp; F stands'!$H$16</f>
        <v>Estimated Rates</v>
      </c>
      <c r="AM52" s="1978"/>
      <c r="AN52" s="1978"/>
      <c r="AO52" s="1978"/>
      <c r="AP52" s="1978"/>
      <c r="AQ52" s="1979"/>
    </row>
    <row r="53" spans="1:43">
      <c r="A53" s="349"/>
      <c r="B53" s="450" t="s">
        <v>829</v>
      </c>
      <c r="C53" s="450"/>
      <c r="D53" s="450"/>
      <c r="E53" s="452"/>
      <c r="F53" s="453" t="e">
        <f>SUM(F34:F52)</f>
        <v>#REF!</v>
      </c>
      <c r="G53" s="454" t="s">
        <v>272</v>
      </c>
      <c r="H53" s="467">
        <f>ROUND(SUM(H34:H52),-1)</f>
        <v>1430</v>
      </c>
      <c r="I53" s="456" t="s">
        <v>592</v>
      </c>
      <c r="J53" s="467">
        <f t="shared" ref="J53" si="38">ROUND(SUM(J34:J52),-1)</f>
        <v>2150</v>
      </c>
      <c r="K53" s="456" t="s">
        <v>592</v>
      </c>
      <c r="L53" s="467">
        <f t="shared" ref="L53" si="39">ROUND(SUM(L34:L52),-1)</f>
        <v>2640</v>
      </c>
      <c r="M53" s="456" t="s">
        <v>592</v>
      </c>
      <c r="O53" s="237" t="s">
        <v>574</v>
      </c>
      <c r="P53" s="231" t="s">
        <v>830</v>
      </c>
      <c r="AD53" s="1985" t="s">
        <v>831</v>
      </c>
      <c r="AE53" s="1986"/>
      <c r="AF53" s="1986"/>
      <c r="AG53" s="1986"/>
      <c r="AH53" s="1986"/>
      <c r="AI53" s="1987"/>
      <c r="AJ53" s="255"/>
      <c r="AK53" s="256"/>
      <c r="AL53" s="1980"/>
      <c r="AM53" s="1976"/>
      <c r="AN53" s="1976"/>
      <c r="AO53" s="1976"/>
      <c r="AP53" s="1976"/>
      <c r="AQ53" s="1975"/>
    </row>
    <row r="54" spans="1:43" s="236" customFormat="1">
      <c r="A54" s="457"/>
      <c r="B54" s="262"/>
      <c r="C54" s="262"/>
      <c r="D54" s="262"/>
      <c r="E54" s="459"/>
      <c r="F54" s="265"/>
      <c r="G54" s="266"/>
      <c r="H54" s="468"/>
      <c r="I54" s="268"/>
      <c r="J54" s="457"/>
      <c r="K54" s="268"/>
      <c r="L54" s="262"/>
      <c r="M54" s="268"/>
      <c r="N54" s="231"/>
      <c r="O54" s="237" t="s">
        <v>574</v>
      </c>
      <c r="P54" s="231" t="s">
        <v>832</v>
      </c>
      <c r="Q54" s="231"/>
      <c r="R54" s="231"/>
      <c r="S54" s="231"/>
      <c r="T54" s="231"/>
      <c r="U54" s="231"/>
      <c r="V54" s="231"/>
      <c r="W54" s="231"/>
      <c r="X54" s="231"/>
      <c r="Y54" s="231"/>
      <c r="Z54" s="231"/>
      <c r="AA54" s="231"/>
      <c r="AB54" s="231"/>
      <c r="AC54" s="231"/>
      <c r="AD54" s="1985"/>
      <c r="AE54" s="1986"/>
      <c r="AF54" s="1986"/>
      <c r="AG54" s="1986"/>
      <c r="AH54" s="1986"/>
      <c r="AI54" s="1987"/>
      <c r="AJ54" s="255"/>
      <c r="AK54" s="256"/>
      <c r="AL54" s="1826" t="str">
        <f>'Code C,E &amp; F stands'!$H$18</f>
        <v>Base Date Jan '09</v>
      </c>
      <c r="AM54" s="1827"/>
      <c r="AN54" s="1828" t="s">
        <v>571</v>
      </c>
      <c r="AO54" s="1827"/>
      <c r="AP54" s="1981" t="s">
        <v>572</v>
      </c>
      <c r="AQ54" s="1827"/>
    </row>
    <row r="55" spans="1:43">
      <c r="O55" s="237" t="s">
        <v>574</v>
      </c>
      <c r="P55" s="231" t="s">
        <v>833</v>
      </c>
      <c r="AD55" s="261"/>
      <c r="AE55" s="262"/>
      <c r="AF55" s="263"/>
      <c r="AG55" s="263"/>
      <c r="AH55" s="434"/>
      <c r="AI55" s="264"/>
      <c r="AJ55" s="265"/>
      <c r="AK55" s="266"/>
      <c r="AL55" s="433"/>
      <c r="AM55" s="268"/>
      <c r="AN55" s="596"/>
      <c r="AO55" s="597"/>
      <c r="AP55" s="598"/>
      <c r="AQ55" s="597"/>
    </row>
    <row r="56" spans="1:43" ht="15">
      <c r="A56" s="235"/>
      <c r="B56" s="231" t="s">
        <v>834</v>
      </c>
      <c r="C56" s="242">
        <f>3500+90*2</f>
        <v>3680</v>
      </c>
      <c r="D56" s="469">
        <v>60</v>
      </c>
      <c r="E56" s="243">
        <f>C56*D56</f>
        <v>220800</v>
      </c>
      <c r="F56" s="432" t="e">
        <f>(H53*C21+W37*R21*2+AL49*AG39*2)/C21+(#REF!*AL49)/('Master Runways'!Q19*'Master Runways'!P15)</f>
        <v>#REF!</v>
      </c>
      <c r="H56" s="470"/>
      <c r="O56" s="237" t="s">
        <v>574</v>
      </c>
      <c r="P56" s="231" t="s">
        <v>835</v>
      </c>
      <c r="AD56" s="336"/>
      <c r="AF56" s="237"/>
      <c r="AG56" s="231">
        <v>75</v>
      </c>
      <c r="AH56" s="231" t="s">
        <v>792</v>
      </c>
      <c r="AI56" s="337"/>
      <c r="AJ56" s="272"/>
      <c r="AK56" s="273"/>
      <c r="AL56" s="276"/>
      <c r="AM56" s="275"/>
      <c r="AN56" s="572"/>
      <c r="AO56" s="575"/>
      <c r="AP56" s="573"/>
      <c r="AQ56" s="562"/>
    </row>
    <row r="57" spans="1:43" ht="15">
      <c r="A57" s="235"/>
      <c r="B57" s="432"/>
      <c r="O57" s="237" t="s">
        <v>574</v>
      </c>
      <c r="P57" s="231" t="s">
        <v>836</v>
      </c>
      <c r="AD57" s="277" t="s">
        <v>794</v>
      </c>
      <c r="AH57" s="361"/>
      <c r="AI57" s="339"/>
      <c r="AJ57" s="279"/>
      <c r="AK57" s="280"/>
      <c r="AL57" s="282"/>
      <c r="AM57" s="275"/>
      <c r="AN57" s="572"/>
      <c r="AO57" s="575"/>
      <c r="AP57" s="573"/>
      <c r="AQ57" s="562"/>
    </row>
    <row r="58" spans="1:43" ht="15">
      <c r="AD58" s="283" t="s">
        <v>574</v>
      </c>
      <c r="AE58" s="231" t="s">
        <v>798</v>
      </c>
      <c r="AH58" s="361"/>
      <c r="AI58" s="339"/>
      <c r="AJ58" s="279"/>
      <c r="AK58" s="280"/>
      <c r="AL58" s="282">
        <f>'Code F Taxiway &amp; SH'!AM25</f>
        <v>35</v>
      </c>
      <c r="AM58" s="275"/>
      <c r="AN58" s="572">
        <f t="shared" ref="AN58:AN60" si="40">(AL58*(217/145-1))+AL58</f>
        <v>52.379310344827587</v>
      </c>
      <c r="AO58" s="575"/>
      <c r="AP58" s="573">
        <f t="shared" ref="AP58:AP60" si="41">(AN58*($D$12/$D$11-1))+AN58</f>
        <v>64.334570188894517</v>
      </c>
      <c r="AQ58" s="562"/>
    </row>
    <row r="59" spans="1:43" ht="15">
      <c r="E59" s="231"/>
      <c r="F59" s="231"/>
      <c r="G59" s="231"/>
      <c r="H59" s="231"/>
      <c r="AD59" s="283" t="s">
        <v>574</v>
      </c>
      <c r="AE59" s="231" t="s">
        <v>587</v>
      </c>
      <c r="AH59" s="361"/>
      <c r="AI59" s="285"/>
      <c r="AJ59" s="279"/>
      <c r="AK59" s="280"/>
      <c r="AL59" s="282">
        <f>'Code F Taxiway &amp; SH'!AM26</f>
        <v>10</v>
      </c>
      <c r="AM59" s="275"/>
      <c r="AN59" s="572">
        <f t="shared" si="40"/>
        <v>14.965517241379311</v>
      </c>
      <c r="AO59" s="575"/>
      <c r="AP59" s="573">
        <f t="shared" si="41"/>
        <v>18.381305768255579</v>
      </c>
      <c r="AQ59" s="562"/>
    </row>
    <row r="60" spans="1:43" ht="15">
      <c r="AD60" s="283" t="s">
        <v>574</v>
      </c>
      <c r="AE60" s="231" t="s">
        <v>590</v>
      </c>
      <c r="AH60" s="361"/>
      <c r="AI60" s="339"/>
      <c r="AJ60" s="288">
        <f>11544.79/10000</f>
        <v>1.154479</v>
      </c>
      <c r="AK60" s="289"/>
      <c r="AL60" s="290">
        <f>'Code F Taxiway &amp; SH'!AM27</f>
        <v>1.2699269000000002</v>
      </c>
      <c r="AM60" s="291"/>
      <c r="AN60" s="578">
        <f t="shared" si="40"/>
        <v>1.9005112917241385</v>
      </c>
      <c r="AO60" s="576"/>
      <c r="AP60" s="577">
        <f t="shared" si="41"/>
        <v>2.3342914652232931</v>
      </c>
      <c r="AQ60" s="565"/>
    </row>
    <row r="61" spans="1:43">
      <c r="AD61" s="438"/>
      <c r="AG61" s="235" t="s">
        <v>591</v>
      </c>
      <c r="AH61" s="361"/>
      <c r="AI61" s="339"/>
      <c r="AJ61" s="293" t="e">
        <f>SUM(#REF!)</f>
        <v>#REF!</v>
      </c>
      <c r="AK61" s="294" t="s">
        <v>272</v>
      </c>
      <c r="AL61" s="444">
        <f>SUM(AL57:AL60)</f>
        <v>46.269926900000002</v>
      </c>
      <c r="AM61" s="296" t="s">
        <v>592</v>
      </c>
      <c r="AN61" s="444">
        <f t="shared" ref="AN61" si="42">SUM(AN54:AN60)</f>
        <v>69.245338877931047</v>
      </c>
      <c r="AO61" s="296" t="s">
        <v>592</v>
      </c>
      <c r="AP61" s="444">
        <f t="shared" ref="AP61" si="43">SUM(AP54:AP60)</f>
        <v>85.050167422373391</v>
      </c>
      <c r="AQ61" s="296" t="s">
        <v>592</v>
      </c>
    </row>
    <row r="62" spans="1:43">
      <c r="AD62" s="438"/>
      <c r="AH62" s="361"/>
      <c r="AI62" s="446"/>
      <c r="AJ62" s="288"/>
      <c r="AK62" s="289"/>
      <c r="AL62" s="447"/>
      <c r="AM62" s="275"/>
      <c r="AO62" s="291"/>
      <c r="AQ62" s="291"/>
    </row>
    <row r="63" spans="1:43">
      <c r="AD63" s="247"/>
      <c r="AE63" s="248"/>
      <c r="AF63" s="248"/>
      <c r="AG63" s="248"/>
      <c r="AH63" s="448"/>
      <c r="AI63" s="449"/>
      <c r="AJ63" s="310"/>
      <c r="AK63" s="311"/>
      <c r="AL63" s="312"/>
      <c r="AM63" s="252"/>
      <c r="AN63" s="312"/>
      <c r="AO63" s="252"/>
      <c r="AP63" s="312"/>
      <c r="AQ63" s="252"/>
    </row>
    <row r="64" spans="1:43">
      <c r="AD64" s="349"/>
      <c r="AE64" s="450" t="s">
        <v>438</v>
      </c>
      <c r="AF64" s="450"/>
      <c r="AG64" s="450"/>
      <c r="AH64" s="451"/>
      <c r="AI64" s="452"/>
      <c r="AJ64" s="453">
        <f>SUM(AJ62:AJ63)</f>
        <v>0</v>
      </c>
      <c r="AK64" s="454" t="s">
        <v>272</v>
      </c>
      <c r="AL64" s="455">
        <f>ROUND(SUM(AL61:AL63),-1)</f>
        <v>50</v>
      </c>
      <c r="AM64" s="456" t="s">
        <v>272</v>
      </c>
      <c r="AN64" s="455">
        <f t="shared" ref="AN64" si="44">ROUND(SUM(AN61:AN63),-1)</f>
        <v>70</v>
      </c>
      <c r="AO64" s="456" t="s">
        <v>272</v>
      </c>
      <c r="AP64" s="455">
        <f t="shared" ref="AP64" si="45">ROUND(SUM(AP61:AP63),-1)</f>
        <v>90</v>
      </c>
      <c r="AQ64" s="456" t="s">
        <v>272</v>
      </c>
    </row>
    <row r="65" spans="14:43">
      <c r="AD65" s="457"/>
      <c r="AE65" s="262"/>
      <c r="AF65" s="262"/>
      <c r="AG65" s="262"/>
      <c r="AH65" s="458"/>
      <c r="AI65" s="459"/>
      <c r="AJ65" s="265"/>
      <c r="AK65" s="266"/>
      <c r="AL65" s="325"/>
      <c r="AM65" s="268"/>
      <c r="AN65" s="325"/>
      <c r="AO65" s="268"/>
      <c r="AP65" s="325"/>
      <c r="AQ65" s="268"/>
    </row>
    <row r="66" spans="14:43">
      <c r="O66" s="236"/>
      <c r="P66" s="236"/>
      <c r="Q66" s="236"/>
      <c r="R66" s="236"/>
      <c r="S66" s="236"/>
      <c r="T66" s="236"/>
      <c r="U66" s="236"/>
      <c r="V66" s="236"/>
      <c r="W66" s="236"/>
      <c r="X66" s="236"/>
      <c r="Y66" s="236"/>
      <c r="Z66" s="236"/>
      <c r="AA66" s="236"/>
    </row>
    <row r="69" spans="14:43">
      <c r="AH69" s="664"/>
    </row>
    <row r="76" spans="14:43">
      <c r="O76" s="237"/>
    </row>
    <row r="77" spans="14:43">
      <c r="O77" s="237"/>
    </row>
    <row r="78" spans="14:43">
      <c r="N78" s="236"/>
      <c r="AB78" s="236"/>
      <c r="AC78" s="236"/>
      <c r="AN78" s="236"/>
    </row>
    <row r="95" spans="32:32">
      <c r="AF95" s="236"/>
    </row>
  </sheetData>
  <sheetProtection algorithmName="SHA-512" hashValue="i+TMB7bXK3MeeTC6/L1YwPcOgH4NuqiWuOrGcw7GGnwyC6OCwTqF4c09Tp8FdXTLGaOe9r9gFKnKuUbVOQuWDA==" saltValue="U/Q7mpKHZxMpTOWLM/8yEw==" spinCount="100000" sheet="1" objects="1" scenarios="1"/>
  <mergeCells count="47">
    <mergeCell ref="AL19:AM19"/>
    <mergeCell ref="A3:AI3"/>
    <mergeCell ref="A5:AI5"/>
    <mergeCell ref="A7:AI7"/>
    <mergeCell ref="A14:AM14"/>
    <mergeCell ref="A18:E19"/>
    <mergeCell ref="O18:T19"/>
    <mergeCell ref="AD18:AI19"/>
    <mergeCell ref="AL17:AQ18"/>
    <mergeCell ref="AN19:AO19"/>
    <mergeCell ref="AP19:AQ19"/>
    <mergeCell ref="W17:AB18"/>
    <mergeCell ref="D50:E50"/>
    <mergeCell ref="AD53:AI54"/>
    <mergeCell ref="AL54:AM54"/>
    <mergeCell ref="J19:K19"/>
    <mergeCell ref="L19:M19"/>
    <mergeCell ref="J20:K20"/>
    <mergeCell ref="L20:M20"/>
    <mergeCell ref="D38:E38"/>
    <mergeCell ref="D40:E40"/>
    <mergeCell ref="D42:E42"/>
    <mergeCell ref="D44:E44"/>
    <mergeCell ref="D46:E46"/>
    <mergeCell ref="D48:E48"/>
    <mergeCell ref="H19:I19"/>
    <mergeCell ref="Y20:Z20"/>
    <mergeCell ref="AA20:AB20"/>
    <mergeCell ref="D36:E36"/>
    <mergeCell ref="AD36:AI37"/>
    <mergeCell ref="W19:X19"/>
    <mergeCell ref="B10:D10"/>
    <mergeCell ref="H17:M18"/>
    <mergeCell ref="Y19:Z19"/>
    <mergeCell ref="AA19:AB19"/>
    <mergeCell ref="E11:R12"/>
    <mergeCell ref="AN20:AO20"/>
    <mergeCell ref="AP20:AQ20"/>
    <mergeCell ref="AL52:AQ53"/>
    <mergeCell ref="AN54:AO54"/>
    <mergeCell ref="AP54:AQ54"/>
    <mergeCell ref="AN51:AO51"/>
    <mergeCell ref="AP51:AQ51"/>
    <mergeCell ref="AN37:AO37"/>
    <mergeCell ref="AP37:AQ37"/>
    <mergeCell ref="AL37:AM37"/>
    <mergeCell ref="AL35:AQ36"/>
  </mergeCells>
  <pageMargins left="0.39370078740157483" right="0.31496062992125984" top="0.28999999999999998" bottom="0.54" header="0.51181102362204722" footer="0.27"/>
  <pageSetup paperSize="8" scale="86" firstPageNumber="14"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3">
    <tabColor theme="9" tint="-0.249977111117893"/>
    <pageSetUpPr fitToPage="1"/>
  </sheetPr>
  <dimension ref="A1:AR60"/>
  <sheetViews>
    <sheetView topLeftCell="A20" zoomScale="80" zoomScaleNormal="80" workbookViewId="0">
      <selection activeCell="Q77" sqref="Q77"/>
    </sheetView>
  </sheetViews>
  <sheetFormatPr defaultColWidth="9.140625" defaultRowHeight="12.75" outlineLevelRow="1" outlineLevelCol="1"/>
  <cols>
    <col min="1" max="1" width="3" style="231" customWidth="1"/>
    <col min="2" max="2" width="27.140625" style="231" customWidth="1"/>
    <col min="3" max="3" width="8.42578125" style="231" customWidth="1"/>
    <col min="4" max="4" width="10.85546875" style="231" customWidth="1"/>
    <col min="5" max="5" width="10.140625" style="361" bestFit="1" customWidth="1"/>
    <col min="6" max="6" width="18" style="327" hidden="1" customWidth="1" outlineLevel="1"/>
    <col min="7" max="7" width="4.42578125" style="328" hidden="1" customWidth="1" outlineLevel="1"/>
    <col min="8" max="8" width="9.42578125" style="432" hidden="1" customWidth="1" collapsed="1"/>
    <col min="9" max="9" width="5" style="231" hidden="1" customWidth="1"/>
    <col min="10" max="10" width="2.140625" style="231" hidden="1" customWidth="1"/>
    <col min="11" max="11" width="10.7109375" style="231" hidden="1" customWidth="1"/>
    <col min="12" max="12" width="5" style="231" hidden="1" customWidth="1"/>
    <col min="13" max="13" width="11.5703125" style="231" customWidth="1"/>
    <col min="14" max="14" width="5" style="231" customWidth="1"/>
    <col min="15" max="15" width="2.7109375" style="231" customWidth="1"/>
    <col min="16" max="16" width="3.42578125" style="231" customWidth="1"/>
    <col min="17" max="21" width="9.140625" style="231"/>
    <col min="22" max="22" width="11.5703125" style="231" hidden="1" customWidth="1" outlineLevel="1"/>
    <col min="23" max="23" width="1.28515625" style="231" customWidth="1" outlineLevel="1"/>
    <col min="24" max="24" width="0" style="231" hidden="1" customWidth="1"/>
    <col min="25" max="25" width="6.42578125" style="231" hidden="1" customWidth="1"/>
    <col min="26" max="26" width="9.140625" style="231" hidden="1" customWidth="1"/>
    <col min="27" max="27" width="6.42578125" style="231" hidden="1" customWidth="1"/>
    <col min="28" max="28" width="9.42578125" style="231" customWidth="1"/>
    <col min="29" max="29" width="7.5703125" style="231" customWidth="1"/>
    <col min="30" max="30" width="2.28515625" style="231" customWidth="1"/>
    <col min="31" max="31" width="3.42578125" style="231" customWidth="1"/>
    <col min="32" max="32" width="9.140625" style="231"/>
    <col min="33" max="33" width="10.28515625" style="231" bestFit="1" customWidth="1"/>
    <col min="34" max="36" width="9.140625" style="231"/>
    <col min="37" max="37" width="11.5703125" style="231" hidden="1" customWidth="1" outlineLevel="1"/>
    <col min="38" max="38" width="4.42578125" style="231" hidden="1" customWidth="1" outlineLevel="1"/>
    <col min="39" max="39" width="0" style="231" hidden="1" customWidth="1" collapsed="1"/>
    <col min="40" max="40" width="6.28515625" style="231" hidden="1" customWidth="1"/>
    <col min="41" max="42" width="0" style="231" hidden="1" customWidth="1"/>
    <col min="43" max="16384" width="9.140625" style="231"/>
  </cols>
  <sheetData>
    <row r="1" spans="1:40" s="217" customFormat="1" ht="6.75" customHeight="1" thickBot="1">
      <c r="B1" s="218"/>
    </row>
    <row r="2" spans="1:40"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G2" s="219"/>
      <c r="AH2" s="219"/>
      <c r="AI2" s="219"/>
      <c r="AJ2" s="219"/>
      <c r="AM2" s="219"/>
      <c r="AN2" s="219"/>
    </row>
    <row r="3" spans="1:40"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c r="X3" s="1820"/>
      <c r="Y3" s="1820"/>
      <c r="Z3" s="1820"/>
      <c r="AA3" s="1820"/>
      <c r="AB3" s="1820"/>
      <c r="AC3" s="1820"/>
      <c r="AD3" s="1820"/>
      <c r="AE3" s="1820"/>
      <c r="AF3" s="1820"/>
      <c r="AG3" s="1820"/>
      <c r="AH3" s="1820"/>
      <c r="AI3" s="1820"/>
      <c r="AJ3" s="1820"/>
    </row>
    <row r="4" spans="1:40" s="217" customFormat="1" ht="4.5" customHeight="1">
      <c r="A4" s="221"/>
      <c r="B4" s="222"/>
      <c r="C4" s="222"/>
      <c r="D4" s="222"/>
      <c r="O4" s="222"/>
      <c r="P4" s="222"/>
      <c r="Q4" s="222"/>
      <c r="R4" s="222"/>
      <c r="T4" s="222"/>
      <c r="U4" s="222"/>
      <c r="V4" s="223"/>
      <c r="W4" s="224"/>
      <c r="X4" s="225"/>
    </row>
    <row r="5" spans="1:40" s="217" customFormat="1" ht="22.5">
      <c r="A5" s="1821" t="str">
        <f>'Master Taxiways'!A5:X5</f>
        <v>3.  TAXIWAYS</v>
      </c>
      <c r="B5" s="1821"/>
      <c r="C5" s="1821"/>
      <c r="D5" s="1821"/>
      <c r="E5" s="1821"/>
      <c r="F5" s="1821"/>
      <c r="G5" s="1821"/>
      <c r="H5" s="1821"/>
      <c r="I5" s="1821"/>
      <c r="J5" s="1821"/>
      <c r="K5" s="1821"/>
      <c r="L5" s="1821"/>
      <c r="M5" s="1821"/>
      <c r="N5" s="1821"/>
      <c r="O5" s="1821"/>
      <c r="P5" s="1821"/>
      <c r="Q5" s="1821"/>
      <c r="R5" s="1821"/>
      <c r="S5" s="1821"/>
      <c r="T5" s="1821"/>
      <c r="U5" s="1821"/>
      <c r="V5" s="1821"/>
      <c r="W5" s="1821"/>
      <c r="X5" s="1821"/>
      <c r="Y5" s="1821"/>
      <c r="Z5" s="1821"/>
      <c r="AA5" s="1821"/>
      <c r="AB5" s="1821"/>
      <c r="AC5" s="1821"/>
      <c r="AD5" s="1821"/>
      <c r="AE5" s="1821"/>
      <c r="AF5" s="1821"/>
      <c r="AG5" s="1821"/>
      <c r="AH5" s="1821"/>
      <c r="AI5" s="1821"/>
      <c r="AJ5" s="1821"/>
    </row>
    <row r="6" spans="1:40" s="217" customFormat="1" ht="7.5" customHeight="1">
      <c r="A6" s="221"/>
      <c r="B6" s="222"/>
      <c r="C6" s="222"/>
      <c r="D6" s="222"/>
      <c r="O6" s="222"/>
      <c r="P6" s="222"/>
      <c r="Q6" s="222"/>
      <c r="R6" s="222"/>
      <c r="T6" s="222"/>
      <c r="U6" s="222"/>
      <c r="V6" s="223"/>
      <c r="W6" s="224"/>
      <c r="X6" s="225"/>
    </row>
    <row r="7" spans="1:40" s="217" customFormat="1" hidden="1">
      <c r="A7" s="1822">
        <f>'Master Apron stands'!A7</f>
        <v>43040</v>
      </c>
      <c r="B7" s="1822"/>
      <c r="C7" s="1822"/>
      <c r="D7" s="1822"/>
      <c r="E7" s="1822"/>
      <c r="F7" s="1822"/>
      <c r="G7" s="1822"/>
      <c r="H7" s="1822"/>
      <c r="I7" s="1822"/>
      <c r="J7" s="1822"/>
      <c r="K7" s="1822"/>
      <c r="L7" s="1822"/>
      <c r="M7" s="1822"/>
      <c r="N7" s="1822"/>
      <c r="O7" s="1822"/>
      <c r="P7" s="1822"/>
      <c r="Q7" s="1822"/>
      <c r="R7" s="1822"/>
      <c r="S7" s="1822"/>
      <c r="T7" s="1822"/>
      <c r="U7" s="1822"/>
      <c r="V7" s="1822"/>
      <c r="W7" s="1822"/>
      <c r="X7" s="1822"/>
      <c r="Y7" s="1822"/>
      <c r="Z7" s="1822"/>
      <c r="AA7" s="1822"/>
      <c r="AB7" s="1822"/>
      <c r="AC7" s="1822"/>
      <c r="AD7" s="1822"/>
      <c r="AE7" s="1822"/>
      <c r="AF7" s="1822"/>
      <c r="AG7" s="1822"/>
      <c r="AH7" s="1822"/>
      <c r="AI7" s="1822"/>
      <c r="AJ7" s="1822"/>
    </row>
    <row r="8" spans="1:40"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c r="X8" s="226"/>
      <c r="Y8" s="226"/>
      <c r="Z8" s="226"/>
      <c r="AA8" s="226"/>
      <c r="AB8" s="226"/>
      <c r="AC8" s="226"/>
      <c r="AD8" s="226"/>
      <c r="AE8" s="226"/>
      <c r="AF8" s="226"/>
      <c r="AI8" s="226"/>
      <c r="AJ8" s="226"/>
      <c r="AM8" s="226"/>
      <c r="AN8" s="226"/>
    </row>
    <row r="9" spans="1:40" s="217" customFormat="1" ht="8.25" customHeight="1">
      <c r="A9" s="228"/>
      <c r="B9" s="229"/>
      <c r="C9" s="229"/>
      <c r="D9" s="229"/>
      <c r="E9" s="229"/>
      <c r="F9" s="229"/>
      <c r="G9" s="229"/>
      <c r="H9" s="229"/>
      <c r="I9" s="229"/>
      <c r="J9" s="229"/>
      <c r="K9" s="229"/>
      <c r="L9" s="229"/>
      <c r="M9" s="229"/>
      <c r="N9" s="229"/>
      <c r="O9" s="229"/>
      <c r="P9" s="229"/>
      <c r="Q9" s="230"/>
      <c r="R9" s="229"/>
      <c r="S9" s="229"/>
      <c r="T9" s="229"/>
      <c r="U9" s="229"/>
      <c r="V9" s="229"/>
      <c r="W9" s="229"/>
      <c r="X9" s="229"/>
      <c r="Y9" s="229"/>
      <c r="Z9" s="229"/>
      <c r="AA9" s="229"/>
      <c r="AB9" s="229"/>
      <c r="AC9" s="229"/>
      <c r="AD9" s="229"/>
      <c r="AE9" s="229"/>
      <c r="AF9" s="229"/>
      <c r="AG9" s="219"/>
      <c r="AH9" s="219"/>
      <c r="AI9" s="229"/>
      <c r="AJ9" s="229"/>
      <c r="AM9" s="229"/>
      <c r="AN9" s="229"/>
    </row>
    <row r="10" spans="1:40" s="217" customFormat="1" ht="15">
      <c r="A10" s="228"/>
      <c r="B10" s="229"/>
      <c r="C10" s="229"/>
      <c r="D10" s="229"/>
      <c r="E10" s="229"/>
      <c r="F10" s="229"/>
      <c r="G10" s="229"/>
      <c r="H10" s="229"/>
      <c r="I10" s="229"/>
      <c r="J10" s="229"/>
      <c r="K10" s="229"/>
      <c r="L10" s="229"/>
      <c r="M10" s="229"/>
      <c r="N10" s="229"/>
      <c r="O10" s="229"/>
      <c r="P10" s="229"/>
      <c r="Q10" s="230"/>
      <c r="R10" s="229"/>
      <c r="S10" s="229"/>
      <c r="T10" s="229"/>
      <c r="U10" s="229"/>
      <c r="V10" s="229"/>
      <c r="W10" s="229"/>
      <c r="X10" s="229"/>
      <c r="Y10" s="229"/>
      <c r="Z10" s="229"/>
      <c r="AA10" s="229"/>
      <c r="AB10" s="229"/>
      <c r="AC10" s="229"/>
      <c r="AD10" s="229"/>
      <c r="AE10" s="229"/>
      <c r="AF10" s="229"/>
    </row>
    <row r="11" spans="1:40" s="217" customFormat="1" ht="18">
      <c r="A11" s="1823" t="s">
        <v>837</v>
      </c>
      <c r="B11" s="1823"/>
      <c r="C11" s="1823"/>
      <c r="D11" s="1823"/>
      <c r="E11" s="1823"/>
      <c r="F11" s="1823"/>
      <c r="G11" s="1823"/>
      <c r="H11" s="1823"/>
      <c r="I11" s="1823"/>
      <c r="J11" s="1823"/>
      <c r="K11" s="1823"/>
      <c r="L11" s="1823"/>
      <c r="M11" s="1823"/>
      <c r="N11" s="1823"/>
      <c r="O11" s="1823"/>
      <c r="P11" s="1823"/>
      <c r="Q11" s="1823"/>
      <c r="R11" s="1823"/>
      <c r="S11" s="1823"/>
      <c r="T11" s="1823"/>
      <c r="U11" s="1823"/>
      <c r="V11" s="1823"/>
      <c r="W11" s="1823"/>
      <c r="X11" s="1823"/>
      <c r="Y11" s="1823"/>
      <c r="Z11" s="1823"/>
      <c r="AA11" s="1823"/>
      <c r="AB11" s="1823"/>
      <c r="AC11" s="1823"/>
      <c r="AD11" s="1823"/>
      <c r="AE11" s="1823"/>
      <c r="AF11" s="1823"/>
      <c r="AG11" s="1823"/>
      <c r="AH11" s="1823"/>
      <c r="AI11" s="1823"/>
      <c r="AJ11" s="1823"/>
      <c r="AK11" s="1823"/>
      <c r="AL11" s="1823"/>
      <c r="AM11" s="1823"/>
      <c r="AN11" s="1823"/>
    </row>
    <row r="12" spans="1:40" s="217" customFormat="1" ht="18.75" thickBot="1">
      <c r="A12" s="671"/>
      <c r="B12" s="671"/>
      <c r="C12" s="671"/>
      <c r="D12" s="671"/>
      <c r="E12" s="671"/>
      <c r="F12" s="671"/>
      <c r="G12" s="671"/>
      <c r="H12" s="671"/>
      <c r="I12" s="671"/>
      <c r="J12" s="671"/>
      <c r="K12" s="671"/>
      <c r="L12" s="671"/>
      <c r="M12" s="671"/>
      <c r="N12" s="671"/>
      <c r="O12" s="671"/>
      <c r="P12" s="671"/>
      <c r="Q12" s="671"/>
      <c r="R12" s="671"/>
      <c r="S12" s="671"/>
      <c r="T12" s="671"/>
      <c r="U12" s="671"/>
      <c r="V12" s="671"/>
      <c r="W12" s="671"/>
      <c r="X12" s="671"/>
      <c r="Y12" s="671"/>
      <c r="Z12" s="671"/>
      <c r="AA12" s="671"/>
      <c r="AB12" s="671"/>
      <c r="AC12" s="671"/>
      <c r="AD12" s="671"/>
      <c r="AE12" s="671"/>
      <c r="AF12" s="671"/>
      <c r="AG12" s="671"/>
      <c r="AH12" s="671"/>
      <c r="AI12" s="671"/>
      <c r="AJ12" s="671"/>
      <c r="AK12" s="671"/>
      <c r="AL12" s="671"/>
      <c r="AM12" s="671"/>
      <c r="AN12" s="671"/>
    </row>
    <row r="13" spans="1:40" s="217" customFormat="1" ht="18.75" thickBot="1">
      <c r="A13" s="671"/>
      <c r="B13" s="1834" t="s">
        <v>185</v>
      </c>
      <c r="C13" s="1835"/>
      <c r="D13" s="1835"/>
      <c r="E13" s="552"/>
      <c r="F13" s="555"/>
      <c r="G13"/>
      <c r="H13"/>
      <c r="I13"/>
      <c r="J13"/>
      <c r="K13"/>
      <c r="L13"/>
      <c r="M13"/>
      <c r="N13" s="671"/>
      <c r="O13" s="671"/>
      <c r="P13" s="671"/>
      <c r="Q13" s="671"/>
      <c r="R13" s="671"/>
      <c r="S13" s="671"/>
      <c r="T13" s="671"/>
      <c r="U13" s="671"/>
      <c r="V13" s="671"/>
      <c r="W13" s="671"/>
      <c r="X13" s="671"/>
      <c r="Y13" s="671"/>
      <c r="Z13" s="671"/>
      <c r="AA13" s="671"/>
      <c r="AB13" s="671"/>
      <c r="AC13" s="671"/>
      <c r="AD13" s="671"/>
      <c r="AE13" s="671"/>
      <c r="AF13" s="671"/>
      <c r="AG13" s="671"/>
      <c r="AH13" s="671"/>
      <c r="AI13" s="671"/>
      <c r="AJ13" s="671"/>
      <c r="AK13" s="671"/>
      <c r="AL13" s="671"/>
      <c r="AM13" s="671"/>
      <c r="AN13" s="671"/>
    </row>
    <row r="14" spans="1:40" s="217" customFormat="1" ht="18">
      <c r="A14" s="671"/>
      <c r="B14" s="549" t="s">
        <v>186</v>
      </c>
      <c r="C14" s="547">
        <v>43040</v>
      </c>
      <c r="D14" s="553">
        <v>217.6</v>
      </c>
      <c r="E14" s="1836" t="str">
        <f>'New Bldg Rates'!M4</f>
        <v>Reference 2021 Q4 Table 2 - BER Building Cost Index</v>
      </c>
      <c r="F14" s="1837"/>
      <c r="G14" s="1837"/>
      <c r="H14" s="1837"/>
      <c r="I14" s="1837"/>
      <c r="J14" s="1837"/>
      <c r="K14" s="1837"/>
      <c r="L14" s="1837"/>
      <c r="M14" s="1837"/>
      <c r="N14" s="1837"/>
      <c r="O14" s="1837"/>
      <c r="P14" s="1837"/>
      <c r="Q14" s="1838"/>
      <c r="R14" s="671"/>
      <c r="S14" s="671"/>
      <c r="T14" s="671"/>
      <c r="U14" s="671"/>
      <c r="V14" s="671"/>
      <c r="W14" s="671"/>
      <c r="X14" s="671"/>
      <c r="Y14" s="671"/>
      <c r="Z14" s="671"/>
      <c r="AA14" s="671"/>
      <c r="AB14" s="671"/>
      <c r="AC14" s="671"/>
      <c r="AD14" s="671"/>
      <c r="AE14" s="671"/>
      <c r="AF14" s="671"/>
      <c r="AG14" s="671"/>
      <c r="AH14" s="671"/>
      <c r="AI14" s="671"/>
      <c r="AJ14" s="671"/>
      <c r="AK14" s="671"/>
      <c r="AL14" s="671"/>
      <c r="AM14" s="671"/>
      <c r="AN14" s="671"/>
    </row>
    <row r="15" spans="1:40" s="217" customFormat="1" ht="18.75" thickBot="1">
      <c r="A15" s="671"/>
      <c r="B15" s="550" t="s">
        <v>187</v>
      </c>
      <c r="C15" s="548">
        <f>'Code F Runway &amp; SH (2)'!C12</f>
        <v>44621</v>
      </c>
      <c r="D15" s="554">
        <f>'New Bldg Rates'!L5</f>
        <v>267.26587999999998</v>
      </c>
      <c r="E15" s="1839"/>
      <c r="F15" s="1840"/>
      <c r="G15" s="1840"/>
      <c r="H15" s="1840"/>
      <c r="I15" s="1840"/>
      <c r="J15" s="1840"/>
      <c r="K15" s="1840"/>
      <c r="L15" s="1840"/>
      <c r="M15" s="1840"/>
      <c r="N15" s="1840"/>
      <c r="O15" s="1840"/>
      <c r="P15" s="1840"/>
      <c r="Q15" s="1841"/>
      <c r="R15" s="671"/>
      <c r="S15" s="671"/>
      <c r="T15" s="671"/>
      <c r="U15" s="671"/>
      <c r="V15" s="671"/>
      <c r="W15" s="671"/>
      <c r="X15" s="671"/>
      <c r="Y15" s="671"/>
      <c r="Z15" s="671"/>
      <c r="AA15" s="671"/>
      <c r="AB15" s="671"/>
      <c r="AC15" s="671"/>
      <c r="AD15" s="671"/>
      <c r="AE15" s="671"/>
      <c r="AF15" s="671"/>
      <c r="AG15" s="671"/>
      <c r="AH15" s="671"/>
      <c r="AI15" s="671"/>
      <c r="AJ15" s="671"/>
      <c r="AK15" s="671"/>
      <c r="AL15" s="671"/>
      <c r="AM15" s="671"/>
      <c r="AN15" s="671"/>
    </row>
    <row r="18" spans="1:44" ht="14.45" customHeight="1">
      <c r="A18" s="247"/>
      <c r="B18" s="248"/>
      <c r="C18" s="248"/>
      <c r="D18" s="248"/>
      <c r="E18" s="249"/>
      <c r="F18" s="250" t="s">
        <v>787</v>
      </c>
      <c r="G18" s="251"/>
      <c r="H18" s="1842" t="str">
        <f>'Code C,E &amp; F stands'!$H$16</f>
        <v>Estimated Rates</v>
      </c>
      <c r="I18" s="1843"/>
      <c r="J18" s="1843"/>
      <c r="K18" s="1843"/>
      <c r="L18" s="1843"/>
      <c r="M18" s="1843"/>
      <c r="N18" s="1844"/>
      <c r="P18" s="247"/>
      <c r="Q18" s="248"/>
      <c r="R18" s="248"/>
      <c r="S18" s="248"/>
      <c r="T18" s="380"/>
      <c r="U18" s="249"/>
      <c r="V18" s="250" t="s">
        <v>787</v>
      </c>
      <c r="W18" s="251"/>
      <c r="X18" s="1842" t="str">
        <f>'Code C,E &amp; F stands'!$H$16</f>
        <v>Estimated Rates</v>
      </c>
      <c r="Y18" s="1843"/>
      <c r="Z18" s="1843"/>
      <c r="AA18" s="1843"/>
      <c r="AB18" s="1843"/>
      <c r="AC18" s="1844"/>
      <c r="AE18" s="247"/>
      <c r="AF18" s="248"/>
      <c r="AG18" s="248"/>
      <c r="AH18" s="248"/>
      <c r="AI18" s="380"/>
      <c r="AJ18" s="249"/>
      <c r="AK18" s="250" t="s">
        <v>787</v>
      </c>
      <c r="AL18" s="251"/>
      <c r="AM18" s="1842" t="str">
        <f>'Code C,E &amp; F stands'!$H$16</f>
        <v>Estimated Rates</v>
      </c>
      <c r="AN18" s="1843"/>
      <c r="AO18" s="1843"/>
      <c r="AP18" s="1843"/>
      <c r="AQ18" s="1843"/>
      <c r="AR18" s="1844"/>
    </row>
    <row r="19" spans="1:44">
      <c r="A19" s="1985" t="s">
        <v>838</v>
      </c>
      <c r="B19" s="1986"/>
      <c r="C19" s="1986"/>
      <c r="D19" s="1986"/>
      <c r="E19" s="1987"/>
      <c r="F19" s="255"/>
      <c r="G19" s="256"/>
      <c r="H19" s="1845"/>
      <c r="I19" s="1846"/>
      <c r="J19" s="1846"/>
      <c r="K19" s="1846"/>
      <c r="L19" s="1846"/>
      <c r="M19" s="1846"/>
      <c r="N19" s="1847"/>
      <c r="P19" s="1985" t="s">
        <v>789</v>
      </c>
      <c r="Q19" s="1986"/>
      <c r="R19" s="1986"/>
      <c r="S19" s="1986"/>
      <c r="T19" s="1986"/>
      <c r="U19" s="1987"/>
      <c r="V19" s="255"/>
      <c r="W19" s="256"/>
      <c r="X19" s="1845"/>
      <c r="Y19" s="1846"/>
      <c r="Z19" s="1846"/>
      <c r="AA19" s="1846"/>
      <c r="AB19" s="1846"/>
      <c r="AC19" s="1847"/>
      <c r="AE19" s="1985" t="s">
        <v>839</v>
      </c>
      <c r="AF19" s="1986"/>
      <c r="AG19" s="1986"/>
      <c r="AH19" s="1986"/>
      <c r="AI19" s="1986"/>
      <c r="AJ19" s="1987"/>
      <c r="AK19" s="255"/>
      <c r="AL19" s="256"/>
      <c r="AM19" s="1845"/>
      <c r="AN19" s="1846"/>
      <c r="AO19" s="1846"/>
      <c r="AP19" s="1846"/>
      <c r="AQ19" s="1846"/>
      <c r="AR19" s="1847"/>
    </row>
    <row r="20" spans="1:44">
      <c r="A20" s="1985"/>
      <c r="B20" s="1986"/>
      <c r="C20" s="1986"/>
      <c r="D20" s="1986"/>
      <c r="E20" s="1987"/>
      <c r="F20" s="255"/>
      <c r="G20" s="256"/>
      <c r="H20" s="1826" t="str">
        <f>'Code C,E &amp; F stands'!$H$18</f>
        <v>Base Date Jan '09</v>
      </c>
      <c r="I20" s="1827"/>
      <c r="J20" s="676"/>
      <c r="K20" s="1828" t="s">
        <v>571</v>
      </c>
      <c r="L20" s="1827"/>
      <c r="M20" s="1829">
        <f>'Code F Runway &amp; SH (2)'!L19</f>
        <v>44621</v>
      </c>
      <c r="N20" s="1830"/>
      <c r="P20" s="1985"/>
      <c r="Q20" s="1986"/>
      <c r="R20" s="1986"/>
      <c r="S20" s="1986"/>
      <c r="T20" s="1986"/>
      <c r="U20" s="1987"/>
      <c r="V20" s="255"/>
      <c r="W20" s="256"/>
      <c r="X20" s="1826" t="str">
        <f>'Code C,E &amp; F stands'!$H$18</f>
        <v>Base Date Jan '09</v>
      </c>
      <c r="Y20" s="1827"/>
      <c r="Z20" s="1828" t="s">
        <v>571</v>
      </c>
      <c r="AA20" s="1827"/>
      <c r="AB20" s="1829">
        <f>M20</f>
        <v>44621</v>
      </c>
      <c r="AC20" s="1830"/>
      <c r="AE20" s="1985"/>
      <c r="AF20" s="1986"/>
      <c r="AG20" s="1986"/>
      <c r="AH20" s="1986"/>
      <c r="AI20" s="1986"/>
      <c r="AJ20" s="1987"/>
      <c r="AK20" s="255"/>
      <c r="AL20" s="256"/>
      <c r="AM20" s="1826" t="str">
        <f>'Code C,E &amp; F stands'!$H$18</f>
        <v>Base Date Jan '09</v>
      </c>
      <c r="AN20" s="1827"/>
      <c r="AO20" s="1828" t="s">
        <v>571</v>
      </c>
      <c r="AP20" s="1827"/>
      <c r="AQ20" s="1829">
        <f>M20</f>
        <v>44621</v>
      </c>
      <c r="AR20" s="1830"/>
    </row>
    <row r="21" spans="1:44">
      <c r="A21" s="261"/>
      <c r="B21" s="262"/>
      <c r="C21" s="263"/>
      <c r="D21" s="263"/>
      <c r="E21" s="264"/>
      <c r="F21" s="265"/>
      <c r="G21" s="266"/>
      <c r="H21" s="433"/>
      <c r="I21" s="268"/>
      <c r="J21" s="260"/>
      <c r="K21" s="1828"/>
      <c r="L21" s="1827"/>
      <c r="M21" s="1828"/>
      <c r="N21" s="1827"/>
      <c r="P21" s="261"/>
      <c r="Q21" s="262"/>
      <c r="R21" s="263"/>
      <c r="S21" s="263"/>
      <c r="T21" s="434"/>
      <c r="U21" s="264"/>
      <c r="V21" s="265"/>
      <c r="W21" s="266"/>
      <c r="X21" s="433"/>
      <c r="Y21" s="268"/>
      <c r="Z21" s="1828"/>
      <c r="AA21" s="1827"/>
      <c r="AB21" s="1828"/>
      <c r="AC21" s="1827"/>
      <c r="AE21" s="261"/>
      <c r="AF21" s="262"/>
      <c r="AG21" s="263"/>
      <c r="AH21" s="263"/>
      <c r="AI21" s="434"/>
      <c r="AJ21" s="264"/>
      <c r="AK21" s="265"/>
      <c r="AL21" s="266"/>
      <c r="AM21" s="433"/>
      <c r="AN21" s="268"/>
      <c r="AO21" s="1828"/>
      <c r="AP21" s="1827"/>
      <c r="AQ21" s="1828"/>
      <c r="AR21" s="1827"/>
    </row>
    <row r="22" spans="1:44">
      <c r="A22" s="336"/>
      <c r="C22" s="231">
        <v>25</v>
      </c>
      <c r="D22" s="231" t="s">
        <v>791</v>
      </c>
      <c r="E22" s="337"/>
      <c r="F22" s="272"/>
      <c r="G22" s="273"/>
      <c r="H22" s="435"/>
      <c r="I22" s="275"/>
      <c r="K22" s="362"/>
      <c r="L22" s="371"/>
      <c r="M22" s="363"/>
      <c r="N22" s="371"/>
      <c r="P22" s="336"/>
      <c r="R22" s="237"/>
      <c r="S22" s="231">
        <v>17.5</v>
      </c>
      <c r="T22" s="231" t="s">
        <v>792</v>
      </c>
      <c r="U22" s="337"/>
      <c r="V22" s="272"/>
      <c r="W22" s="273"/>
      <c r="X22" s="276"/>
      <c r="Y22" s="275"/>
      <c r="Z22" s="362"/>
      <c r="AA22" s="371"/>
      <c r="AB22" s="363"/>
      <c r="AC22" s="371"/>
      <c r="AE22" s="336"/>
      <c r="AG22" s="237"/>
      <c r="AH22" s="231">
        <v>27.5</v>
      </c>
      <c r="AI22" s="231" t="s">
        <v>792</v>
      </c>
      <c r="AJ22" s="337"/>
      <c r="AK22" s="272"/>
      <c r="AL22" s="273"/>
      <c r="AM22" s="276"/>
      <c r="AN22" s="275"/>
      <c r="AO22" s="362"/>
      <c r="AP22" s="371"/>
      <c r="AQ22" s="363"/>
      <c r="AR22" s="371"/>
    </row>
    <row r="23" spans="1:44">
      <c r="A23" s="336"/>
      <c r="E23" s="339"/>
      <c r="F23" s="279"/>
      <c r="G23" s="280"/>
      <c r="H23" s="436"/>
      <c r="I23" s="275"/>
      <c r="K23" s="438"/>
      <c r="L23" s="275"/>
      <c r="N23" s="275"/>
      <c r="P23" s="336"/>
      <c r="T23" s="361"/>
      <c r="U23" s="339"/>
      <c r="V23" s="279"/>
      <c r="W23" s="280"/>
      <c r="X23" s="282"/>
      <c r="Y23" s="275"/>
      <c r="Z23" s="438"/>
      <c r="AA23" s="275"/>
      <c r="AC23" s="275"/>
      <c r="AE23" s="336"/>
      <c r="AI23" s="361"/>
      <c r="AJ23" s="339"/>
      <c r="AK23" s="279"/>
      <c r="AL23" s="280"/>
      <c r="AM23" s="282"/>
      <c r="AN23" s="275"/>
      <c r="AO23" s="438"/>
      <c r="AP23" s="275"/>
      <c r="AR23" s="275"/>
    </row>
    <row r="24" spans="1:44" ht="15">
      <c r="A24" s="277" t="s">
        <v>794</v>
      </c>
      <c r="E24" s="339"/>
      <c r="F24" s="279"/>
      <c r="G24" s="280"/>
      <c r="H24" s="436"/>
      <c r="I24" s="275"/>
      <c r="K24" s="572"/>
      <c r="L24" s="575"/>
      <c r="M24" s="573"/>
      <c r="N24" s="275"/>
      <c r="P24" s="277" t="s">
        <v>794</v>
      </c>
      <c r="T24" s="361"/>
      <c r="U24" s="339"/>
      <c r="V24" s="279"/>
      <c r="W24" s="280"/>
      <c r="X24" s="282"/>
      <c r="Y24" s="275"/>
      <c r="Z24" s="572"/>
      <c r="AA24" s="575"/>
      <c r="AB24" s="573"/>
      <c r="AC24" s="275"/>
      <c r="AE24" s="277" t="s">
        <v>794</v>
      </c>
      <c r="AI24" s="361"/>
      <c r="AJ24" s="339"/>
      <c r="AK24" s="279"/>
      <c r="AL24" s="280"/>
      <c r="AM24" s="282"/>
      <c r="AN24" s="275"/>
      <c r="AO24" s="572"/>
      <c r="AP24" s="575"/>
      <c r="AQ24" s="573"/>
      <c r="AR24" s="275"/>
    </row>
    <row r="25" spans="1:44" ht="15">
      <c r="A25" s="283" t="s">
        <v>574</v>
      </c>
      <c r="B25" s="231" t="s">
        <v>575</v>
      </c>
      <c r="E25" s="339"/>
      <c r="F25" s="279">
        <v>5.93</v>
      </c>
      <c r="G25" s="280"/>
      <c r="H25" s="436">
        <v>8</v>
      </c>
      <c r="I25" s="275"/>
      <c r="K25" s="572">
        <f>(H25*(217/145-1))+H25</f>
        <v>11.972413793103449</v>
      </c>
      <c r="L25" s="575"/>
      <c r="M25" s="573">
        <f>(K25*($D$15/$D$14-1))+K25</f>
        <v>14.705044614604462</v>
      </c>
      <c r="N25" s="562"/>
      <c r="P25" s="283" t="s">
        <v>574</v>
      </c>
      <c r="Q25" s="231" t="s">
        <v>795</v>
      </c>
      <c r="U25" s="341"/>
      <c r="V25" s="342"/>
      <c r="W25" s="342"/>
      <c r="X25" s="437"/>
      <c r="Y25" s="275"/>
      <c r="Z25" s="572"/>
      <c r="AA25" s="575"/>
      <c r="AB25" s="573"/>
      <c r="AC25" s="562"/>
      <c r="AE25" s="283" t="s">
        <v>574</v>
      </c>
      <c r="AF25" s="231" t="s">
        <v>798</v>
      </c>
      <c r="AI25" s="361"/>
      <c r="AJ25" s="339"/>
      <c r="AK25" s="279"/>
      <c r="AL25" s="280"/>
      <c r="AM25" s="282">
        <v>35</v>
      </c>
      <c r="AN25" s="275"/>
      <c r="AO25" s="572">
        <f>(AM25*(217/145-1))+AM25</f>
        <v>52.379310344827587</v>
      </c>
      <c r="AP25" s="575"/>
      <c r="AQ25" s="573">
        <f t="shared" ref="AQ25" si="0">(AO25*($D$15/$D$14-1))+AO25</f>
        <v>64.334570188894517</v>
      </c>
      <c r="AR25" s="562"/>
    </row>
    <row r="26" spans="1:44" ht="15">
      <c r="A26" s="283" t="s">
        <v>574</v>
      </c>
      <c r="B26" s="231" t="s">
        <v>637</v>
      </c>
      <c r="E26" s="339"/>
      <c r="F26" s="279">
        <f>104.45+2.92</f>
        <v>107.37</v>
      </c>
      <c r="G26" s="280"/>
      <c r="H26" s="436">
        <f>+F26</f>
        <v>107.37</v>
      </c>
      <c r="I26" s="275"/>
      <c r="K26" s="572">
        <f t="shared" ref="K26:K36" si="1">(H26*(217/145-1))+H26</f>
        <v>160.68475862068968</v>
      </c>
      <c r="L26" s="575"/>
      <c r="M26" s="573">
        <f t="shared" ref="M26:M36" si="2">(K26*($D$15/$D$14-1))+K26</f>
        <v>197.36008003376017</v>
      </c>
      <c r="N26" s="562"/>
      <c r="P26" s="438"/>
      <c r="Q26" s="439" t="s">
        <v>797</v>
      </c>
      <c r="R26" s="440"/>
      <c r="S26" s="440"/>
      <c r="T26" s="440"/>
      <c r="U26" s="441"/>
      <c r="V26" s="442">
        <v>208.17</v>
      </c>
      <c r="W26" s="280"/>
      <c r="X26" s="436">
        <f>+V26*1.05</f>
        <v>218.57849999999999</v>
      </c>
      <c r="Y26" s="275"/>
      <c r="Z26" s="572">
        <f>(X26*(217/145-1))+X26</f>
        <v>327.11403103448276</v>
      </c>
      <c r="AA26" s="575"/>
      <c r="AB26" s="573">
        <f t="shared" ref="AB26:AB35" si="3">(Z26*($D$15/$D$14-1))+Z26</f>
        <v>401.77582428666517</v>
      </c>
      <c r="AC26" s="562"/>
      <c r="AE26" s="283" t="s">
        <v>574</v>
      </c>
      <c r="AF26" s="231" t="s">
        <v>587</v>
      </c>
      <c r="AI26" s="361"/>
      <c r="AJ26" s="285"/>
      <c r="AK26" s="279"/>
      <c r="AL26" s="280"/>
      <c r="AM26" s="282">
        <f>'Code C,E &amp; F stands'!$H$31</f>
        <v>10</v>
      </c>
      <c r="AN26" s="275"/>
      <c r="AO26" s="572">
        <f>(AM26*(217/145-1))+AM26</f>
        <v>14.965517241379311</v>
      </c>
      <c r="AP26" s="575"/>
      <c r="AQ26" s="573">
        <f t="shared" ref="AQ26:AQ27" si="4">(AO26*($D$15/$D$14-1))+AO26</f>
        <v>18.381305768255579</v>
      </c>
      <c r="AR26" s="562"/>
    </row>
    <row r="27" spans="1:44" ht="15">
      <c r="A27" s="283" t="s">
        <v>574</v>
      </c>
      <c r="B27" s="231" t="s">
        <v>796</v>
      </c>
      <c r="E27" s="339"/>
      <c r="F27" s="279">
        <f>166.39+6.11+2.92</f>
        <v>175.42</v>
      </c>
      <c r="G27" s="280"/>
      <c r="H27" s="436">
        <f>+F27/80*90</f>
        <v>197.34749999999997</v>
      </c>
      <c r="I27" s="275"/>
      <c r="K27" s="572">
        <f t="shared" si="1"/>
        <v>295.34074137931032</v>
      </c>
      <c r="L27" s="575"/>
      <c r="M27" s="573">
        <f t="shared" si="2"/>
        <v>362.75047401008169</v>
      </c>
      <c r="N27" s="562"/>
      <c r="P27" s="283" t="s">
        <v>574</v>
      </c>
      <c r="Q27" s="231" t="s">
        <v>799</v>
      </c>
      <c r="T27" s="361"/>
      <c r="U27" s="285">
        <f>E28</f>
        <v>350</v>
      </c>
      <c r="V27" s="279">
        <f>345.66*0.15</f>
        <v>51.849000000000004</v>
      </c>
      <c r="W27" s="280"/>
      <c r="X27" s="436">
        <f>U27*0.125</f>
        <v>43.75</v>
      </c>
      <c r="Y27" s="275"/>
      <c r="Z27" s="572">
        <f t="shared" ref="Z27:Z35" si="5">(X27*(217/145-1))+X27</f>
        <v>65.474137931034491</v>
      </c>
      <c r="AA27" s="575"/>
      <c r="AB27" s="573">
        <f t="shared" si="3"/>
        <v>80.418212736118164</v>
      </c>
      <c r="AC27" s="562"/>
      <c r="AE27" s="283" t="s">
        <v>574</v>
      </c>
      <c r="AF27" s="231" t="s">
        <v>590</v>
      </c>
      <c r="AI27" s="361"/>
      <c r="AJ27" s="339"/>
      <c r="AK27" s="288">
        <f>11544.79/10000</f>
        <v>1.154479</v>
      </c>
      <c r="AL27" s="289"/>
      <c r="AM27" s="443">
        <f>+AK27*1.1</f>
        <v>1.2699269000000002</v>
      </c>
      <c r="AN27" s="291"/>
      <c r="AO27" s="578">
        <f t="shared" ref="AO27" si="6">(AM27*(217/145-1))+AM27</f>
        <v>1.9005112917241385</v>
      </c>
      <c r="AP27" s="576"/>
      <c r="AQ27" s="577">
        <f t="shared" si="4"/>
        <v>2.3342914652232931</v>
      </c>
      <c r="AR27" s="565"/>
    </row>
    <row r="28" spans="1:44" ht="15">
      <c r="A28" s="283" t="s">
        <v>574</v>
      </c>
      <c r="B28" s="231" t="s">
        <v>799</v>
      </c>
      <c r="E28" s="285">
        <f>'Code F,C Taxilane &amp; Serv Roads'!AF26</f>
        <v>350</v>
      </c>
      <c r="F28" s="279">
        <f>345.66*0.15</f>
        <v>51.849000000000004</v>
      </c>
      <c r="G28" s="280"/>
      <c r="H28" s="436">
        <f>E28*0.125</f>
        <v>43.75</v>
      </c>
      <c r="I28" s="275"/>
      <c r="K28" s="572">
        <f t="shared" si="1"/>
        <v>65.474137931034491</v>
      </c>
      <c r="L28" s="575"/>
      <c r="M28" s="573">
        <f t="shared" si="2"/>
        <v>80.418212736118164</v>
      </c>
      <c r="N28" s="562"/>
      <c r="P28" s="283" t="s">
        <v>574</v>
      </c>
      <c r="Q28" s="231" t="s">
        <v>802</v>
      </c>
      <c r="T28" s="361"/>
      <c r="U28" s="285">
        <f>'Code C,E &amp; F stands'!E28</f>
        <v>360</v>
      </c>
      <c r="V28" s="279">
        <f>146.85*0.2+265.11*0.2</f>
        <v>82.39200000000001</v>
      </c>
      <c r="W28" s="280"/>
      <c r="X28" s="436">
        <f>U28*0.125</f>
        <v>45</v>
      </c>
      <c r="Y28" s="275"/>
      <c r="Z28" s="572">
        <f t="shared" si="5"/>
        <v>67.344827586206904</v>
      </c>
      <c r="AA28" s="575"/>
      <c r="AB28" s="573">
        <f t="shared" si="3"/>
        <v>82.715875957150104</v>
      </c>
      <c r="AC28" s="562"/>
      <c r="AE28" s="438"/>
      <c r="AH28" s="235" t="s">
        <v>591</v>
      </c>
      <c r="AI28" s="361"/>
      <c r="AJ28" s="339"/>
      <c r="AK28" s="293" t="e">
        <f>SUM(#REF!)</f>
        <v>#REF!</v>
      </c>
      <c r="AL28" s="294" t="s">
        <v>272</v>
      </c>
      <c r="AM28" s="444">
        <f>SUM(AM23:AM27)</f>
        <v>46.269926900000002</v>
      </c>
      <c r="AN28" s="296" t="s">
        <v>592</v>
      </c>
      <c r="AO28" s="444">
        <f t="shared" ref="AO28" si="7">SUM(AO23:AO27)</f>
        <v>69.245338877931047</v>
      </c>
      <c r="AP28" s="296" t="s">
        <v>592</v>
      </c>
      <c r="AQ28" s="444">
        <f t="shared" ref="AQ28" si="8">SUM(AQ23:AQ27)</f>
        <v>85.050167422373391</v>
      </c>
      <c r="AR28" s="296" t="s">
        <v>592</v>
      </c>
    </row>
    <row r="29" spans="1:44" ht="15">
      <c r="A29" s="283" t="s">
        <v>574</v>
      </c>
      <c r="B29" s="231" t="s">
        <v>801</v>
      </c>
      <c r="E29" s="285">
        <f>'Code C,E &amp; F stands'!E27</f>
        <v>375</v>
      </c>
      <c r="F29" s="279">
        <f>146.85*0.15+265.11*0.15</f>
        <v>61.793999999999997</v>
      </c>
      <c r="G29" s="280"/>
      <c r="H29" s="436">
        <f>E29*0.175</f>
        <v>65.625</v>
      </c>
      <c r="I29" s="275"/>
      <c r="K29" s="572">
        <f t="shared" si="1"/>
        <v>98.21120689655173</v>
      </c>
      <c r="L29" s="575"/>
      <c r="M29" s="573">
        <f t="shared" si="2"/>
        <v>120.62731910417723</v>
      </c>
      <c r="N29" s="562"/>
      <c r="P29" s="283" t="s">
        <v>574</v>
      </c>
      <c r="Q29" s="231" t="s">
        <v>804</v>
      </c>
      <c r="T29" s="361"/>
      <c r="U29" s="285">
        <v>220</v>
      </c>
      <c r="V29" s="279">
        <f>+V31</f>
        <v>25.599</v>
      </c>
      <c r="W29" s="280"/>
      <c r="X29" s="436">
        <f>U29*0.15</f>
        <v>33</v>
      </c>
      <c r="Y29" s="275"/>
      <c r="Z29" s="572">
        <f t="shared" si="5"/>
        <v>49.386206896551727</v>
      </c>
      <c r="AA29" s="575"/>
      <c r="AB29" s="573">
        <f t="shared" si="3"/>
        <v>60.658309035243406</v>
      </c>
      <c r="AC29" s="562"/>
      <c r="AE29" s="438"/>
      <c r="AI29" s="361"/>
      <c r="AJ29" s="339"/>
      <c r="AK29" s="279"/>
      <c r="AL29" s="280"/>
      <c r="AM29" s="461"/>
      <c r="AN29" s="275"/>
      <c r="AO29" s="461"/>
      <c r="AP29" s="275"/>
      <c r="AQ29" s="461"/>
      <c r="AR29" s="275"/>
    </row>
    <row r="30" spans="1:44" ht="15">
      <c r="A30" s="283" t="s">
        <v>574</v>
      </c>
      <c r="B30" s="231" t="s">
        <v>803</v>
      </c>
      <c r="E30" s="285">
        <f>E29</f>
        <v>375</v>
      </c>
      <c r="F30" s="279">
        <f>146.85*0.15+265.11*0.15</f>
        <v>61.793999999999997</v>
      </c>
      <c r="G30" s="280"/>
      <c r="H30" s="436">
        <f>E30*0.2</f>
        <v>75</v>
      </c>
      <c r="I30" s="275"/>
      <c r="K30" s="572">
        <f t="shared" si="1"/>
        <v>112.24137931034483</v>
      </c>
      <c r="L30" s="575"/>
      <c r="M30" s="573">
        <f t="shared" si="2"/>
        <v>137.85979326191682</v>
      </c>
      <c r="N30" s="562"/>
      <c r="P30" s="283" t="s">
        <v>574</v>
      </c>
      <c r="Q30" s="231" t="s">
        <v>806</v>
      </c>
      <c r="T30" s="361"/>
      <c r="U30" s="285">
        <f>E31</f>
        <v>190</v>
      </c>
      <c r="V30" s="279">
        <f>170.66*0.15</f>
        <v>25.599</v>
      </c>
      <c r="W30" s="280"/>
      <c r="X30" s="436">
        <f>U30*0.115</f>
        <v>21.85</v>
      </c>
      <c r="Y30" s="275"/>
      <c r="Z30" s="572">
        <f t="shared" si="5"/>
        <v>32.699655172413799</v>
      </c>
      <c r="AA30" s="575"/>
      <c r="AB30" s="573">
        <f t="shared" si="3"/>
        <v>40.163153103638443</v>
      </c>
      <c r="AC30" s="562"/>
      <c r="AE30" s="247"/>
      <c r="AF30" s="248"/>
      <c r="AG30" s="248"/>
      <c r="AH30" s="248"/>
      <c r="AI30" s="448"/>
      <c r="AJ30" s="449"/>
      <c r="AK30" s="310"/>
      <c r="AL30" s="311"/>
      <c r="AM30" s="312"/>
      <c r="AN30" s="252"/>
      <c r="AO30" s="312"/>
      <c r="AP30" s="252"/>
      <c r="AQ30" s="312"/>
      <c r="AR30" s="252"/>
    </row>
    <row r="31" spans="1:44" ht="15">
      <c r="A31" s="283" t="s">
        <v>574</v>
      </c>
      <c r="B31" s="231" t="s">
        <v>805</v>
      </c>
      <c r="E31" s="285">
        <f>'Code C,E &amp; F stands'!E29</f>
        <v>190</v>
      </c>
      <c r="F31" s="279">
        <f>+F32</f>
        <v>27</v>
      </c>
      <c r="G31" s="280"/>
      <c r="H31" s="436">
        <f>E31*0.15</f>
        <v>28.5</v>
      </c>
      <c r="I31" s="275"/>
      <c r="K31" s="572">
        <f t="shared" si="1"/>
        <v>42.651724137931041</v>
      </c>
      <c r="L31" s="575"/>
      <c r="M31" s="573">
        <f t="shared" si="2"/>
        <v>52.386721439528401</v>
      </c>
      <c r="N31" s="562"/>
      <c r="P31" s="283" t="s">
        <v>574</v>
      </c>
      <c r="Q31" s="231" t="s">
        <v>808</v>
      </c>
      <c r="T31" s="361"/>
      <c r="U31" s="285">
        <f>E32</f>
        <v>190</v>
      </c>
      <c r="V31" s="279">
        <f>170.66*0.15</f>
        <v>25.599</v>
      </c>
      <c r="W31" s="280"/>
      <c r="X31" s="436">
        <f>U31*0.2</f>
        <v>38</v>
      </c>
      <c r="Y31" s="275"/>
      <c r="Z31" s="572">
        <f t="shared" si="5"/>
        <v>56.868965517241385</v>
      </c>
      <c r="AA31" s="575"/>
      <c r="AB31" s="573">
        <f t="shared" si="3"/>
        <v>69.848961919371206</v>
      </c>
      <c r="AC31" s="562"/>
      <c r="AE31" s="349"/>
      <c r="AF31" s="450" t="s">
        <v>438</v>
      </c>
      <c r="AG31" s="450"/>
      <c r="AH31" s="450"/>
      <c r="AI31" s="451"/>
      <c r="AJ31" s="452"/>
      <c r="AK31" s="453" t="e">
        <f>SUM(AK28:AK30)</f>
        <v>#REF!</v>
      </c>
      <c r="AL31" s="454" t="s">
        <v>272</v>
      </c>
      <c r="AM31" s="455">
        <f>ROUND(SUM(AM28:AM30),-1)</f>
        <v>50</v>
      </c>
      <c r="AN31" s="456" t="s">
        <v>272</v>
      </c>
      <c r="AO31" s="455">
        <f t="shared" ref="AO31" si="9">ROUND(SUM(AO28:AO30),-1)</f>
        <v>70</v>
      </c>
      <c r="AP31" s="456" t="s">
        <v>272</v>
      </c>
      <c r="AQ31" s="455">
        <f t="shared" ref="AQ31" si="10">ROUND(SUM(AQ28:AQ30),-1)</f>
        <v>90</v>
      </c>
      <c r="AR31" s="456" t="s">
        <v>272</v>
      </c>
    </row>
    <row r="32" spans="1:44" ht="15">
      <c r="A32" s="283" t="s">
        <v>574</v>
      </c>
      <c r="B32" s="231" t="s">
        <v>807</v>
      </c>
      <c r="E32" s="285">
        <f>E31</f>
        <v>190</v>
      </c>
      <c r="F32" s="279">
        <f>180*0.15</f>
        <v>27</v>
      </c>
      <c r="G32" s="280"/>
      <c r="H32" s="436">
        <f>E32*0.3</f>
        <v>57</v>
      </c>
      <c r="I32" s="275"/>
      <c r="K32" s="572">
        <f t="shared" si="1"/>
        <v>85.303448275862081</v>
      </c>
      <c r="L32" s="575"/>
      <c r="M32" s="573">
        <f t="shared" si="2"/>
        <v>104.7734428790568</v>
      </c>
      <c r="N32" s="562"/>
      <c r="P32" s="283" t="s">
        <v>574</v>
      </c>
      <c r="Q32" s="231" t="s">
        <v>807</v>
      </c>
      <c r="U32" s="285">
        <f>E32</f>
        <v>190</v>
      </c>
      <c r="V32" s="280"/>
      <c r="W32" s="445">
        <f>U32*0.3</f>
        <v>57</v>
      </c>
      <c r="X32" s="282">
        <f>U32*0.3</f>
        <v>57</v>
      </c>
      <c r="Y32" s="275"/>
      <c r="Z32" s="572">
        <f t="shared" si="5"/>
        <v>85.303448275862081</v>
      </c>
      <c r="AA32" s="575"/>
      <c r="AB32" s="573">
        <f t="shared" si="3"/>
        <v>104.7734428790568</v>
      </c>
      <c r="AC32" s="562"/>
      <c r="AE32" s="457"/>
      <c r="AF32" s="262"/>
      <c r="AG32" s="262"/>
      <c r="AH32" s="262"/>
      <c r="AI32" s="458"/>
      <c r="AJ32" s="459"/>
      <c r="AK32" s="265"/>
      <c r="AL32" s="266"/>
      <c r="AM32" s="325"/>
      <c r="AN32" s="268"/>
      <c r="AO32" s="325"/>
      <c r="AP32" s="268"/>
      <c r="AQ32" s="325"/>
      <c r="AR32" s="268"/>
    </row>
    <row r="33" spans="1:40" ht="15">
      <c r="A33" s="283" t="s">
        <v>574</v>
      </c>
      <c r="B33" s="231" t="s">
        <v>587</v>
      </c>
      <c r="E33" s="285"/>
      <c r="F33" s="279"/>
      <c r="G33" s="280"/>
      <c r="H33" s="282">
        <f>'Code C,E &amp; F stands'!$H$31</f>
        <v>10</v>
      </c>
      <c r="I33" s="275"/>
      <c r="K33" s="572">
        <f t="shared" si="1"/>
        <v>14.965517241379311</v>
      </c>
      <c r="L33" s="575"/>
      <c r="M33" s="573">
        <f t="shared" si="2"/>
        <v>18.381305768255579</v>
      </c>
      <c r="N33" s="562"/>
      <c r="P33" s="283" t="s">
        <v>574</v>
      </c>
      <c r="Q33" s="231" t="s">
        <v>589</v>
      </c>
      <c r="T33" s="361"/>
      <c r="U33" s="285">
        <f>E35</f>
        <v>55</v>
      </c>
      <c r="V33" s="279">
        <f>(1*45)*(0.65)</f>
        <v>29.25</v>
      </c>
      <c r="W33" s="280"/>
      <c r="X33" s="436">
        <f>U33*(0.05+0.125+0.15+0.15+0.115)</f>
        <v>32.449999999999996</v>
      </c>
      <c r="Y33" s="275"/>
      <c r="Z33" s="572">
        <f t="shared" si="5"/>
        <v>48.563103448275861</v>
      </c>
      <c r="AA33" s="575"/>
      <c r="AB33" s="573">
        <f t="shared" si="3"/>
        <v>59.647337217989346</v>
      </c>
      <c r="AC33" s="562"/>
    </row>
    <row r="34" spans="1:40" ht="15">
      <c r="A34" s="283" t="s">
        <v>574</v>
      </c>
      <c r="B34" s="231" t="s">
        <v>588</v>
      </c>
      <c r="E34" s="339"/>
      <c r="F34" s="279">
        <f>2158863/(19774+48298+60941)</f>
        <v>16.733685752598575</v>
      </c>
      <c r="G34" s="280"/>
      <c r="H34" s="436">
        <f>'Code C,E &amp; F stands'!H32</f>
        <v>17.570370040228504</v>
      </c>
      <c r="I34" s="275"/>
      <c r="K34" s="572">
        <f t="shared" si="1"/>
        <v>26.294967577445419</v>
      </c>
      <c r="L34" s="575"/>
      <c r="M34" s="573">
        <f t="shared" si="2"/>
        <v>32.296634417083723</v>
      </c>
      <c r="N34" s="562"/>
      <c r="P34" s="283" t="s">
        <v>574</v>
      </c>
      <c r="Q34" s="231" t="s">
        <v>587</v>
      </c>
      <c r="T34" s="361"/>
      <c r="U34" s="285"/>
      <c r="V34" s="279"/>
      <c r="W34" s="280"/>
      <c r="X34" s="282">
        <f>'Code C,E &amp; F stands'!$H$31</f>
        <v>10</v>
      </c>
      <c r="Y34" s="275"/>
      <c r="Z34" s="572">
        <f t="shared" si="5"/>
        <v>14.965517241379311</v>
      </c>
      <c r="AA34" s="575"/>
      <c r="AB34" s="573">
        <f t="shared" si="3"/>
        <v>18.381305768255579</v>
      </c>
      <c r="AC34" s="562"/>
    </row>
    <row r="35" spans="1:40" ht="15">
      <c r="A35" s="283" t="s">
        <v>574</v>
      </c>
      <c r="B35" s="231" t="s">
        <v>589</v>
      </c>
      <c r="E35" s="285">
        <f>'Code C,E &amp; F stands'!E33</f>
        <v>55</v>
      </c>
      <c r="F35" s="279">
        <f>(1*45)*(0.65+0.08+0.04)</f>
        <v>34.65</v>
      </c>
      <c r="G35" s="280"/>
      <c r="H35" s="436">
        <f>(0.04+0.09+0.125+0.175+0.2+0.15+0.3)*E35</f>
        <v>59.400000000000006</v>
      </c>
      <c r="I35" s="275"/>
      <c r="K35" s="572">
        <f t="shared" si="1"/>
        <v>88.895172413793119</v>
      </c>
      <c r="L35" s="275"/>
      <c r="M35" s="573">
        <f t="shared" si="2"/>
        <v>109.18495626343815</v>
      </c>
      <c r="N35" s="275"/>
      <c r="P35" s="283" t="s">
        <v>574</v>
      </c>
      <c r="Q35" s="231" t="s">
        <v>590</v>
      </c>
      <c r="T35" s="361"/>
      <c r="U35" s="339"/>
      <c r="V35" s="288">
        <f>11544.79/10000</f>
        <v>1.154479</v>
      </c>
      <c r="W35" s="289"/>
      <c r="X35" s="443">
        <f>+V35*1.1</f>
        <v>1.2699269000000002</v>
      </c>
      <c r="Y35" s="291"/>
      <c r="Z35" s="578">
        <f t="shared" si="5"/>
        <v>1.9005112917241385</v>
      </c>
      <c r="AA35" s="291"/>
      <c r="AB35" s="577">
        <f t="shared" si="3"/>
        <v>2.3342914652232931</v>
      </c>
      <c r="AC35" s="291"/>
    </row>
    <row r="36" spans="1:40" ht="15">
      <c r="A36" s="283" t="s">
        <v>574</v>
      </c>
      <c r="B36" s="231" t="s">
        <v>590</v>
      </c>
      <c r="E36" s="339"/>
      <c r="F36" s="288">
        <f>11544.79/10000</f>
        <v>1.154479</v>
      </c>
      <c r="G36" s="289"/>
      <c r="H36" s="443">
        <f>+F36*1.1</f>
        <v>1.2699269000000002</v>
      </c>
      <c r="I36" s="291"/>
      <c r="K36" s="578">
        <f t="shared" si="1"/>
        <v>1.9005112917241385</v>
      </c>
      <c r="L36" s="291"/>
      <c r="M36" s="578">
        <f t="shared" si="2"/>
        <v>2.3342914652232931</v>
      </c>
      <c r="N36" s="291"/>
      <c r="P36" s="438"/>
      <c r="S36" s="235" t="s">
        <v>591</v>
      </c>
      <c r="T36" s="361"/>
      <c r="U36" s="339"/>
      <c r="V36" s="293">
        <f>SUM(V33:V33)</f>
        <v>29.25</v>
      </c>
      <c r="W36" s="294" t="s">
        <v>272</v>
      </c>
      <c r="X36" s="444">
        <f>SUM(X23:X35)</f>
        <v>500.89842689999995</v>
      </c>
      <c r="Y36" s="296" t="s">
        <v>592</v>
      </c>
      <c r="Z36" s="444">
        <f t="shared" ref="Z36" si="11">SUM(Z23:Z35)</f>
        <v>749.62040439517239</v>
      </c>
      <c r="AA36" s="296" t="s">
        <v>592</v>
      </c>
      <c r="AB36" s="444">
        <f t="shared" ref="AB36" si="12">SUM(AB23:AB35)</f>
        <v>920.71671436871156</v>
      </c>
      <c r="AC36" s="296" t="s">
        <v>592</v>
      </c>
      <c r="AE36" s="236"/>
      <c r="AF36" s="236"/>
      <c r="AG36" s="236"/>
      <c r="AH36" s="236"/>
      <c r="AI36" s="236"/>
      <c r="AJ36" s="236"/>
      <c r="AK36" s="236"/>
      <c r="AL36" s="236"/>
      <c r="AM36" s="236"/>
      <c r="AN36" s="236"/>
    </row>
    <row r="37" spans="1:40">
      <c r="A37" s="438"/>
      <c r="B37" s="235" t="s">
        <v>591</v>
      </c>
      <c r="E37" s="339"/>
      <c r="F37" s="293">
        <f>SUM(F35:F35)</f>
        <v>34.65</v>
      </c>
      <c r="G37" s="294" t="s">
        <v>272</v>
      </c>
      <c r="H37" s="444">
        <f>SUM(H25:H36)</f>
        <v>670.83279694022838</v>
      </c>
      <c r="I37" s="296" t="s">
        <v>592</v>
      </c>
      <c r="J37" s="544"/>
      <c r="K37" s="600">
        <f>SUM(K25:K36)</f>
        <v>1003.9359788691697</v>
      </c>
      <c r="L37" s="296" t="s">
        <v>592</v>
      </c>
      <c r="M37" s="444">
        <f>SUM(M25:M36)</f>
        <v>1233.0782759932445</v>
      </c>
      <c r="N37" s="296" t="s">
        <v>592</v>
      </c>
      <c r="P37" s="438"/>
      <c r="T37" s="361"/>
      <c r="U37" s="339"/>
      <c r="V37" s="279"/>
      <c r="W37" s="280"/>
      <c r="X37" s="461"/>
      <c r="Y37" s="275"/>
      <c r="AA37" s="291"/>
      <c r="AC37" s="291"/>
    </row>
    <row r="38" spans="1:40">
      <c r="A38" s="438"/>
      <c r="D38" s="328"/>
      <c r="E38" s="339"/>
      <c r="F38" s="293"/>
      <c r="G38" s="294"/>
      <c r="H38" s="460"/>
      <c r="I38" s="296"/>
      <c r="J38" s="544"/>
      <c r="K38" s="559"/>
      <c r="L38" s="296"/>
      <c r="M38" s="544"/>
      <c r="N38" s="296"/>
      <c r="P38" s="247"/>
      <c r="Q38" s="248"/>
      <c r="R38" s="248"/>
      <c r="S38" s="248"/>
      <c r="T38" s="448"/>
      <c r="U38" s="449"/>
      <c r="V38" s="310"/>
      <c r="W38" s="311"/>
      <c r="X38" s="312"/>
      <c r="Y38" s="252"/>
      <c r="Z38" s="312"/>
      <c r="AA38" s="252"/>
      <c r="AB38" s="312"/>
      <c r="AC38" s="252"/>
    </row>
    <row r="39" spans="1:40">
      <c r="A39" s="277" t="s">
        <v>593</v>
      </c>
      <c r="D39" s="328"/>
      <c r="E39" s="339"/>
      <c r="F39" s="279"/>
      <c r="G39" s="280"/>
      <c r="H39" s="444"/>
      <c r="I39" s="275"/>
      <c r="K39" s="438"/>
      <c r="L39" s="275"/>
      <c r="N39" s="275"/>
      <c r="P39" s="349"/>
      <c r="Q39" s="450" t="s">
        <v>438</v>
      </c>
      <c r="R39" s="450"/>
      <c r="S39" s="450"/>
      <c r="T39" s="451"/>
      <c r="U39" s="452"/>
      <c r="V39" s="453">
        <f>SUM(V36:V38)</f>
        <v>29.25</v>
      </c>
      <c r="W39" s="454" t="s">
        <v>272</v>
      </c>
      <c r="X39" s="455">
        <f>ROUND(SUM(X36:X38),-1)</f>
        <v>500</v>
      </c>
      <c r="Y39" s="456" t="s">
        <v>272</v>
      </c>
      <c r="Z39" s="455">
        <f t="shared" ref="Z39" si="13">ROUND(SUM(Z36:Z38),-1)</f>
        <v>750</v>
      </c>
      <c r="AA39" s="456" t="s">
        <v>272</v>
      </c>
      <c r="AB39" s="455">
        <f t="shared" ref="AB39" si="14">ROUND(SUM(AB36:AB38),-1)</f>
        <v>920</v>
      </c>
      <c r="AC39" s="456" t="s">
        <v>272</v>
      </c>
    </row>
    <row r="40" spans="1:40" ht="15">
      <c r="A40" s="283" t="s">
        <v>574</v>
      </c>
      <c r="B40" s="231" t="s">
        <v>645</v>
      </c>
      <c r="D40" s="328"/>
      <c r="E40" s="339"/>
      <c r="F40" s="279">
        <f>+E43/25</f>
        <v>212.05333333333337</v>
      </c>
      <c r="G40" s="298"/>
      <c r="H40" s="444">
        <f>E43/C22</f>
        <v>212.05333333333337</v>
      </c>
      <c r="I40" s="275"/>
      <c r="K40" s="572">
        <f t="shared" ref="K40" si="15">(H40*(217/145-1))+H40</f>
        <v>317.3487816091955</v>
      </c>
      <c r="L40" s="575"/>
      <c r="M40" s="573">
        <f t="shared" ref="M40" si="16">(K40*($D$15/$D$14-1))+K40</f>
        <v>389.78171591778238</v>
      </c>
      <c r="N40" s="275"/>
      <c r="P40" s="457"/>
      <c r="Q40" s="262"/>
      <c r="R40" s="262"/>
      <c r="S40" s="262"/>
      <c r="T40" s="458"/>
      <c r="U40" s="459"/>
      <c r="V40" s="265"/>
      <c r="W40" s="266"/>
      <c r="X40" s="325"/>
      <c r="Y40" s="268"/>
      <c r="Z40" s="325"/>
      <c r="AA40" s="268"/>
      <c r="AB40" s="325"/>
      <c r="AC40" s="268"/>
    </row>
    <row r="41" spans="1:40">
      <c r="A41" s="283" t="s">
        <v>574</v>
      </c>
      <c r="B41" s="231" t="s">
        <v>596</v>
      </c>
      <c r="C41" s="231">
        <v>2</v>
      </c>
      <c r="D41" s="328">
        <f>2000*1.12</f>
        <v>2240</v>
      </c>
      <c r="E41" s="339">
        <f>+D41*C41</f>
        <v>4480</v>
      </c>
      <c r="F41" s="279"/>
      <c r="G41" s="298"/>
      <c r="H41" s="444"/>
      <c r="I41" s="275"/>
      <c r="K41" s="438"/>
      <c r="L41" s="275"/>
      <c r="N41" s="275"/>
    </row>
    <row r="42" spans="1:40">
      <c r="A42" s="283" t="s">
        <v>574</v>
      </c>
      <c r="B42" s="231" t="s">
        <v>598</v>
      </c>
      <c r="C42" s="471">
        <f>2/30</f>
        <v>6.6666666666666666E-2</v>
      </c>
      <c r="D42" s="328">
        <f>11000*1.12</f>
        <v>12320.000000000002</v>
      </c>
      <c r="E42" s="306">
        <f>+D42*C42</f>
        <v>821.33333333333348</v>
      </c>
      <c r="F42" s="279"/>
      <c r="G42" s="298"/>
      <c r="H42" s="444"/>
      <c r="I42" s="275"/>
      <c r="K42" s="438"/>
      <c r="L42" s="275"/>
      <c r="N42" s="275"/>
    </row>
    <row r="43" spans="1:40">
      <c r="A43" s="438"/>
      <c r="D43" s="328"/>
      <c r="E43" s="339">
        <f>SUM(E41:E42)</f>
        <v>5301.3333333333339</v>
      </c>
      <c r="F43" s="279"/>
      <c r="G43" s="298"/>
      <c r="H43" s="444"/>
      <c r="I43" s="275"/>
      <c r="K43" s="438"/>
      <c r="L43" s="275"/>
      <c r="N43" s="275"/>
    </row>
    <row r="44" spans="1:40" ht="15">
      <c r="A44" s="277" t="s">
        <v>599</v>
      </c>
      <c r="D44" s="328"/>
      <c r="E44" s="339"/>
      <c r="F44" s="279">
        <f>+E48/25</f>
        <v>64.213333333333338</v>
      </c>
      <c r="G44" s="280"/>
      <c r="H44" s="444">
        <f>+E48/C22</f>
        <v>64.213333333333338</v>
      </c>
      <c r="I44" s="275"/>
      <c r="K44" s="572">
        <f t="shared" ref="K44" si="17">(H44*(217/145-1))+H44</f>
        <v>96.098574712643696</v>
      </c>
      <c r="L44" s="575"/>
      <c r="M44" s="573">
        <f t="shared" ref="M44" si="18">(K44*($D$15/$D$14-1))+K44</f>
        <v>118.03249143989183</v>
      </c>
      <c r="N44" s="275"/>
      <c r="P44" s="236"/>
      <c r="Q44" s="236"/>
      <c r="R44" s="236"/>
      <c r="S44" s="236"/>
      <c r="T44" s="236"/>
      <c r="U44" s="236"/>
      <c r="V44" s="236"/>
      <c r="W44" s="236"/>
      <c r="X44" s="236"/>
      <c r="Y44" s="236"/>
      <c r="Z44" s="236"/>
      <c r="AA44" s="236"/>
      <c r="AB44" s="236"/>
      <c r="AC44" s="236"/>
      <c r="AF44" s="472"/>
      <c r="AG44" s="432"/>
    </row>
    <row r="45" spans="1:40">
      <c r="A45" s="438"/>
      <c r="B45" s="231" t="s">
        <v>840</v>
      </c>
      <c r="C45" s="231">
        <v>1</v>
      </c>
      <c r="D45" s="328">
        <f>(100*3+200)*1.12</f>
        <v>560</v>
      </c>
      <c r="E45" s="339">
        <f>+D45*C45</f>
        <v>560</v>
      </c>
      <c r="F45" s="279"/>
      <c r="G45" s="280"/>
      <c r="H45" s="444"/>
      <c r="I45" s="275"/>
      <c r="K45" s="438"/>
      <c r="L45" s="275"/>
      <c r="N45" s="275"/>
    </row>
    <row r="46" spans="1:40">
      <c r="A46" s="438"/>
      <c r="B46" s="231" t="s">
        <v>646</v>
      </c>
      <c r="C46" s="231">
        <v>1</v>
      </c>
      <c r="D46" s="328">
        <f>(100+100)*1.12</f>
        <v>224.00000000000003</v>
      </c>
      <c r="E46" s="300">
        <f>+D46*C46</f>
        <v>224.00000000000003</v>
      </c>
      <c r="F46" s="279"/>
      <c r="G46" s="280"/>
      <c r="H46" s="444"/>
      <c r="I46" s="275"/>
      <c r="K46" s="438"/>
      <c r="L46" s="275"/>
      <c r="N46" s="275"/>
    </row>
    <row r="47" spans="1:40">
      <c r="A47" s="438"/>
      <c r="B47" s="231" t="s">
        <v>604</v>
      </c>
      <c r="C47" s="231">
        <f>2/30</f>
        <v>6.6666666666666666E-2</v>
      </c>
      <c r="D47" s="328">
        <f>11000*1.12</f>
        <v>12320.000000000002</v>
      </c>
      <c r="E47" s="301">
        <f>+D47*C47</f>
        <v>821.33333333333348</v>
      </c>
      <c r="F47" s="279"/>
      <c r="G47" s="280"/>
      <c r="H47" s="444"/>
      <c r="I47" s="275"/>
      <c r="K47" s="438"/>
      <c r="L47" s="275"/>
      <c r="N47" s="275"/>
      <c r="AG47" s="327"/>
    </row>
    <row r="48" spans="1:40">
      <c r="A48" s="438"/>
      <c r="D48" s="328"/>
      <c r="E48" s="339">
        <f>SUM(E45:E47)</f>
        <v>1605.3333333333335</v>
      </c>
      <c r="F48" s="279"/>
      <c r="G48" s="280"/>
      <c r="H48" s="444"/>
      <c r="I48" s="275"/>
      <c r="K48" s="438"/>
      <c r="L48" s="275"/>
      <c r="N48" s="275"/>
    </row>
    <row r="49" spans="1:40" ht="15">
      <c r="A49" s="277" t="s">
        <v>615</v>
      </c>
      <c r="D49" s="328"/>
      <c r="E49" s="339"/>
      <c r="F49" s="279">
        <f>+E51/32.5</f>
        <v>97.902097902097907</v>
      </c>
      <c r="G49" s="280"/>
      <c r="H49" s="444">
        <f>E50/C22</f>
        <v>127.27272727272728</v>
      </c>
      <c r="I49" s="275"/>
      <c r="K49" s="572">
        <f t="shared" ref="K49" si="19">(H49*(217/145-1))+H49</f>
        <v>190.47021943573671</v>
      </c>
      <c r="L49" s="575"/>
      <c r="M49" s="573">
        <f t="shared" ref="M49" si="20">(K49*($D$15/$D$14-1))+K49</f>
        <v>233.94389159598012</v>
      </c>
      <c r="N49" s="275"/>
    </row>
    <row r="50" spans="1:40">
      <c r="A50" s="438"/>
      <c r="B50" s="231" t="s">
        <v>841</v>
      </c>
      <c r="C50" s="237" t="s">
        <v>842</v>
      </c>
      <c r="E50" s="300">
        <f>3500000/1100</f>
        <v>3181.818181818182</v>
      </c>
      <c r="F50" s="279"/>
      <c r="G50" s="280"/>
      <c r="H50" s="444"/>
      <c r="I50" s="275"/>
      <c r="K50" s="438"/>
      <c r="L50" s="275"/>
      <c r="N50" s="275"/>
    </row>
    <row r="51" spans="1:40" ht="12.75" hidden="1" customHeight="1" outlineLevel="1">
      <c r="A51" s="438"/>
      <c r="E51" s="339">
        <f>SUM(E50:E50)</f>
        <v>3181.818181818182</v>
      </c>
      <c r="F51" s="279"/>
      <c r="G51" s="280"/>
      <c r="H51" s="444"/>
      <c r="I51" s="275"/>
      <c r="K51" s="438"/>
      <c r="L51" s="275"/>
      <c r="N51" s="275"/>
    </row>
    <row r="52" spans="1:40" collapsed="1">
      <c r="A52" s="462"/>
      <c r="B52" s="347"/>
      <c r="C52" s="347"/>
      <c r="D52" s="347"/>
      <c r="E52" s="446"/>
      <c r="F52" s="288"/>
      <c r="G52" s="289"/>
      <c r="H52" s="463"/>
      <c r="I52" s="291"/>
      <c r="K52" s="462"/>
      <c r="L52" s="291"/>
      <c r="M52" s="347"/>
      <c r="N52" s="291"/>
    </row>
    <row r="53" spans="1:40">
      <c r="A53" s="464"/>
      <c r="B53" s="260"/>
      <c r="C53" s="260"/>
      <c r="D53" s="260"/>
      <c r="E53" s="465"/>
      <c r="F53" s="255"/>
      <c r="G53" s="256"/>
      <c r="H53" s="466"/>
      <c r="I53" s="352"/>
      <c r="K53" s="247"/>
      <c r="L53" s="252"/>
      <c r="M53" s="248"/>
      <c r="N53" s="252"/>
    </row>
    <row r="54" spans="1:40" s="236" customFormat="1">
      <c r="A54" s="349"/>
      <c r="B54" s="450" t="s">
        <v>829</v>
      </c>
      <c r="C54" s="450"/>
      <c r="D54" s="450"/>
      <c r="E54" s="452"/>
      <c r="F54" s="453">
        <f>SUM(F37:F53)</f>
        <v>408.81876456876466</v>
      </c>
      <c r="G54" s="454" t="s">
        <v>272</v>
      </c>
      <c r="H54" s="467">
        <f>ROUND(SUM(H37:H53),-1)</f>
        <v>1070</v>
      </c>
      <c r="I54" s="456" t="s">
        <v>592</v>
      </c>
      <c r="J54" s="595"/>
      <c r="K54" s="601">
        <f t="shared" ref="K54" si="21">ROUND(SUM(K37:K53),-1)</f>
        <v>1610</v>
      </c>
      <c r="L54" s="456" t="s">
        <v>592</v>
      </c>
      <c r="M54" s="467">
        <f t="shared" ref="M54" si="22">ROUND(SUM(M37:M53),-1)</f>
        <v>1970</v>
      </c>
      <c r="N54" s="456" t="s">
        <v>592</v>
      </c>
      <c r="P54" s="231"/>
      <c r="Q54" s="231"/>
      <c r="R54" s="231"/>
      <c r="S54" s="231"/>
      <c r="T54" s="231"/>
      <c r="U54" s="231"/>
      <c r="V54" s="231"/>
      <c r="W54" s="231"/>
      <c r="X54" s="231"/>
      <c r="Y54" s="231"/>
      <c r="Z54" s="231"/>
      <c r="AA54" s="231"/>
      <c r="AB54" s="231"/>
      <c r="AC54" s="231"/>
      <c r="AE54" s="231"/>
      <c r="AF54" s="231"/>
      <c r="AG54" s="231"/>
      <c r="AH54" s="231"/>
      <c r="AI54" s="231"/>
      <c r="AJ54" s="231"/>
      <c r="AK54" s="231"/>
      <c r="AL54" s="231"/>
      <c r="AM54" s="231"/>
      <c r="AN54" s="231"/>
    </row>
    <row r="55" spans="1:40">
      <c r="A55" s="457"/>
      <c r="B55" s="262"/>
      <c r="C55" s="262"/>
      <c r="D55" s="262"/>
      <c r="E55" s="459"/>
      <c r="F55" s="265"/>
      <c r="G55" s="266"/>
      <c r="H55" s="468"/>
      <c r="I55" s="268"/>
      <c r="K55" s="457"/>
      <c r="L55" s="268"/>
      <c r="M55" s="262"/>
      <c r="N55" s="268"/>
    </row>
    <row r="57" spans="1:40">
      <c r="A57" s="235" t="s">
        <v>574</v>
      </c>
      <c r="B57" s="231" t="s">
        <v>843</v>
      </c>
      <c r="E57" s="326">
        <f>4200000/1100</f>
        <v>3818.181818181818</v>
      </c>
      <c r="F57" s="373" t="s">
        <v>301</v>
      </c>
      <c r="H57" s="470" t="s">
        <v>301</v>
      </c>
      <c r="K57" s="580">
        <f>(E57*(217/145-1))+E57</f>
        <v>5714.1065830721</v>
      </c>
      <c r="L57" s="470" t="s">
        <v>301</v>
      </c>
      <c r="M57" s="580">
        <f t="shared" ref="M57" si="23">(K57*($D$15/$D$14-1))+K57</f>
        <v>7018.3167478794021</v>
      </c>
      <c r="N57" s="470" t="s">
        <v>301</v>
      </c>
    </row>
    <row r="58" spans="1:40">
      <c r="A58" s="235" t="s">
        <v>574</v>
      </c>
      <c r="B58" s="231" t="s">
        <v>844</v>
      </c>
    </row>
    <row r="60" spans="1:40">
      <c r="E60" s="231"/>
      <c r="F60" s="231"/>
      <c r="G60" s="231"/>
      <c r="H60" s="231"/>
      <c r="AG60" s="664"/>
    </row>
  </sheetData>
  <sheetProtection algorithmName="SHA-512" hashValue="Rg+X5ZTk0jkyCrxrlJSTsXIzsQgptlMtNz/d/jhY+ZVoCTP1aY7kEiogHMy44VUkuLFEo5cjxoX31NhyT4al5A==" saltValue="8V2j+hzaxeagp32CIumvkg==" spinCount="100000" sheet="1" objects="1" scenarios="1"/>
  <mergeCells count="29">
    <mergeCell ref="Z21:AA21"/>
    <mergeCell ref="AB21:AC21"/>
    <mergeCell ref="AM18:AR19"/>
    <mergeCell ref="AO20:AP20"/>
    <mergeCell ref="AQ20:AR20"/>
    <mergeCell ref="AO21:AP21"/>
    <mergeCell ref="AQ21:AR21"/>
    <mergeCell ref="A3:AJ3"/>
    <mergeCell ref="A5:AJ5"/>
    <mergeCell ref="A7:AJ7"/>
    <mergeCell ref="A11:AN11"/>
    <mergeCell ref="A19:E20"/>
    <mergeCell ref="P19:T20"/>
    <mergeCell ref="U19:U20"/>
    <mergeCell ref="AE19:AI20"/>
    <mergeCell ref="X18:AC19"/>
    <mergeCell ref="Z20:AA20"/>
    <mergeCell ref="AB20:AC20"/>
    <mergeCell ref="AJ19:AJ20"/>
    <mergeCell ref="H20:I20"/>
    <mergeCell ref="X20:Y20"/>
    <mergeCell ref="AM20:AN20"/>
    <mergeCell ref="H18:N19"/>
    <mergeCell ref="K21:L21"/>
    <mergeCell ref="M21:N21"/>
    <mergeCell ref="B13:D13"/>
    <mergeCell ref="K20:L20"/>
    <mergeCell ref="M20:N20"/>
    <mergeCell ref="E14:Q15"/>
  </mergeCells>
  <pageMargins left="0.39370078740157483" right="0.31496062992125984" top="0.46" bottom="0.54" header="0.51181102362204722" footer="0.25"/>
  <pageSetup paperSize="8" scale="93" firstPageNumber="9"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4">
    <tabColor theme="9" tint="-0.249977111117893"/>
    <pageSetUpPr fitToPage="1"/>
  </sheetPr>
  <dimension ref="A1:Q94"/>
  <sheetViews>
    <sheetView zoomScale="80" zoomScaleNormal="80" workbookViewId="0">
      <selection activeCell="L51" sqref="L51"/>
    </sheetView>
  </sheetViews>
  <sheetFormatPr defaultColWidth="9.140625" defaultRowHeight="12.75"/>
  <cols>
    <col min="1" max="1" width="6.28515625" style="231" customWidth="1"/>
    <col min="2" max="2" width="27.140625" style="231" customWidth="1"/>
    <col min="3" max="3" width="15.42578125" style="231" customWidth="1"/>
    <col min="4" max="4" width="8.85546875" style="231" bestFit="1" customWidth="1"/>
    <col min="5" max="5" width="10.85546875" style="231" customWidth="1"/>
    <col min="6" max="6" width="15.28515625" style="361" bestFit="1" customWidth="1"/>
    <col min="7" max="7" width="2.5703125" style="361" customWidth="1"/>
    <col min="8" max="8" width="15.42578125" style="328" bestFit="1" customWidth="1"/>
    <col min="9" max="9" width="2.85546875" style="328" customWidth="1"/>
    <col min="10" max="10" width="17.7109375" style="330" bestFit="1" customWidth="1"/>
    <col min="11" max="11" width="5.7109375" style="231" customWidth="1"/>
    <col min="12" max="12" width="9.140625" style="231"/>
    <col min="13" max="13" width="17" style="231" bestFit="1" customWidth="1"/>
    <col min="14" max="16" width="9.140625" style="231"/>
    <col min="17" max="17" width="10.28515625" style="231" bestFit="1" customWidth="1"/>
    <col min="18" max="16384" width="9.140625" style="231"/>
  </cols>
  <sheetData>
    <row r="1" spans="1:17" s="217" customFormat="1" ht="6.75" customHeight="1" thickBot="1">
      <c r="B1" s="218"/>
      <c r="C1" s="218"/>
    </row>
    <row r="2" spans="1:17" s="217" customFormat="1" ht="6" customHeight="1">
      <c r="A2" s="219"/>
      <c r="B2" s="220"/>
      <c r="C2" s="220"/>
      <c r="D2" s="219"/>
      <c r="E2" s="219"/>
      <c r="F2" s="219"/>
      <c r="G2" s="219"/>
      <c r="H2" s="219"/>
      <c r="I2" s="219"/>
      <c r="J2" s="219"/>
      <c r="K2" s="219"/>
    </row>
    <row r="3" spans="1:17" s="217" customFormat="1" ht="15" customHeight="1">
      <c r="A3" s="1820" t="str">
        <f>[5]Cover!$A$5</f>
        <v>AIRPORT DEVELOPMENT COST</v>
      </c>
      <c r="B3" s="1820"/>
      <c r="C3" s="1820"/>
      <c r="D3" s="1820"/>
      <c r="E3" s="1820"/>
      <c r="F3" s="1820"/>
      <c r="G3" s="1820"/>
      <c r="H3" s="1820"/>
      <c r="I3" s="1820"/>
      <c r="J3" s="1820"/>
      <c r="K3" s="1820"/>
    </row>
    <row r="4" spans="1:17" s="217" customFormat="1" ht="4.5" customHeight="1">
      <c r="A4" s="221"/>
      <c r="B4" s="222"/>
      <c r="C4" s="222"/>
      <c r="D4" s="222"/>
      <c r="E4" s="222"/>
    </row>
    <row r="5" spans="1:17" s="217" customFormat="1" ht="22.5">
      <c r="A5" s="1821" t="str">
        <f>'Code F Taxiway &amp; SH'!A5:AJ5</f>
        <v>3.  TAXIWAYS</v>
      </c>
      <c r="B5" s="1821"/>
      <c r="C5" s="1821"/>
      <c r="D5" s="1821"/>
      <c r="E5" s="1821"/>
      <c r="F5" s="1821"/>
      <c r="G5" s="1821"/>
      <c r="H5" s="1821"/>
      <c r="I5" s="1821"/>
      <c r="J5" s="1821"/>
      <c r="K5" s="1821"/>
    </row>
    <row r="6" spans="1:17" s="217" customFormat="1" ht="7.5" customHeight="1">
      <c r="A6" s="221"/>
      <c r="B6" s="222"/>
      <c r="C6" s="222"/>
      <c r="D6" s="222"/>
      <c r="E6" s="222"/>
    </row>
    <row r="7" spans="1:17" s="217" customFormat="1" hidden="1">
      <c r="A7" s="1822">
        <f>'Master Apron stands'!A7</f>
        <v>43040</v>
      </c>
      <c r="B7" s="1822"/>
      <c r="C7" s="1822"/>
      <c r="D7" s="1822"/>
      <c r="E7" s="1822"/>
      <c r="F7" s="1822"/>
      <c r="G7" s="1822"/>
      <c r="H7" s="1822"/>
      <c r="I7" s="1822"/>
      <c r="J7" s="1822"/>
      <c r="K7" s="1822"/>
    </row>
    <row r="8" spans="1:17" s="217" customFormat="1" ht="4.5" customHeight="1" thickBot="1">
      <c r="A8" s="226"/>
      <c r="B8" s="227"/>
      <c r="C8" s="227"/>
      <c r="D8" s="226"/>
      <c r="E8" s="226"/>
      <c r="F8" s="226"/>
      <c r="G8" s="226"/>
      <c r="H8" s="226"/>
      <c r="I8" s="226"/>
      <c r="J8" s="226"/>
      <c r="K8" s="226"/>
    </row>
    <row r="9" spans="1:17" s="217" customFormat="1" ht="8.25" customHeight="1">
      <c r="A9" s="228"/>
      <c r="B9" s="229"/>
      <c r="C9" s="229"/>
      <c r="D9" s="229"/>
      <c r="E9" s="229"/>
      <c r="F9" s="229"/>
      <c r="G9" s="229"/>
      <c r="H9" s="229"/>
      <c r="I9" s="229"/>
      <c r="J9" s="229"/>
      <c r="K9" s="229"/>
    </row>
    <row r="10" spans="1:17" s="217" customFormat="1" ht="15">
      <c r="A10" s="228"/>
      <c r="B10" s="229"/>
      <c r="C10" s="229"/>
      <c r="D10" s="229"/>
      <c r="E10" s="229"/>
      <c r="F10" s="229"/>
      <c r="G10" s="229"/>
      <c r="H10" s="229"/>
      <c r="I10" s="229"/>
      <c r="J10" s="229"/>
      <c r="K10" s="229"/>
    </row>
    <row r="11" spans="1:17" s="217" customFormat="1" ht="18">
      <c r="A11" s="1823" t="s">
        <v>845</v>
      </c>
      <c r="B11" s="1823"/>
      <c r="C11" s="1823"/>
      <c r="D11" s="1823"/>
      <c r="E11" s="1823"/>
      <c r="F11" s="1823"/>
      <c r="G11" s="1823"/>
      <c r="H11" s="1823"/>
      <c r="I11" s="1823"/>
      <c r="J11" s="1823"/>
      <c r="K11" s="1823"/>
    </row>
    <row r="12" spans="1:17" s="217" customFormat="1" ht="15">
      <c r="A12" s="228"/>
      <c r="B12" s="229"/>
      <c r="C12" s="229"/>
      <c r="D12" s="229"/>
      <c r="E12" s="229"/>
      <c r="F12" s="229"/>
      <c r="G12" s="229"/>
      <c r="H12" s="229"/>
      <c r="I12" s="229"/>
      <c r="J12" s="229"/>
      <c r="K12" s="229"/>
    </row>
    <row r="13" spans="1:17">
      <c r="F13" s="326"/>
      <c r="G13" s="326"/>
      <c r="J13" s="329"/>
    </row>
    <row r="14" spans="1:17">
      <c r="A14" s="247"/>
      <c r="B14" s="248"/>
      <c r="C14" s="248"/>
      <c r="D14" s="248"/>
      <c r="E14" s="248"/>
      <c r="F14" s="380"/>
      <c r="G14" s="380"/>
      <c r="H14" s="381"/>
      <c r="I14" s="381"/>
      <c r="J14" s="248"/>
      <c r="K14" s="252"/>
    </row>
    <row r="15" spans="1:17" ht="18.75">
      <c r="A15" s="1832" t="s">
        <v>51</v>
      </c>
      <c r="B15" s="1833"/>
      <c r="C15" s="1833"/>
      <c r="D15" s="1833"/>
      <c r="E15" s="1833"/>
      <c r="F15" s="1833"/>
      <c r="G15" s="673"/>
      <c r="H15" s="1855" t="s">
        <v>655</v>
      </c>
      <c r="I15" s="1855"/>
      <c r="J15" s="1855"/>
      <c r="K15" s="1856"/>
      <c r="N15" s="234" t="s">
        <v>656</v>
      </c>
      <c r="O15" s="234" t="s">
        <v>657</v>
      </c>
      <c r="P15" s="234" t="s">
        <v>217</v>
      </c>
      <c r="Q15" s="234" t="s">
        <v>438</v>
      </c>
    </row>
    <row r="16" spans="1:17" ht="18.75">
      <c r="A16" s="1832"/>
      <c r="B16" s="1833"/>
      <c r="C16" s="1833"/>
      <c r="D16" s="1833"/>
      <c r="E16" s="1833"/>
      <c r="F16" s="1833"/>
      <c r="G16" s="673"/>
      <c r="H16" s="382"/>
      <c r="I16" s="382"/>
      <c r="J16" s="383"/>
      <c r="K16" s="384"/>
      <c r="M16" s="231" t="s">
        <v>846</v>
      </c>
      <c r="N16" s="231">
        <f>12.5*2</f>
        <v>25</v>
      </c>
      <c r="O16" s="231">
        <v>1500</v>
      </c>
      <c r="P16" s="231">
        <v>1</v>
      </c>
      <c r="Q16" s="473">
        <f>N16*O16*P16</f>
        <v>37500</v>
      </c>
    </row>
    <row r="17" spans="1:17" ht="18.75">
      <c r="A17" s="1832" t="s">
        <v>847</v>
      </c>
      <c r="B17" s="1833"/>
      <c r="C17" s="1833"/>
      <c r="D17" s="1833"/>
      <c r="E17" s="1833"/>
      <c r="F17" s="1833"/>
      <c r="G17" s="673"/>
      <c r="H17" s="382"/>
      <c r="I17" s="382"/>
      <c r="J17" s="383"/>
      <c r="K17" s="672"/>
      <c r="M17" s="231" t="s">
        <v>789</v>
      </c>
      <c r="N17" s="231">
        <f>17.5</f>
        <v>17.5</v>
      </c>
      <c r="O17" s="231">
        <f>$O$16</f>
        <v>1500</v>
      </c>
      <c r="P17" s="231">
        <v>2</v>
      </c>
      <c r="Q17" s="473">
        <f>N17*O17*P17</f>
        <v>52500</v>
      </c>
    </row>
    <row r="18" spans="1:17" ht="18.75">
      <c r="A18" s="354"/>
      <c r="B18" s="385"/>
      <c r="C18" s="385"/>
      <c r="D18" s="385"/>
      <c r="E18" s="257" t="s">
        <v>438</v>
      </c>
      <c r="F18" s="474">
        <f>Q19</f>
        <v>172500</v>
      </c>
      <c r="G18" s="673"/>
      <c r="H18" s="382"/>
      <c r="I18" s="382"/>
      <c r="J18" s="676"/>
      <c r="K18" s="672"/>
      <c r="M18" s="231" t="s">
        <v>839</v>
      </c>
      <c r="N18" s="231">
        <v>27.5</v>
      </c>
      <c r="O18" s="231">
        <f>$O$16</f>
        <v>1500</v>
      </c>
      <c r="P18" s="231">
        <v>2</v>
      </c>
      <c r="Q18" s="475">
        <f>N18*O18*P18</f>
        <v>82500</v>
      </c>
    </row>
    <row r="19" spans="1:17">
      <c r="A19" s="261"/>
      <c r="B19" s="262"/>
      <c r="C19" s="262"/>
      <c r="D19" s="263"/>
      <c r="E19" s="476" t="s">
        <v>848</v>
      </c>
      <c r="F19" s="386">
        <f>Q16</f>
        <v>37500</v>
      </c>
      <c r="G19" s="386"/>
      <c r="H19" s="387"/>
      <c r="I19" s="387"/>
      <c r="J19" s="388"/>
      <c r="K19" s="268"/>
      <c r="Q19" s="477">
        <f>SUM(Q16:Q18)</f>
        <v>172500</v>
      </c>
    </row>
    <row r="20" spans="1:17">
      <c r="A20" s="336"/>
      <c r="K20" s="275"/>
    </row>
    <row r="21" spans="1:17">
      <c r="A21" s="389">
        <v>1</v>
      </c>
      <c r="B21" s="236" t="s">
        <v>846</v>
      </c>
      <c r="D21" s="390"/>
      <c r="E21" s="478">
        <f>Q16</f>
        <v>37500</v>
      </c>
      <c r="F21" s="391">
        <f>'Code F Taxiway &amp; SH'!M54</f>
        <v>1970</v>
      </c>
      <c r="G21" s="243"/>
      <c r="J21" s="392">
        <f>E21*F21</f>
        <v>73875000</v>
      </c>
      <c r="K21" s="275"/>
    </row>
    <row r="22" spans="1:17">
      <c r="A22" s="336"/>
      <c r="F22" s="391"/>
      <c r="K22" s="275"/>
    </row>
    <row r="23" spans="1:17">
      <c r="A23" s="389">
        <f>A21+1</f>
        <v>2</v>
      </c>
      <c r="B23" s="236" t="s">
        <v>789</v>
      </c>
      <c r="E23" s="478">
        <f>Q17</f>
        <v>52500</v>
      </c>
      <c r="F23" s="391">
        <f>'Code F Taxiway &amp; SH'!AB39</f>
        <v>920</v>
      </c>
      <c r="J23" s="392">
        <f>E23*F23</f>
        <v>48300000</v>
      </c>
      <c r="K23" s="275"/>
    </row>
    <row r="24" spans="1:17">
      <c r="A24" s="336"/>
      <c r="F24" s="391"/>
      <c r="K24" s="275"/>
    </row>
    <row r="25" spans="1:17">
      <c r="A25" s="389">
        <f>A23+1</f>
        <v>3</v>
      </c>
      <c r="B25" s="236" t="s">
        <v>839</v>
      </c>
      <c r="E25" s="478">
        <f>Q18</f>
        <v>82500</v>
      </c>
      <c r="F25" s="391">
        <f>'Code F Taxiway &amp; SH'!AQ31</f>
        <v>90</v>
      </c>
      <c r="J25" s="392">
        <f>E25*F25</f>
        <v>7425000</v>
      </c>
      <c r="K25" s="275"/>
    </row>
    <row r="26" spans="1:17">
      <c r="A26" s="336"/>
      <c r="H26" s="238"/>
      <c r="K26" s="275"/>
    </row>
    <row r="27" spans="1:17">
      <c r="A27" s="389">
        <f>A25+1</f>
        <v>4</v>
      </c>
      <c r="B27" s="236" t="s">
        <v>849</v>
      </c>
      <c r="E27" s="478"/>
      <c r="F27" s="391"/>
      <c r="J27" s="392">
        <v>100000</v>
      </c>
      <c r="K27" s="275"/>
    </row>
    <row r="28" spans="1:17">
      <c r="A28" s="336"/>
      <c r="H28" s="238"/>
      <c r="K28" s="275"/>
    </row>
    <row r="29" spans="1:17">
      <c r="A29" s="389">
        <f>A27+1</f>
        <v>5</v>
      </c>
      <c r="B29" s="236" t="s">
        <v>680</v>
      </c>
      <c r="H29" s="238"/>
      <c r="K29" s="275"/>
    </row>
    <row r="30" spans="1:17">
      <c r="A30" s="336"/>
      <c r="B30" s="231" t="s">
        <v>681</v>
      </c>
      <c r="D30" s="390" t="s">
        <v>666</v>
      </c>
      <c r="H30" s="479">
        <f>'New Bldg Rates'!H54</f>
        <v>5973.7053118661261</v>
      </c>
      <c r="J30" s="396">
        <v>0</v>
      </c>
      <c r="K30" s="275"/>
    </row>
    <row r="31" spans="1:17">
      <c r="A31" s="336"/>
      <c r="D31" s="390"/>
      <c r="H31" s="332"/>
      <c r="J31" s="299"/>
      <c r="K31" s="275"/>
    </row>
    <row r="32" spans="1:17">
      <c r="A32" s="277"/>
      <c r="B32" s="231" t="s">
        <v>684</v>
      </c>
      <c r="F32" s="326"/>
      <c r="G32" s="326"/>
      <c r="H32" s="238">
        <f>J32/F19</f>
        <v>3458.6666666666665</v>
      </c>
      <c r="J32" s="330">
        <f>SUM(J21:J30)</f>
        <v>129700000</v>
      </c>
      <c r="K32" s="275"/>
    </row>
    <row r="33" spans="1:11">
      <c r="A33" s="277"/>
      <c r="F33" s="326"/>
      <c r="G33" s="326"/>
      <c r="H33" s="238"/>
      <c r="K33" s="275"/>
    </row>
    <row r="34" spans="1:11">
      <c r="A34" s="277"/>
      <c r="F34" s="326"/>
      <c r="G34" s="326"/>
      <c r="H34" s="238"/>
      <c r="K34" s="275"/>
    </row>
    <row r="35" spans="1:11">
      <c r="A35" s="480"/>
      <c r="B35" s="481"/>
      <c r="C35" s="481"/>
      <c r="D35" s="481"/>
      <c r="E35" s="481"/>
      <c r="F35" s="482"/>
      <c r="G35" s="482"/>
      <c r="H35" s="483"/>
      <c r="I35" s="483"/>
      <c r="J35" s="484"/>
      <c r="K35" s="485"/>
    </row>
    <row r="36" spans="1:11" ht="18.75">
      <c r="A36" s="486"/>
      <c r="B36" s="487" t="s">
        <v>850</v>
      </c>
      <c r="C36" s="487"/>
      <c r="D36" s="487"/>
      <c r="E36" s="488" t="s">
        <v>851</v>
      </c>
      <c r="F36" s="489">
        <f>F18</f>
        <v>172500</v>
      </c>
      <c r="G36" s="490"/>
      <c r="H36" s="491">
        <f>J36/F36</f>
        <v>751.8840579710145</v>
      </c>
      <c r="I36" s="492"/>
      <c r="J36" s="493">
        <f>J32</f>
        <v>129700000</v>
      </c>
      <c r="K36" s="494"/>
    </row>
    <row r="37" spans="1:11" ht="18.75">
      <c r="A37" s="486"/>
      <c r="B37" s="487"/>
      <c r="C37" s="487"/>
      <c r="D37" s="487"/>
      <c r="E37" s="488" t="s">
        <v>852</v>
      </c>
      <c r="F37" s="489">
        <f>F19</f>
        <v>37500</v>
      </c>
      <c r="G37" s="488"/>
      <c r="H37" s="491">
        <f>J37/F37</f>
        <v>3458.6666666666665</v>
      </c>
      <c r="I37" s="492"/>
      <c r="J37" s="493">
        <f>J36</f>
        <v>129700000</v>
      </c>
      <c r="K37" s="494"/>
    </row>
    <row r="38" spans="1:11" ht="18.75">
      <c r="A38" s="486"/>
      <c r="B38" s="487"/>
      <c r="C38" s="487"/>
      <c r="D38" s="487"/>
      <c r="E38" s="488" t="s">
        <v>853</v>
      </c>
      <c r="F38" s="495">
        <f>O17</f>
        <v>1500</v>
      </c>
      <c r="G38" s="488"/>
      <c r="H38" s="496">
        <f>J38/F38</f>
        <v>86466.666666666672</v>
      </c>
      <c r="I38" s="492"/>
      <c r="J38" s="493">
        <f>J37</f>
        <v>129700000</v>
      </c>
      <c r="K38" s="494"/>
    </row>
    <row r="39" spans="1:11">
      <c r="A39" s="497"/>
      <c r="B39" s="498"/>
      <c r="C39" s="498"/>
      <c r="D39" s="498"/>
      <c r="E39" s="498"/>
      <c r="F39" s="499"/>
      <c r="G39" s="500"/>
      <c r="H39" s="501"/>
      <c r="I39" s="501"/>
      <c r="J39" s="502"/>
      <c r="K39" s="503"/>
    </row>
    <row r="40" spans="1:11">
      <c r="A40" s="277"/>
      <c r="F40" s="326"/>
      <c r="G40" s="326"/>
      <c r="K40" s="275"/>
    </row>
    <row r="41" spans="1:11">
      <c r="A41" s="277"/>
      <c r="B41" s="231" t="s">
        <v>682</v>
      </c>
      <c r="F41" s="326"/>
      <c r="G41" s="326"/>
      <c r="K41" s="275"/>
    </row>
    <row r="42" spans="1:11">
      <c r="A42" s="277"/>
      <c r="B42" s="231" t="s">
        <v>683</v>
      </c>
      <c r="F42" s="326"/>
      <c r="G42" s="326"/>
      <c r="H42" s="397">
        <f>'New Bldg Rates'!L23</f>
        <v>0.15</v>
      </c>
      <c r="J42" s="299">
        <f>J32*H42</f>
        <v>19455000</v>
      </c>
      <c r="K42" s="275"/>
    </row>
    <row r="43" spans="1:11">
      <c r="A43" s="277"/>
      <c r="F43" s="326"/>
      <c r="G43" s="326"/>
      <c r="H43" s="397"/>
      <c r="J43" s="377"/>
      <c r="K43" s="275"/>
    </row>
    <row r="44" spans="1:11">
      <c r="A44" s="277"/>
      <c r="F44" s="326"/>
      <c r="G44" s="326"/>
      <c r="H44" s="397"/>
      <c r="K44" s="275"/>
    </row>
    <row r="45" spans="1:11">
      <c r="A45" s="277"/>
      <c r="E45" s="231" t="s">
        <v>684</v>
      </c>
      <c r="F45" s="326"/>
      <c r="G45" s="326"/>
      <c r="H45" s="238"/>
      <c r="J45" s="392">
        <f>J42+J32</f>
        <v>149155000</v>
      </c>
      <c r="K45" s="275"/>
    </row>
    <row r="46" spans="1:11">
      <c r="A46" s="277"/>
      <c r="F46" s="326"/>
      <c r="G46" s="326"/>
      <c r="H46" s="238"/>
      <c r="J46" s="392"/>
      <c r="K46" s="275"/>
    </row>
    <row r="47" spans="1:11">
      <c r="A47" s="277"/>
      <c r="B47" s="231" t="s">
        <v>685</v>
      </c>
      <c r="F47" s="326"/>
      <c r="G47" s="326"/>
      <c r="H47" s="397">
        <f>'New Bldg Rates'!M23</f>
        <v>0.02</v>
      </c>
      <c r="J47" s="299">
        <f>(J45)*H47</f>
        <v>2983100</v>
      </c>
      <c r="K47" s="275"/>
    </row>
    <row r="48" spans="1:11">
      <c r="A48" s="277"/>
      <c r="F48" s="326"/>
      <c r="G48" s="326"/>
      <c r="H48" s="398"/>
      <c r="J48" s="299"/>
      <c r="K48" s="275"/>
    </row>
    <row r="49" spans="1:13">
      <c r="A49" s="277"/>
      <c r="B49" s="231" t="s">
        <v>686</v>
      </c>
      <c r="F49" s="326"/>
      <c r="G49" s="326"/>
      <c r="H49" s="397">
        <f>'New Bldg Rates'!N23</f>
        <v>0.1</v>
      </c>
      <c r="J49" s="299">
        <f>SUM(J45:J48)*H49</f>
        <v>15213810</v>
      </c>
      <c r="K49" s="275"/>
    </row>
    <row r="50" spans="1:13">
      <c r="A50" s="277"/>
      <c r="F50" s="326"/>
      <c r="G50" s="326"/>
      <c r="H50" s="397"/>
      <c r="J50" s="299"/>
      <c r="K50" s="275"/>
    </row>
    <row r="51" spans="1:13">
      <c r="A51" s="277"/>
      <c r="B51" s="231" t="s">
        <v>682</v>
      </c>
      <c r="F51" s="326"/>
      <c r="G51" s="326"/>
      <c r="H51" s="397"/>
      <c r="K51" s="275"/>
    </row>
    <row r="52" spans="1:13">
      <c r="A52" s="277"/>
      <c r="B52" s="231" t="s">
        <v>687</v>
      </c>
      <c r="F52" s="326"/>
      <c r="G52" s="326"/>
      <c r="H52" s="397"/>
      <c r="K52" s="275"/>
    </row>
    <row r="53" spans="1:13">
      <c r="A53" s="277"/>
      <c r="B53" s="237" t="s">
        <v>688</v>
      </c>
      <c r="C53" s="399">
        <f>'Master Apron stands'!A7</f>
        <v>43040</v>
      </c>
      <c r="F53" s="231"/>
      <c r="G53" s="326"/>
      <c r="H53" s="397"/>
      <c r="K53" s="275"/>
    </row>
    <row r="54" spans="1:13">
      <c r="A54" s="277"/>
      <c r="B54" s="237" t="s">
        <v>689</v>
      </c>
      <c r="C54" s="399">
        <f>'Sample Estimate'!C57</f>
        <v>43525</v>
      </c>
      <c r="D54" s="400">
        <f>(C54-C53)/(365/12)</f>
        <v>15.945205479452055</v>
      </c>
      <c r="E54" s="401">
        <v>7.0000000000000007E-2</v>
      </c>
      <c r="F54" s="231" t="s">
        <v>690</v>
      </c>
      <c r="G54" s="326"/>
      <c r="H54" s="397"/>
      <c r="J54" s="299">
        <f>J45*(E54/12)*D54</f>
        <v>13873458.219178082</v>
      </c>
      <c r="K54" s="275"/>
    </row>
    <row r="55" spans="1:13">
      <c r="A55" s="277"/>
      <c r="B55" s="237" t="s">
        <v>691</v>
      </c>
      <c r="C55" s="399">
        <f>'Sample Estimate'!C58</f>
        <v>43678</v>
      </c>
      <c r="D55" s="400">
        <f>(C55-C54)/(365/12)</f>
        <v>5.0301369863013701</v>
      </c>
      <c r="E55" s="401">
        <v>7.0000000000000007E-2</v>
      </c>
      <c r="F55" s="231" t="s">
        <v>692</v>
      </c>
      <c r="G55" s="326"/>
      <c r="H55" s="402">
        <v>0.6</v>
      </c>
      <c r="J55" s="299">
        <f>(J54+J45)*(E55/12*D55)*H55</f>
        <v>2870194.1712779133</v>
      </c>
      <c r="K55" s="275"/>
    </row>
    <row r="56" spans="1:13">
      <c r="A56" s="277"/>
      <c r="B56" s="237"/>
      <c r="C56" s="399"/>
      <c r="F56" s="326"/>
      <c r="G56" s="326"/>
      <c r="H56" s="397"/>
      <c r="K56" s="275"/>
    </row>
    <row r="57" spans="1:13">
      <c r="A57" s="277"/>
      <c r="K57" s="275"/>
    </row>
    <row r="58" spans="1:13">
      <c r="A58" s="277"/>
      <c r="B58" s="231" t="s">
        <v>693</v>
      </c>
      <c r="F58" s="326"/>
      <c r="G58" s="326"/>
      <c r="H58" s="397">
        <f>'New Bldg Rates'!O23</f>
        <v>0.18</v>
      </c>
      <c r="J58" s="396">
        <f>SUM(J44:J56)*H58</f>
        <v>33137201.230282076</v>
      </c>
      <c r="K58" s="275"/>
    </row>
    <row r="59" spans="1:13">
      <c r="A59" s="277"/>
      <c r="K59" s="275"/>
      <c r="M59" s="403"/>
    </row>
    <row r="60" spans="1:13">
      <c r="A60" s="277"/>
      <c r="B60" s="236" t="s">
        <v>438</v>
      </c>
      <c r="C60" s="236"/>
      <c r="D60" s="236"/>
      <c r="E60" s="236"/>
      <c r="F60" s="504"/>
      <c r="G60" s="504"/>
      <c r="H60" s="505"/>
      <c r="I60" s="506"/>
      <c r="J60" s="360">
        <f>SUM(J44:J58)</f>
        <v>217232763.62073806</v>
      </c>
      <c r="K60" s="275"/>
      <c r="M60" s="403"/>
    </row>
    <row r="61" spans="1:13">
      <c r="A61" s="277"/>
      <c r="F61" s="326"/>
      <c r="G61" s="326"/>
      <c r="K61" s="275"/>
    </row>
    <row r="62" spans="1:13">
      <c r="A62" s="308"/>
      <c r="B62" s="248"/>
      <c r="C62" s="248"/>
      <c r="D62" s="248"/>
      <c r="E62" s="248"/>
      <c r="F62" s="380"/>
      <c r="G62" s="380"/>
      <c r="H62" s="404"/>
      <c r="I62" s="404"/>
      <c r="J62" s="405"/>
      <c r="K62" s="252"/>
    </row>
    <row r="63" spans="1:13" ht="18.75">
      <c r="A63" s="354"/>
      <c r="B63" s="314" t="s">
        <v>438</v>
      </c>
      <c r="C63" s="314"/>
      <c r="D63" s="314"/>
      <c r="E63" s="407" t="s">
        <v>851</v>
      </c>
      <c r="F63" s="507">
        <f>F36</f>
        <v>172500</v>
      </c>
      <c r="G63" s="406"/>
      <c r="H63" s="408">
        <f>J63/F63</f>
        <v>1259.3203688158728</v>
      </c>
      <c r="I63" s="409"/>
      <c r="J63" s="410">
        <f>J60</f>
        <v>217232763.62073806</v>
      </c>
      <c r="K63" s="355"/>
    </row>
    <row r="64" spans="1:13" ht="18.75">
      <c r="A64" s="354"/>
      <c r="B64" s="314"/>
      <c r="C64" s="314"/>
      <c r="D64" s="314"/>
      <c r="E64" s="407" t="s">
        <v>852</v>
      </c>
      <c r="F64" s="507">
        <f>F37</f>
        <v>37500</v>
      </c>
      <c r="G64" s="407"/>
      <c r="H64" s="408">
        <f>J64/F64</f>
        <v>5792.8736965530152</v>
      </c>
      <c r="I64" s="409"/>
      <c r="J64" s="410">
        <f>J63</f>
        <v>217232763.62073806</v>
      </c>
      <c r="K64" s="355"/>
    </row>
    <row r="65" spans="1:17" ht="18.75">
      <c r="A65" s="354"/>
      <c r="B65" s="314"/>
      <c r="C65" s="314"/>
      <c r="D65" s="314"/>
      <c r="E65" s="407" t="s">
        <v>853</v>
      </c>
      <c r="F65" s="508">
        <f>F38</f>
        <v>1500</v>
      </c>
      <c r="G65" s="407"/>
      <c r="H65" s="509">
        <f>J65/F65</f>
        <v>144821.84241382536</v>
      </c>
      <c r="I65" s="409"/>
      <c r="J65" s="410">
        <f>J64</f>
        <v>217232763.62073806</v>
      </c>
      <c r="K65" s="355"/>
    </row>
    <row r="66" spans="1:17" ht="8.25" customHeight="1">
      <c r="A66" s="322"/>
      <c r="B66" s="262"/>
      <c r="C66" s="262"/>
      <c r="D66" s="262"/>
      <c r="E66" s="262"/>
      <c r="F66" s="411"/>
      <c r="G66" s="412"/>
      <c r="H66" s="387"/>
      <c r="I66" s="387"/>
      <c r="J66" s="413"/>
      <c r="K66" s="268"/>
      <c r="L66" s="358"/>
    </row>
    <row r="67" spans="1:17">
      <c r="A67" s="236"/>
      <c r="F67" s="326"/>
      <c r="G67" s="326"/>
    </row>
    <row r="68" spans="1:17">
      <c r="A68" s="235"/>
      <c r="F68" s="326"/>
      <c r="G68" s="326"/>
    </row>
    <row r="69" spans="1:17">
      <c r="A69" s="235"/>
      <c r="F69" s="326"/>
      <c r="G69" s="326"/>
    </row>
    <row r="70" spans="1:17">
      <c r="A70" s="235"/>
      <c r="F70" s="326"/>
      <c r="G70" s="326"/>
      <c r="J70" s="665"/>
    </row>
    <row r="71" spans="1:17">
      <c r="A71" s="235"/>
      <c r="F71" s="326"/>
      <c r="G71" s="326"/>
    </row>
    <row r="72" spans="1:17">
      <c r="A72" s="235"/>
      <c r="F72" s="326"/>
      <c r="G72" s="326"/>
      <c r="M72" s="236"/>
      <c r="N72" s="236"/>
      <c r="O72" s="236"/>
      <c r="P72" s="236"/>
      <c r="Q72" s="236"/>
    </row>
    <row r="73" spans="1:17" s="236" customFormat="1">
      <c r="A73" s="235"/>
      <c r="B73" s="231"/>
      <c r="C73" s="231"/>
      <c r="D73" s="231"/>
      <c r="E73" s="231"/>
      <c r="F73" s="326"/>
      <c r="G73" s="326"/>
      <c r="H73" s="328"/>
      <c r="I73" s="328"/>
      <c r="J73" s="330"/>
      <c r="K73" s="231"/>
      <c r="M73" s="231"/>
      <c r="N73" s="231"/>
      <c r="O73" s="231"/>
      <c r="P73" s="231"/>
      <c r="Q73" s="231"/>
    </row>
    <row r="74" spans="1:17">
      <c r="A74" s="236"/>
      <c r="F74" s="326"/>
      <c r="G74" s="326"/>
    </row>
    <row r="75" spans="1:17">
      <c r="A75" s="236"/>
      <c r="F75" s="326"/>
      <c r="G75" s="326"/>
    </row>
    <row r="76" spans="1:17">
      <c r="A76" s="236"/>
    </row>
    <row r="77" spans="1:17">
      <c r="A77" s="236"/>
    </row>
    <row r="78" spans="1:17">
      <c r="A78" s="236"/>
    </row>
    <row r="79" spans="1:17">
      <c r="A79" s="236"/>
      <c r="E79" s="287"/>
      <c r="F79" s="326"/>
      <c r="G79" s="326"/>
    </row>
    <row r="80" spans="1:17">
      <c r="A80" s="236"/>
    </row>
    <row r="81" spans="1:1">
      <c r="A81" s="236"/>
    </row>
    <row r="82" spans="1:1">
      <c r="A82" s="236"/>
    </row>
    <row r="83" spans="1:1">
      <c r="A83" s="236"/>
    </row>
    <row r="84" spans="1:1">
      <c r="A84" s="236"/>
    </row>
    <row r="85" spans="1:1">
      <c r="A85" s="236"/>
    </row>
    <row r="86" spans="1:1">
      <c r="A86" s="236"/>
    </row>
    <row r="87" spans="1:1">
      <c r="A87" s="236"/>
    </row>
    <row r="88" spans="1:1">
      <c r="A88" s="236"/>
    </row>
    <row r="89" spans="1:1">
      <c r="A89" s="236"/>
    </row>
    <row r="90" spans="1:1">
      <c r="A90" s="236"/>
    </row>
    <row r="91" spans="1:1">
      <c r="A91" s="236"/>
    </row>
    <row r="92" spans="1:1">
      <c r="A92" s="236"/>
    </row>
    <row r="93" spans="1:1">
      <c r="A93" s="236"/>
    </row>
    <row r="94" spans="1:1">
      <c r="A94" s="236"/>
    </row>
  </sheetData>
  <mergeCells count="8">
    <mergeCell ref="A16:F16"/>
    <mergeCell ref="A17:F17"/>
    <mergeCell ref="A3:K3"/>
    <mergeCell ref="A5:K5"/>
    <mergeCell ref="A7:K7"/>
    <mergeCell ref="A11:K11"/>
    <mergeCell ref="A15:F15"/>
    <mergeCell ref="H15:K15"/>
  </mergeCells>
  <printOptions horizontalCentered="1"/>
  <pageMargins left="0.39370078740157483" right="0.31496062992125984" top="0.64" bottom="0.43" header="0.51181102362204722" footer="0.19"/>
  <pageSetup paperSize="8" scale="84" firstPageNumber="10"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5">
    <tabColor rgb="FFFFFF00"/>
    <pageSetUpPr fitToPage="1"/>
  </sheetPr>
  <dimension ref="A1:AU70"/>
  <sheetViews>
    <sheetView topLeftCell="F1" workbookViewId="0">
      <selection activeCell="AT41" sqref="AT41"/>
    </sheetView>
  </sheetViews>
  <sheetFormatPr defaultColWidth="9.140625" defaultRowHeight="12.75"/>
  <cols>
    <col min="1" max="1" width="1.5703125" style="231" customWidth="1"/>
    <col min="2" max="4" width="4.42578125" style="231" customWidth="1"/>
    <col min="5" max="5" width="4.42578125" style="326" customWidth="1"/>
    <col min="6" max="6" width="4.42578125" style="329" customWidth="1"/>
    <col min="7" max="11" width="4.42578125" style="231" customWidth="1"/>
    <col min="12" max="13" width="4.42578125" style="329" customWidth="1"/>
    <col min="14" max="14" width="4.42578125" style="231" customWidth="1"/>
    <col min="15" max="15" width="5.42578125" style="231" bestFit="1" customWidth="1"/>
    <col min="16" max="16" width="4.28515625" style="231" customWidth="1"/>
    <col min="17" max="18" width="4.42578125" style="231" customWidth="1"/>
    <col min="19" max="22" width="4.42578125" style="329" customWidth="1"/>
    <col min="23" max="23" width="5" style="329" customWidth="1"/>
    <col min="24" max="41" width="4.42578125" style="329" customWidth="1"/>
    <col min="42" max="43" width="4.42578125" style="231" customWidth="1"/>
    <col min="44" max="16384" width="9.140625" style="231"/>
  </cols>
  <sheetData>
    <row r="1" spans="1:47" s="217" customFormat="1" ht="6.75" customHeight="1" thickBot="1">
      <c r="B1" s="218"/>
    </row>
    <row r="2" spans="1:47"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G2" s="219"/>
      <c r="AH2" s="219"/>
      <c r="AI2" s="219"/>
      <c r="AJ2" s="219"/>
      <c r="AK2" s="219"/>
      <c r="AL2" s="219"/>
      <c r="AM2" s="219"/>
      <c r="AN2" s="219"/>
      <c r="AO2" s="219"/>
      <c r="AP2" s="219"/>
      <c r="AQ2" s="219"/>
    </row>
    <row r="3" spans="1:47"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c r="X3" s="1820"/>
      <c r="Y3" s="1820"/>
      <c r="Z3" s="1820"/>
      <c r="AA3" s="1820"/>
      <c r="AB3" s="1820"/>
      <c r="AC3" s="1820"/>
      <c r="AD3" s="1820"/>
      <c r="AE3" s="1820"/>
      <c r="AF3" s="1820"/>
      <c r="AG3" s="1820"/>
      <c r="AH3" s="1820"/>
      <c r="AI3" s="1820"/>
      <c r="AJ3" s="1820"/>
      <c r="AK3" s="1820"/>
      <c r="AL3" s="1820"/>
      <c r="AM3" s="1820"/>
      <c r="AN3" s="1820"/>
      <c r="AO3" s="1820"/>
      <c r="AP3" s="1820"/>
      <c r="AQ3" s="1820"/>
    </row>
    <row r="4" spans="1:47" s="217" customFormat="1" ht="4.5" customHeight="1">
      <c r="A4" s="221"/>
      <c r="B4" s="222"/>
      <c r="C4" s="222"/>
      <c r="D4" s="222"/>
      <c r="H4" s="222"/>
      <c r="I4" s="222"/>
      <c r="J4" s="222"/>
      <c r="K4" s="222"/>
      <c r="M4" s="223"/>
      <c r="N4" s="224"/>
      <c r="O4" s="225"/>
    </row>
    <row r="5" spans="1:47" s="217" customFormat="1" ht="22.5">
      <c r="A5" s="1821" t="s">
        <v>854</v>
      </c>
      <c r="B5" s="1821"/>
      <c r="C5" s="1821"/>
      <c r="D5" s="1821"/>
      <c r="E5" s="1821"/>
      <c r="F5" s="1821"/>
      <c r="G5" s="1821"/>
      <c r="H5" s="1821"/>
      <c r="I5" s="1821"/>
      <c r="J5" s="1821"/>
      <c r="K5" s="1821"/>
      <c r="L5" s="1821"/>
      <c r="M5" s="1821"/>
      <c r="N5" s="1821"/>
      <c r="O5" s="1821"/>
      <c r="P5" s="1821"/>
      <c r="Q5" s="1821"/>
      <c r="R5" s="1821"/>
      <c r="S5" s="1821"/>
      <c r="T5" s="1821"/>
      <c r="U5" s="1821"/>
      <c r="V5" s="1821"/>
      <c r="W5" s="1821"/>
      <c r="X5" s="1821"/>
      <c r="Y5" s="1821"/>
      <c r="Z5" s="1821"/>
      <c r="AA5" s="1821"/>
      <c r="AB5" s="1821"/>
      <c r="AC5" s="1821"/>
      <c r="AD5" s="1821"/>
      <c r="AE5" s="1821"/>
      <c r="AF5" s="1821"/>
      <c r="AG5" s="1821"/>
      <c r="AH5" s="1821"/>
      <c r="AI5" s="1821"/>
      <c r="AJ5" s="1821"/>
      <c r="AK5" s="1821"/>
      <c r="AL5" s="1821"/>
      <c r="AM5" s="1821"/>
      <c r="AN5" s="1821"/>
      <c r="AO5" s="1821"/>
      <c r="AP5" s="1821"/>
      <c r="AQ5" s="1821"/>
    </row>
    <row r="6" spans="1:47" s="217" customFormat="1" ht="7.5" customHeight="1">
      <c r="A6" s="221"/>
      <c r="B6" s="222"/>
      <c r="C6" s="222"/>
      <c r="D6" s="222"/>
      <c r="H6" s="222"/>
      <c r="I6" s="222"/>
      <c r="J6" s="222"/>
      <c r="K6" s="222"/>
      <c r="M6" s="223"/>
      <c r="N6" s="224"/>
      <c r="O6" s="225"/>
    </row>
    <row r="7" spans="1:47" s="217" customFormat="1">
      <c r="A7" s="1822"/>
      <c r="B7" s="1822"/>
      <c r="C7" s="1822"/>
      <c r="D7" s="1822"/>
      <c r="E7" s="1822"/>
      <c r="F7" s="1822"/>
      <c r="G7" s="1822"/>
      <c r="H7" s="1822"/>
      <c r="I7" s="1822"/>
      <c r="J7" s="1822"/>
      <c r="K7" s="1822"/>
      <c r="L7" s="1822"/>
      <c r="M7" s="1822"/>
      <c r="N7" s="1822"/>
      <c r="O7" s="1822"/>
      <c r="P7" s="1822"/>
      <c r="Q7" s="1822"/>
      <c r="R7" s="1822"/>
      <c r="S7" s="1822"/>
      <c r="T7" s="1822"/>
      <c r="U7" s="1822"/>
      <c r="V7" s="1822"/>
      <c r="W7" s="1822"/>
      <c r="X7" s="1822"/>
      <c r="Y7" s="1822"/>
      <c r="Z7" s="1822"/>
      <c r="AA7" s="1822"/>
      <c r="AB7" s="1822"/>
      <c r="AC7" s="1822"/>
      <c r="AD7" s="1822"/>
      <c r="AE7" s="1822"/>
      <c r="AF7" s="1822"/>
      <c r="AG7" s="1822"/>
      <c r="AH7" s="1822"/>
      <c r="AI7" s="1822"/>
      <c r="AJ7" s="1822"/>
      <c r="AK7" s="1822"/>
      <c r="AL7" s="1822"/>
      <c r="AM7" s="1822"/>
      <c r="AN7" s="1822"/>
      <c r="AO7" s="1822"/>
      <c r="AP7" s="1822"/>
      <c r="AQ7" s="1822"/>
    </row>
    <row r="8" spans="1:47"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c r="X8" s="226"/>
      <c r="Y8" s="226"/>
      <c r="Z8" s="226"/>
      <c r="AA8" s="226"/>
      <c r="AB8" s="226"/>
      <c r="AC8" s="226"/>
      <c r="AD8" s="226"/>
      <c r="AE8" s="226"/>
      <c r="AF8" s="226"/>
      <c r="AG8" s="226"/>
      <c r="AH8" s="226"/>
      <c r="AI8" s="226"/>
      <c r="AJ8" s="226"/>
      <c r="AK8" s="226"/>
      <c r="AL8" s="226"/>
      <c r="AM8" s="226"/>
      <c r="AN8" s="226"/>
      <c r="AO8" s="226"/>
      <c r="AP8" s="226"/>
      <c r="AQ8" s="226"/>
    </row>
    <row r="9" spans="1:47" s="217" customFormat="1" ht="8.25" customHeight="1">
      <c r="A9" s="228"/>
      <c r="B9" s="229"/>
      <c r="C9" s="229"/>
      <c r="D9" s="229"/>
      <c r="E9" s="229"/>
      <c r="F9" s="229"/>
      <c r="G9" s="229"/>
      <c r="H9" s="229"/>
      <c r="I9" s="229"/>
      <c r="J9" s="230"/>
      <c r="K9" s="229"/>
      <c r="L9" s="229"/>
      <c r="M9" s="229"/>
      <c r="N9" s="229"/>
      <c r="O9" s="229"/>
      <c r="P9" s="229"/>
      <c r="Q9" s="229"/>
      <c r="R9" s="229"/>
      <c r="S9" s="229"/>
      <c r="T9" s="229"/>
      <c r="U9" s="229"/>
      <c r="V9" s="229"/>
      <c r="W9" s="229"/>
      <c r="X9" s="229"/>
      <c r="Y9" s="229"/>
      <c r="Z9" s="229"/>
      <c r="AA9" s="229"/>
      <c r="AB9" s="229"/>
      <c r="AC9" s="229"/>
      <c r="AD9" s="229"/>
      <c r="AE9" s="229"/>
      <c r="AF9" s="229"/>
      <c r="AG9" s="229"/>
      <c r="AH9" s="229"/>
      <c r="AI9" s="229"/>
      <c r="AJ9" s="229"/>
      <c r="AK9" s="229"/>
      <c r="AL9" s="229"/>
      <c r="AM9" s="229"/>
      <c r="AN9" s="229"/>
      <c r="AO9" s="229"/>
      <c r="AP9" s="229"/>
      <c r="AQ9" s="229"/>
    </row>
    <row r="10" spans="1:47" s="217" customFormat="1" ht="18">
      <c r="A10" s="1823" t="s">
        <v>855</v>
      </c>
      <c r="B10" s="1823"/>
      <c r="C10" s="1823"/>
      <c r="D10" s="1823"/>
      <c r="E10" s="1823"/>
      <c r="F10" s="1823"/>
      <c r="G10" s="1823"/>
      <c r="H10" s="1823"/>
      <c r="I10" s="1823"/>
      <c r="J10" s="1823"/>
      <c r="K10" s="1823"/>
      <c r="L10" s="1823"/>
      <c r="M10" s="1823"/>
      <c r="N10" s="1823"/>
      <c r="O10" s="1823"/>
      <c r="P10" s="1823"/>
      <c r="Q10" s="1823"/>
      <c r="R10" s="1823"/>
      <c r="S10" s="1823"/>
      <c r="T10" s="1823"/>
      <c r="U10" s="1823"/>
      <c r="V10" s="1823"/>
      <c r="W10" s="1823"/>
      <c r="X10" s="1823"/>
      <c r="Y10" s="1823"/>
      <c r="Z10" s="1823"/>
      <c r="AA10" s="1823"/>
      <c r="AB10" s="1823"/>
      <c r="AC10" s="1823"/>
      <c r="AD10" s="1823"/>
      <c r="AE10" s="1823"/>
      <c r="AF10" s="1823"/>
      <c r="AG10" s="1823"/>
      <c r="AH10" s="1823"/>
      <c r="AI10" s="1823"/>
      <c r="AJ10" s="1823"/>
      <c r="AK10" s="1823"/>
      <c r="AL10" s="1823"/>
      <c r="AM10" s="1823"/>
      <c r="AN10" s="1823"/>
      <c r="AO10" s="1823"/>
      <c r="AP10" s="1823"/>
      <c r="AQ10" s="1823"/>
    </row>
    <row r="11" spans="1:47" s="217" customFormat="1" ht="15">
      <c r="A11" s="228"/>
      <c r="B11" s="229"/>
      <c r="C11" s="229"/>
      <c r="D11" s="229"/>
      <c r="E11" s="229"/>
      <c r="F11" s="229"/>
      <c r="G11" s="229"/>
      <c r="H11" s="229"/>
      <c r="I11" s="229"/>
      <c r="J11" s="230"/>
      <c r="K11" s="229"/>
      <c r="L11" s="229"/>
      <c r="M11" s="229"/>
      <c r="N11" s="229"/>
      <c r="O11" s="229"/>
      <c r="P11" s="229"/>
      <c r="Q11" s="229"/>
      <c r="R11" s="229"/>
      <c r="S11" s="229"/>
      <c r="T11" s="229"/>
      <c r="U11" s="229"/>
      <c r="V11" s="229"/>
      <c r="W11" s="229"/>
      <c r="X11" s="229"/>
      <c r="Y11" s="229"/>
      <c r="Z11" s="229"/>
      <c r="AA11" s="229"/>
      <c r="AB11" s="229"/>
      <c r="AC11" s="229"/>
      <c r="AD11" s="229"/>
      <c r="AE11" s="229"/>
      <c r="AF11" s="229"/>
      <c r="AG11" s="229"/>
      <c r="AH11" s="229"/>
      <c r="AI11" s="229"/>
      <c r="AJ11" s="229"/>
      <c r="AK11" s="229"/>
      <c r="AL11" s="229"/>
      <c r="AM11" s="229"/>
      <c r="AN11" s="229"/>
      <c r="AO11" s="229"/>
    </row>
    <row r="13" spans="1:47">
      <c r="C13" s="415" t="s">
        <v>697</v>
      </c>
      <c r="O13" s="1867" t="s">
        <v>856</v>
      </c>
      <c r="P13" s="1867"/>
      <c r="Q13" s="1867"/>
      <c r="R13" s="1867"/>
      <c r="S13" s="1867"/>
      <c r="T13" s="1867"/>
      <c r="U13" s="1867"/>
      <c r="V13" s="1867"/>
      <c r="W13" s="1867"/>
      <c r="X13" s="1867"/>
      <c r="Y13" s="1867"/>
      <c r="Z13" s="1867"/>
      <c r="AA13" s="1867"/>
      <c r="AB13" s="1867"/>
      <c r="AC13" s="1867"/>
      <c r="AD13" s="1867"/>
      <c r="AE13" s="1867"/>
      <c r="AF13" s="415"/>
      <c r="AG13" s="415" t="s">
        <v>857</v>
      </c>
      <c r="AH13" s="415"/>
      <c r="AI13" s="415"/>
      <c r="AJ13" s="415"/>
      <c r="AK13" s="415"/>
      <c r="AL13" s="415"/>
      <c r="AM13" s="415"/>
      <c r="AN13" s="415"/>
      <c r="AO13" s="415"/>
      <c r="AP13" s="415"/>
      <c r="AQ13" s="415"/>
      <c r="AR13" s="415"/>
      <c r="AS13" s="415"/>
      <c r="AT13" s="415"/>
      <c r="AU13" s="415"/>
    </row>
    <row r="14" spans="1:47">
      <c r="AG14" s="416" t="s">
        <v>858</v>
      </c>
    </row>
    <row r="15" spans="1:47">
      <c r="D15" s="1907" t="s">
        <v>699</v>
      </c>
      <c r="E15" s="1908"/>
      <c r="F15" s="1908"/>
      <c r="G15" s="1908"/>
      <c r="H15" s="1908"/>
      <c r="I15" s="1908"/>
      <c r="J15" s="1909"/>
      <c r="L15" s="231"/>
      <c r="M15" s="231"/>
    </row>
    <row r="16" spans="1:47" ht="12.75" customHeight="1">
      <c r="D16" s="1868" t="s">
        <v>703</v>
      </c>
      <c r="E16" s="1869"/>
      <c r="F16" s="1958" t="s">
        <v>704</v>
      </c>
      <c r="G16" s="1958"/>
      <c r="H16" s="1958"/>
      <c r="I16" s="1958"/>
      <c r="J16" s="1959"/>
      <c r="L16" s="231"/>
      <c r="M16" s="231"/>
      <c r="AG16" s="359" t="s">
        <v>859</v>
      </c>
    </row>
    <row r="17" spans="2:33">
      <c r="D17" s="1874" t="s">
        <v>710</v>
      </c>
      <c r="E17" s="1875"/>
      <c r="F17" s="1960"/>
      <c r="G17" s="1960"/>
      <c r="H17" s="1960"/>
      <c r="I17" s="1960"/>
      <c r="J17" s="1961"/>
      <c r="L17" s="231"/>
      <c r="M17" s="231"/>
      <c r="AG17" s="329" t="s">
        <v>860</v>
      </c>
    </row>
    <row r="18" spans="2:33" ht="12.75" customHeight="1">
      <c r="D18" s="1940">
        <v>1</v>
      </c>
      <c r="E18" s="1889"/>
      <c r="F18" s="1941" t="s">
        <v>714</v>
      </c>
      <c r="G18" s="1941"/>
      <c r="H18" s="1941"/>
      <c r="I18" s="1941"/>
      <c r="J18" s="1942"/>
      <c r="L18" s="231"/>
      <c r="M18" s="231"/>
      <c r="AG18" s="329" t="s">
        <v>861</v>
      </c>
    </row>
    <row r="19" spans="2:33">
      <c r="D19" s="1857"/>
      <c r="E19" s="1858"/>
      <c r="F19" s="1881"/>
      <c r="G19" s="1881"/>
      <c r="H19" s="1881"/>
      <c r="I19" s="1881"/>
      <c r="J19" s="1882"/>
      <c r="L19" s="231"/>
      <c r="M19" s="231"/>
      <c r="AG19" s="329" t="s">
        <v>862</v>
      </c>
    </row>
    <row r="20" spans="2:33">
      <c r="D20" s="1857">
        <f>D18+1</f>
        <v>2</v>
      </c>
      <c r="E20" s="1858"/>
      <c r="F20" s="1881" t="s">
        <v>716</v>
      </c>
      <c r="G20" s="1881"/>
      <c r="H20" s="1881"/>
      <c r="I20" s="1881"/>
      <c r="J20" s="1882"/>
      <c r="AG20" s="329" t="s">
        <v>863</v>
      </c>
    </row>
    <row r="21" spans="2:33">
      <c r="D21" s="1857"/>
      <c r="E21" s="1858"/>
      <c r="F21" s="1881"/>
      <c r="G21" s="1881"/>
      <c r="H21" s="1881"/>
      <c r="I21" s="1881"/>
      <c r="J21" s="1882"/>
    </row>
    <row r="22" spans="2:33">
      <c r="D22" s="1857">
        <f>D20+1</f>
        <v>3</v>
      </c>
      <c r="E22" s="1858"/>
      <c r="F22" s="1881" t="s">
        <v>718</v>
      </c>
      <c r="G22" s="1881"/>
      <c r="H22" s="1881"/>
      <c r="I22" s="1881"/>
      <c r="J22" s="1882"/>
      <c r="AG22" s="359" t="s">
        <v>864</v>
      </c>
    </row>
    <row r="23" spans="2:33">
      <c r="D23" s="1857"/>
      <c r="E23" s="1858"/>
      <c r="F23" s="1881"/>
      <c r="G23" s="1881"/>
      <c r="H23" s="1881"/>
      <c r="I23" s="1881"/>
      <c r="J23" s="1882"/>
      <c r="AG23" s="329" t="s">
        <v>865</v>
      </c>
    </row>
    <row r="24" spans="2:33">
      <c r="D24" s="1857">
        <f>D22+1</f>
        <v>4</v>
      </c>
      <c r="E24" s="1858"/>
      <c r="F24" s="1881" t="s">
        <v>720</v>
      </c>
      <c r="G24" s="1881"/>
      <c r="H24" s="1881"/>
      <c r="I24" s="1881"/>
      <c r="J24" s="1882"/>
      <c r="AG24" s="329" t="s">
        <v>866</v>
      </c>
    </row>
    <row r="25" spans="2:33">
      <c r="D25" s="1862"/>
      <c r="E25" s="1863"/>
      <c r="F25" s="1883"/>
      <c r="G25" s="1883"/>
      <c r="H25" s="1883"/>
      <c r="I25" s="1883"/>
      <c r="J25" s="1884"/>
      <c r="AG25" s="329" t="s">
        <v>867</v>
      </c>
    </row>
    <row r="26" spans="2:33">
      <c r="AG26" s="329" t="s">
        <v>868</v>
      </c>
    </row>
    <row r="27" spans="2:33">
      <c r="B27" s="1898" t="s">
        <v>723</v>
      </c>
      <c r="C27" s="1898"/>
      <c r="D27" s="1898"/>
      <c r="E27" s="1898"/>
      <c r="F27" s="1898"/>
      <c r="G27" s="1898"/>
      <c r="H27" s="1898"/>
      <c r="I27" s="1898"/>
      <c r="J27" s="1898"/>
      <c r="K27" s="1898"/>
      <c r="L27" s="1898"/>
      <c r="M27" s="1898"/>
    </row>
    <row r="28" spans="2:33">
      <c r="B28" s="1898"/>
      <c r="C28" s="1898"/>
      <c r="D28" s="1898"/>
      <c r="E28" s="1898"/>
      <c r="F28" s="1898"/>
      <c r="G28" s="1898"/>
      <c r="H28" s="1898"/>
      <c r="I28" s="1898"/>
      <c r="J28" s="1898"/>
      <c r="K28" s="1898"/>
      <c r="L28" s="1898"/>
      <c r="M28" s="1898"/>
      <c r="AG28" s="329" t="s">
        <v>869</v>
      </c>
    </row>
    <row r="29" spans="2:33">
      <c r="B29" s="1898"/>
      <c r="C29" s="1898"/>
      <c r="D29" s="1898"/>
      <c r="E29" s="1898"/>
      <c r="F29" s="1898"/>
      <c r="G29" s="1898"/>
      <c r="H29" s="1898"/>
      <c r="I29" s="1898"/>
      <c r="J29" s="1898"/>
      <c r="K29" s="1898"/>
      <c r="L29" s="1898"/>
      <c r="M29" s="1898"/>
      <c r="AG29" s="329" t="s">
        <v>866</v>
      </c>
    </row>
    <row r="30" spans="2:33">
      <c r="B30" s="239"/>
      <c r="AG30" s="329" t="s">
        <v>870</v>
      </c>
    </row>
    <row r="31" spans="2:33">
      <c r="B31" s="1867" t="s">
        <v>697</v>
      </c>
      <c r="C31" s="1867"/>
      <c r="D31" s="1867"/>
      <c r="E31" s="1867"/>
      <c r="F31" s="1867"/>
      <c r="G31" s="1867"/>
      <c r="H31" s="1867"/>
      <c r="I31" s="1867"/>
      <c r="J31" s="1867"/>
      <c r="K31" s="1867"/>
      <c r="L31" s="1867"/>
      <c r="M31" s="1867"/>
      <c r="O31" s="236" t="s">
        <v>871</v>
      </c>
      <c r="P31" s="231" t="s">
        <v>872</v>
      </c>
      <c r="AG31" s="329" t="s">
        <v>873</v>
      </c>
    </row>
    <row r="32" spans="2:33">
      <c r="O32" s="236" t="s">
        <v>874</v>
      </c>
      <c r="P32" s="231" t="s">
        <v>875</v>
      </c>
      <c r="AG32" s="329" t="s">
        <v>876</v>
      </c>
    </row>
    <row r="33" spans="2:33">
      <c r="B33" s="1907" t="s">
        <v>726</v>
      </c>
      <c r="C33" s="1908"/>
      <c r="D33" s="1908"/>
      <c r="E33" s="1908"/>
      <c r="F33" s="1908"/>
      <c r="G33" s="1908"/>
      <c r="H33" s="1908"/>
      <c r="I33" s="1908"/>
      <c r="J33" s="1908"/>
      <c r="K33" s="1908"/>
      <c r="L33" s="1908"/>
      <c r="M33" s="1909"/>
      <c r="O33" s="236" t="s">
        <v>877</v>
      </c>
      <c r="P33" s="231" t="s">
        <v>878</v>
      </c>
    </row>
    <row r="34" spans="2:33">
      <c r="B34" s="1868" t="s">
        <v>703</v>
      </c>
      <c r="C34" s="1869"/>
      <c r="D34" s="1889" t="s">
        <v>727</v>
      </c>
      <c r="E34" s="1889"/>
      <c r="F34" s="1889"/>
      <c r="G34" s="1889"/>
      <c r="H34" s="1889"/>
      <c r="I34" s="1889" t="s">
        <v>728</v>
      </c>
      <c r="J34" s="1889"/>
      <c r="K34" s="1889"/>
      <c r="L34" s="1889"/>
      <c r="M34" s="1890"/>
      <c r="O34" s="236" t="s">
        <v>879</v>
      </c>
      <c r="P34" s="231" t="s">
        <v>880</v>
      </c>
      <c r="AG34" s="359" t="s">
        <v>881</v>
      </c>
    </row>
    <row r="35" spans="2:33">
      <c r="B35" s="1874" t="s">
        <v>711</v>
      </c>
      <c r="C35" s="1875"/>
      <c r="D35" s="1863"/>
      <c r="E35" s="1863"/>
      <c r="F35" s="1863"/>
      <c r="G35" s="1863"/>
      <c r="H35" s="1863"/>
      <c r="I35" s="1863"/>
      <c r="J35" s="1863"/>
      <c r="K35" s="1863"/>
      <c r="L35" s="1863"/>
      <c r="M35" s="1891"/>
      <c r="AG35" s="329" t="s">
        <v>882</v>
      </c>
    </row>
    <row r="36" spans="2:33">
      <c r="B36" s="1876" t="s">
        <v>715</v>
      </c>
      <c r="C36" s="1877"/>
      <c r="D36" s="1886" t="s">
        <v>731</v>
      </c>
      <c r="E36" s="1886"/>
      <c r="F36" s="1886"/>
      <c r="G36" s="1886"/>
      <c r="H36" s="1886"/>
      <c r="I36" s="1886" t="s">
        <v>732</v>
      </c>
      <c r="J36" s="1886"/>
      <c r="K36" s="1886"/>
      <c r="L36" s="1886"/>
      <c r="M36" s="1887"/>
      <c r="AG36" s="329" t="s">
        <v>870</v>
      </c>
    </row>
    <row r="37" spans="2:33" ht="12.75" customHeight="1">
      <c r="B37" s="1857"/>
      <c r="C37" s="1858"/>
      <c r="D37" s="1881"/>
      <c r="E37" s="1881"/>
      <c r="F37" s="1881"/>
      <c r="G37" s="1881"/>
      <c r="H37" s="1881"/>
      <c r="I37" s="1881"/>
      <c r="J37" s="1881"/>
      <c r="K37" s="1881"/>
      <c r="L37" s="1881"/>
      <c r="M37" s="1882"/>
      <c r="Q37" s="1867" t="s">
        <v>883</v>
      </c>
      <c r="R37" s="1867"/>
      <c r="S37" s="1867"/>
      <c r="T37" s="1867"/>
      <c r="U37" s="1867"/>
      <c r="V37" s="1867"/>
      <c r="W37" s="1867"/>
      <c r="X37" s="1867"/>
      <c r="Y37" s="1867"/>
      <c r="Z37" s="1867"/>
      <c r="AA37" s="1867"/>
      <c r="AB37" s="1867"/>
      <c r="AC37" s="1867"/>
      <c r="AD37" s="1867"/>
      <c r="AE37" s="1867"/>
      <c r="AG37" s="329" t="s">
        <v>873</v>
      </c>
    </row>
    <row r="38" spans="2:33">
      <c r="B38" s="1857" t="s">
        <v>717</v>
      </c>
      <c r="C38" s="1858"/>
      <c r="D38" s="1881" t="s">
        <v>736</v>
      </c>
      <c r="E38" s="1881"/>
      <c r="F38" s="1881"/>
      <c r="G38" s="1881"/>
      <c r="H38" s="1881"/>
      <c r="I38" s="1881" t="s">
        <v>737</v>
      </c>
      <c r="J38" s="1881"/>
      <c r="K38" s="1881"/>
      <c r="L38" s="1881"/>
      <c r="M38" s="1882"/>
      <c r="AG38" s="329" t="s">
        <v>876</v>
      </c>
    </row>
    <row r="39" spans="2:33" ht="12.75" customHeight="1">
      <c r="B39" s="1857"/>
      <c r="C39" s="1858"/>
      <c r="D39" s="1881"/>
      <c r="E39" s="1881"/>
      <c r="F39" s="1881"/>
      <c r="G39" s="1881"/>
      <c r="H39" s="1881"/>
      <c r="I39" s="1881"/>
      <c r="J39" s="1881"/>
      <c r="K39" s="1881"/>
      <c r="L39" s="1881"/>
      <c r="M39" s="1882"/>
      <c r="Q39" s="510"/>
      <c r="R39" s="511"/>
      <c r="S39" s="511"/>
      <c r="T39" s="511"/>
      <c r="U39" s="511"/>
      <c r="V39" s="511"/>
      <c r="W39" s="511"/>
      <c r="X39" s="512"/>
      <c r="Y39" s="513"/>
      <c r="Z39" s="363"/>
      <c r="AA39" s="511"/>
      <c r="AB39" s="511"/>
      <c r="AC39" s="511"/>
      <c r="AD39" s="511"/>
      <c r="AE39" s="514"/>
      <c r="AG39" s="329" t="s">
        <v>884</v>
      </c>
    </row>
    <row r="40" spans="2:33">
      <c r="B40" s="1857" t="s">
        <v>719</v>
      </c>
      <c r="C40" s="1858"/>
      <c r="D40" s="1881" t="s">
        <v>741</v>
      </c>
      <c r="E40" s="1881"/>
      <c r="F40" s="1881"/>
      <c r="G40" s="1881"/>
      <c r="H40" s="1881"/>
      <c r="I40" s="1881" t="s">
        <v>742</v>
      </c>
      <c r="J40" s="1881"/>
      <c r="K40" s="1881"/>
      <c r="L40" s="1881"/>
      <c r="M40" s="1882"/>
      <c r="P40" s="236"/>
      <c r="Q40" s="2019" t="s">
        <v>885</v>
      </c>
      <c r="R40" s="1973"/>
      <c r="S40" s="1973"/>
      <c r="T40" s="1973"/>
      <c r="U40" s="1973"/>
      <c r="V40" s="1973"/>
      <c r="W40" s="1973"/>
      <c r="X40" s="2020"/>
      <c r="Y40" s="2021" t="s">
        <v>886</v>
      </c>
      <c r="Z40" s="1973"/>
      <c r="AA40" s="1973"/>
      <c r="AB40" s="1973"/>
      <c r="AC40" s="1973"/>
      <c r="AD40" s="1973"/>
      <c r="AE40" s="2022"/>
      <c r="AG40" s="329" t="s">
        <v>887</v>
      </c>
    </row>
    <row r="41" spans="2:33" ht="12.75" customHeight="1">
      <c r="B41" s="1857"/>
      <c r="C41" s="1858"/>
      <c r="D41" s="1881"/>
      <c r="E41" s="1881"/>
      <c r="F41" s="1881"/>
      <c r="G41" s="1881"/>
      <c r="H41" s="1881"/>
      <c r="I41" s="1881"/>
      <c r="J41" s="1881"/>
      <c r="K41" s="1881"/>
      <c r="L41" s="1881"/>
      <c r="M41" s="1882"/>
      <c r="Q41" s="515"/>
      <c r="R41" s="516"/>
      <c r="S41" s="516"/>
      <c r="T41" s="516"/>
      <c r="U41" s="516"/>
      <c r="V41" s="516"/>
      <c r="W41" s="516"/>
      <c r="X41" s="517"/>
      <c r="Y41" s="518"/>
      <c r="Z41" s="519"/>
      <c r="AA41" s="516"/>
      <c r="AB41" s="516"/>
      <c r="AC41" s="516"/>
      <c r="AD41" s="516"/>
      <c r="AE41" s="520"/>
    </row>
    <row r="42" spans="2:33">
      <c r="B42" s="1857" t="s">
        <v>721</v>
      </c>
      <c r="C42" s="1858"/>
      <c r="D42" s="1881" t="s">
        <v>746</v>
      </c>
      <c r="E42" s="1881"/>
      <c r="F42" s="1881"/>
      <c r="G42" s="1881"/>
      <c r="H42" s="1881"/>
      <c r="I42" s="1881" t="s">
        <v>747</v>
      </c>
      <c r="J42" s="1881"/>
      <c r="K42" s="1881"/>
      <c r="L42" s="1881"/>
      <c r="M42" s="1882"/>
      <c r="Q42" s="2018" t="s">
        <v>888</v>
      </c>
      <c r="R42" s="2016"/>
      <c r="S42" s="2016"/>
      <c r="T42" s="2016"/>
      <c r="U42" s="2016"/>
      <c r="V42" s="2016"/>
      <c r="W42" s="2016"/>
      <c r="X42" s="2016"/>
      <c r="Y42" s="2016" t="s">
        <v>889</v>
      </c>
      <c r="Z42" s="2016"/>
      <c r="AA42" s="2016"/>
      <c r="AB42" s="2016"/>
      <c r="AC42" s="2016"/>
      <c r="AD42" s="2016"/>
      <c r="AE42" s="2017"/>
      <c r="AG42" s="359" t="s">
        <v>890</v>
      </c>
    </row>
    <row r="43" spans="2:33" ht="12.75" customHeight="1">
      <c r="B43" s="1857"/>
      <c r="C43" s="1858"/>
      <c r="D43" s="1881"/>
      <c r="E43" s="1881"/>
      <c r="F43" s="1881"/>
      <c r="G43" s="1881"/>
      <c r="H43" s="1881"/>
      <c r="I43" s="1881"/>
      <c r="J43" s="1881"/>
      <c r="K43" s="1881"/>
      <c r="L43" s="1881"/>
      <c r="M43" s="1882"/>
      <c r="Q43" s="2013"/>
      <c r="R43" s="2014"/>
      <c r="S43" s="2014"/>
      <c r="T43" s="2014"/>
      <c r="U43" s="2014"/>
      <c r="V43" s="2014"/>
      <c r="W43" s="2014"/>
      <c r="X43" s="2014"/>
      <c r="Y43" s="2014"/>
      <c r="Z43" s="2014"/>
      <c r="AA43" s="2014"/>
      <c r="AB43" s="2014"/>
      <c r="AC43" s="2014"/>
      <c r="AD43" s="2014"/>
      <c r="AE43" s="2015"/>
      <c r="AG43" s="329" t="s">
        <v>891</v>
      </c>
    </row>
    <row r="44" spans="2:33">
      <c r="B44" s="1857" t="s">
        <v>722</v>
      </c>
      <c r="C44" s="1858"/>
      <c r="D44" s="1881" t="s">
        <v>751</v>
      </c>
      <c r="E44" s="1881"/>
      <c r="F44" s="1881"/>
      <c r="G44" s="1881"/>
      <c r="H44" s="1881"/>
      <c r="I44" s="1881" t="s">
        <v>747</v>
      </c>
      <c r="J44" s="1881"/>
      <c r="K44" s="1881"/>
      <c r="L44" s="1881"/>
      <c r="M44" s="1882"/>
      <c r="Q44" s="2013" t="s">
        <v>892</v>
      </c>
      <c r="R44" s="2014"/>
      <c r="S44" s="2014"/>
      <c r="T44" s="2014"/>
      <c r="U44" s="2014"/>
      <c r="V44" s="2014"/>
      <c r="W44" s="2014"/>
      <c r="X44" s="2014"/>
      <c r="Y44" s="2014" t="s">
        <v>893</v>
      </c>
      <c r="Z44" s="2014"/>
      <c r="AA44" s="2014"/>
      <c r="AB44" s="2014"/>
      <c r="AC44" s="2014"/>
      <c r="AD44" s="2014"/>
      <c r="AE44" s="2015"/>
      <c r="AG44" s="329" t="s">
        <v>894</v>
      </c>
    </row>
    <row r="45" spans="2:33" ht="12.75" customHeight="1">
      <c r="B45" s="1857"/>
      <c r="C45" s="1858"/>
      <c r="D45" s="1881"/>
      <c r="E45" s="1881"/>
      <c r="F45" s="1881"/>
      <c r="G45" s="1881"/>
      <c r="H45" s="1881"/>
      <c r="I45" s="1881"/>
      <c r="J45" s="1881"/>
      <c r="K45" s="1881"/>
      <c r="L45" s="1881"/>
      <c r="M45" s="1882"/>
      <c r="Q45" s="2013"/>
      <c r="R45" s="2014"/>
      <c r="S45" s="2014"/>
      <c r="T45" s="2014"/>
      <c r="U45" s="2014"/>
      <c r="V45" s="2014"/>
      <c r="W45" s="2014"/>
      <c r="X45" s="2014"/>
      <c r="Y45" s="2014"/>
      <c r="Z45" s="2014"/>
      <c r="AA45" s="2014"/>
      <c r="AB45" s="2014"/>
      <c r="AC45" s="2014"/>
      <c r="AD45" s="2014"/>
      <c r="AE45" s="2015"/>
      <c r="AG45" s="329" t="s">
        <v>895</v>
      </c>
    </row>
    <row r="46" spans="2:33">
      <c r="B46" s="1857" t="s">
        <v>724</v>
      </c>
      <c r="C46" s="1858"/>
      <c r="D46" s="1881" t="s">
        <v>755</v>
      </c>
      <c r="E46" s="1881"/>
      <c r="F46" s="1881"/>
      <c r="G46" s="1881"/>
      <c r="H46" s="1881"/>
      <c r="I46" s="1881" t="s">
        <v>756</v>
      </c>
      <c r="J46" s="1881"/>
      <c r="K46" s="1881"/>
      <c r="L46" s="1881"/>
      <c r="M46" s="1882"/>
      <c r="Q46" s="2013" t="s">
        <v>896</v>
      </c>
      <c r="R46" s="2014"/>
      <c r="S46" s="2014"/>
      <c r="T46" s="2014"/>
      <c r="U46" s="2014"/>
      <c r="V46" s="2014"/>
      <c r="W46" s="2014"/>
      <c r="X46" s="2014"/>
      <c r="Y46" s="2014" t="s">
        <v>897</v>
      </c>
      <c r="Z46" s="2014"/>
      <c r="AA46" s="2014"/>
      <c r="AB46" s="2014"/>
      <c r="AC46" s="2014"/>
      <c r="AD46" s="2014"/>
      <c r="AE46" s="2015"/>
      <c r="AG46" s="329" t="s">
        <v>898</v>
      </c>
    </row>
    <row r="47" spans="2:33" ht="12.75" customHeight="1">
      <c r="B47" s="1862"/>
      <c r="C47" s="1863"/>
      <c r="D47" s="1883"/>
      <c r="E47" s="1883"/>
      <c r="F47" s="1883"/>
      <c r="G47" s="1883"/>
      <c r="H47" s="1883"/>
      <c r="I47" s="1883"/>
      <c r="J47" s="1883"/>
      <c r="K47" s="1883"/>
      <c r="L47" s="1883"/>
      <c r="M47" s="1884"/>
      <c r="Q47" s="2013"/>
      <c r="R47" s="2014"/>
      <c r="S47" s="2014"/>
      <c r="T47" s="2014"/>
      <c r="U47" s="2014"/>
      <c r="V47" s="2014"/>
      <c r="W47" s="2014"/>
      <c r="X47" s="2014"/>
      <c r="Y47" s="2014"/>
      <c r="Z47" s="2014"/>
      <c r="AA47" s="2014"/>
      <c r="AB47" s="2014"/>
      <c r="AC47" s="2014"/>
      <c r="AD47" s="2014"/>
      <c r="AE47" s="2015"/>
      <c r="AG47" s="329" t="s">
        <v>899</v>
      </c>
    </row>
    <row r="48" spans="2:33">
      <c r="Q48" s="2009" t="s">
        <v>900</v>
      </c>
      <c r="R48" s="2010"/>
      <c r="S48" s="2010"/>
      <c r="T48" s="2010"/>
      <c r="U48" s="2010"/>
      <c r="V48" s="2010"/>
      <c r="W48" s="2010"/>
      <c r="X48" s="2010"/>
      <c r="Y48" s="521"/>
      <c r="Z48" s="522"/>
      <c r="AA48" s="522"/>
      <c r="AB48" s="522"/>
      <c r="AC48" s="522"/>
      <c r="AD48" s="522"/>
      <c r="AE48" s="523"/>
      <c r="AG48" s="329" t="s">
        <v>901</v>
      </c>
    </row>
    <row r="49" spans="1:33" ht="12.75" customHeight="1">
      <c r="Q49" s="2011"/>
      <c r="R49" s="2012"/>
      <c r="S49" s="2012"/>
      <c r="T49" s="2012"/>
      <c r="U49" s="2012"/>
      <c r="V49" s="2012"/>
      <c r="W49" s="2012"/>
      <c r="X49" s="2012"/>
      <c r="Y49" s="524"/>
      <c r="Z49" s="525"/>
      <c r="AA49" s="525"/>
      <c r="AB49" s="525"/>
      <c r="AC49" s="525"/>
      <c r="AD49" s="525"/>
      <c r="AE49" s="526"/>
      <c r="AG49" s="329" t="s">
        <v>902</v>
      </c>
    </row>
    <row r="50" spans="1:33">
      <c r="B50" s="1867" t="s">
        <v>903</v>
      </c>
      <c r="C50" s="1867"/>
      <c r="D50" s="1867"/>
      <c r="E50" s="1867"/>
      <c r="F50" s="1867"/>
      <c r="G50" s="1867"/>
      <c r="H50" s="1867"/>
      <c r="I50" s="1867"/>
      <c r="J50" s="1867"/>
      <c r="K50" s="1867"/>
      <c r="L50" s="1867"/>
      <c r="M50" s="1867"/>
      <c r="N50" s="1867"/>
      <c r="O50" s="1867"/>
      <c r="Q50" s="527"/>
      <c r="R50" s="527"/>
      <c r="S50" s="527"/>
      <c r="T50" s="527"/>
      <c r="U50" s="527"/>
      <c r="V50" s="527"/>
      <c r="W50" s="527"/>
      <c r="X50" s="527"/>
    </row>
    <row r="51" spans="1:33">
      <c r="AG51" s="329" t="s">
        <v>904</v>
      </c>
    </row>
    <row r="52" spans="1:33">
      <c r="B52" s="1868" t="s">
        <v>703</v>
      </c>
      <c r="C52" s="1869"/>
      <c r="D52" s="2007" t="s">
        <v>905</v>
      </c>
      <c r="E52" s="2007"/>
      <c r="F52" s="2007"/>
      <c r="G52" s="2007"/>
      <c r="H52" s="2007"/>
      <c r="I52" s="2007"/>
      <c r="J52" s="2007"/>
      <c r="K52" s="2007"/>
      <c r="L52" s="2007"/>
      <c r="M52" s="2007"/>
      <c r="N52" s="2007"/>
      <c r="O52" s="2008"/>
      <c r="Q52" s="1867" t="s">
        <v>906</v>
      </c>
      <c r="R52" s="1867"/>
      <c r="S52" s="1867"/>
      <c r="T52" s="1867"/>
      <c r="U52" s="1867"/>
      <c r="V52" s="1867"/>
      <c r="W52" s="1867"/>
      <c r="X52" s="1867"/>
      <c r="Y52" s="1867"/>
      <c r="Z52" s="1867"/>
      <c r="AA52" s="1867"/>
      <c r="AB52" s="1867"/>
      <c r="AC52" s="1867"/>
      <c r="AD52" s="1867"/>
      <c r="AE52" s="1867"/>
      <c r="AG52" s="329" t="s">
        <v>907</v>
      </c>
    </row>
    <row r="53" spans="1:33">
      <c r="B53" s="1874" t="s">
        <v>710</v>
      </c>
      <c r="C53" s="1875"/>
      <c r="D53" s="1875" t="s">
        <v>715</v>
      </c>
      <c r="E53" s="1875"/>
      <c r="F53" s="1875" t="s">
        <v>717</v>
      </c>
      <c r="G53" s="1875"/>
      <c r="H53" s="1875" t="s">
        <v>719</v>
      </c>
      <c r="I53" s="1875"/>
      <c r="J53" s="1875" t="s">
        <v>721</v>
      </c>
      <c r="K53" s="1875"/>
      <c r="L53" s="1875" t="s">
        <v>722</v>
      </c>
      <c r="M53" s="1875"/>
      <c r="N53" s="1875" t="s">
        <v>724</v>
      </c>
      <c r="O53" s="2002"/>
    </row>
    <row r="54" spans="1:33">
      <c r="B54" s="2003" t="s">
        <v>908</v>
      </c>
      <c r="C54" s="2004"/>
      <c r="D54" s="2005">
        <v>18</v>
      </c>
      <c r="E54" s="2005"/>
      <c r="F54" s="2005">
        <v>18</v>
      </c>
      <c r="G54" s="2005"/>
      <c r="H54" s="2005">
        <v>23</v>
      </c>
      <c r="I54" s="2005"/>
      <c r="J54" s="2005">
        <v>0</v>
      </c>
      <c r="K54" s="2005"/>
      <c r="L54" s="2005">
        <v>0</v>
      </c>
      <c r="M54" s="2005"/>
      <c r="N54" s="2005">
        <v>0</v>
      </c>
      <c r="O54" s="2006"/>
      <c r="Q54" s="1888" t="s">
        <v>909</v>
      </c>
      <c r="R54" s="1888"/>
      <c r="S54" s="1888"/>
      <c r="T54" s="1888"/>
      <c r="U54" s="1888"/>
      <c r="V54" s="1888"/>
      <c r="W54" s="1888"/>
      <c r="X54" s="1888"/>
      <c r="Y54" s="1888"/>
      <c r="Z54" s="1888"/>
      <c r="AA54" s="1888"/>
      <c r="AB54" s="1888"/>
      <c r="AC54" s="1888"/>
      <c r="AD54" s="1888"/>
      <c r="AE54" s="1888"/>
    </row>
    <row r="55" spans="1:33">
      <c r="B55" s="1996"/>
      <c r="C55" s="1997"/>
      <c r="D55" s="1994"/>
      <c r="E55" s="1994"/>
      <c r="F55" s="1994"/>
      <c r="G55" s="1994"/>
      <c r="H55" s="1994"/>
      <c r="I55" s="1994"/>
      <c r="J55" s="1994"/>
      <c r="K55" s="1994"/>
      <c r="L55" s="1994"/>
      <c r="M55" s="1994"/>
      <c r="N55" s="1994"/>
      <c r="O55" s="1995"/>
      <c r="Q55" s="1888"/>
      <c r="R55" s="1888"/>
      <c r="S55" s="1888"/>
      <c r="T55" s="1888"/>
      <c r="U55" s="1888"/>
      <c r="V55" s="1888"/>
      <c r="W55" s="1888"/>
      <c r="X55" s="1888"/>
      <c r="Y55" s="1888"/>
      <c r="Z55" s="1888"/>
      <c r="AA55" s="1888"/>
      <c r="AB55" s="1888"/>
      <c r="AC55" s="1888"/>
      <c r="AD55" s="1888"/>
      <c r="AE55" s="1888"/>
      <c r="AG55" s="415" t="s">
        <v>910</v>
      </c>
    </row>
    <row r="56" spans="1:33">
      <c r="B56" s="1996" t="s">
        <v>911</v>
      </c>
      <c r="C56" s="1997"/>
      <c r="D56" s="1994">
        <v>23</v>
      </c>
      <c r="E56" s="1994"/>
      <c r="F56" s="1994">
        <v>23</v>
      </c>
      <c r="G56" s="1994"/>
      <c r="H56" s="1994">
        <v>30</v>
      </c>
      <c r="I56" s="1994"/>
      <c r="J56" s="1994">
        <v>0</v>
      </c>
      <c r="K56" s="1994"/>
      <c r="L56" s="1994">
        <v>0</v>
      </c>
      <c r="M56" s="1994"/>
      <c r="N56" s="1994">
        <v>0</v>
      </c>
      <c r="O56" s="1995"/>
      <c r="Q56" s="358" t="s">
        <v>912</v>
      </c>
      <c r="R56" s="359"/>
      <c r="S56" s="359"/>
      <c r="T56" s="359"/>
      <c r="U56" s="359"/>
      <c r="V56" s="359"/>
      <c r="W56" s="359"/>
      <c r="X56" s="359"/>
      <c r="Y56" s="236"/>
      <c r="Z56" s="236"/>
      <c r="AA56" s="359"/>
      <c r="AB56" s="359"/>
      <c r="AC56" s="359"/>
      <c r="AD56" s="359"/>
      <c r="AE56" s="359"/>
    </row>
    <row r="57" spans="1:33">
      <c r="B57" s="1996"/>
      <c r="C57" s="1997"/>
      <c r="D57" s="1994"/>
      <c r="E57" s="1994"/>
      <c r="F57" s="1994"/>
      <c r="G57" s="1994"/>
      <c r="H57" s="1994"/>
      <c r="I57" s="1994"/>
      <c r="J57" s="1994"/>
      <c r="K57" s="1994"/>
      <c r="L57" s="1994"/>
      <c r="M57" s="1994"/>
      <c r="N57" s="1994"/>
      <c r="O57" s="1995"/>
      <c r="Q57" s="358" t="s">
        <v>913</v>
      </c>
      <c r="R57" s="358"/>
      <c r="S57" s="358"/>
      <c r="T57" s="358"/>
      <c r="U57" s="358"/>
      <c r="V57" s="358"/>
      <c r="W57" s="358"/>
      <c r="X57" s="358"/>
      <c r="Y57" s="358"/>
      <c r="Z57" s="358"/>
      <c r="AA57" s="358"/>
      <c r="AB57" s="358"/>
      <c r="AC57" s="358"/>
      <c r="AD57" s="358"/>
      <c r="AE57" s="358"/>
      <c r="AG57" s="359" t="s">
        <v>914</v>
      </c>
    </row>
    <row r="58" spans="1:33">
      <c r="B58" s="1996">
        <v>3</v>
      </c>
      <c r="C58" s="1997"/>
      <c r="D58" s="1994">
        <v>30</v>
      </c>
      <c r="E58" s="1994"/>
      <c r="F58" s="1994">
        <v>30</v>
      </c>
      <c r="G58" s="1994"/>
      <c r="H58" s="1994">
        <v>30</v>
      </c>
      <c r="I58" s="1994"/>
      <c r="J58" s="1994">
        <v>45</v>
      </c>
      <c r="K58" s="1994"/>
      <c r="L58" s="1994">
        <v>0</v>
      </c>
      <c r="M58" s="1994"/>
      <c r="N58" s="1994">
        <v>0</v>
      </c>
      <c r="O58" s="1995"/>
      <c r="Q58" s="358" t="s">
        <v>915</v>
      </c>
      <c r="R58" s="358"/>
      <c r="S58" s="358"/>
      <c r="T58" s="358"/>
      <c r="U58" s="358"/>
      <c r="V58" s="358"/>
      <c r="W58" s="358"/>
      <c r="X58" s="358"/>
      <c r="Y58" s="358"/>
      <c r="Z58" s="358"/>
      <c r="AA58" s="358"/>
      <c r="AB58" s="358"/>
      <c r="AC58" s="358"/>
      <c r="AD58" s="358"/>
      <c r="AE58" s="358"/>
      <c r="AG58" s="329" t="s">
        <v>916</v>
      </c>
    </row>
    <row r="59" spans="1:33">
      <c r="B59" s="1996"/>
      <c r="C59" s="1997"/>
      <c r="D59" s="1994"/>
      <c r="E59" s="1994"/>
      <c r="F59" s="1994"/>
      <c r="G59" s="1994"/>
      <c r="H59" s="1994"/>
      <c r="I59" s="1994"/>
      <c r="J59" s="1994"/>
      <c r="K59" s="1994"/>
      <c r="L59" s="1994"/>
      <c r="M59" s="1994"/>
      <c r="N59" s="1994"/>
      <c r="O59" s="1995"/>
      <c r="Q59" s="358" t="s">
        <v>917</v>
      </c>
      <c r="R59" s="417"/>
      <c r="S59" s="417"/>
      <c r="T59" s="417"/>
      <c r="U59" s="417"/>
      <c r="V59" s="417"/>
      <c r="W59" s="417"/>
      <c r="X59" s="417"/>
      <c r="Y59" s="417"/>
      <c r="Z59" s="417"/>
      <c r="AA59" s="417"/>
      <c r="AB59" s="417"/>
      <c r="AC59" s="417"/>
      <c r="AD59" s="417"/>
      <c r="AE59" s="417"/>
      <c r="AG59" s="329" t="s">
        <v>918</v>
      </c>
    </row>
    <row r="60" spans="1:33" ht="12.75" customHeight="1">
      <c r="A60" s="528" t="s">
        <v>919</v>
      </c>
      <c r="B60" s="1996">
        <v>4</v>
      </c>
      <c r="C60" s="1997"/>
      <c r="D60" s="1994">
        <v>0</v>
      </c>
      <c r="E60" s="1994"/>
      <c r="F60" s="1994">
        <v>0</v>
      </c>
      <c r="G60" s="1994"/>
      <c r="H60" s="1994">
        <v>45</v>
      </c>
      <c r="I60" s="1994"/>
      <c r="J60" s="1994">
        <v>45</v>
      </c>
      <c r="K60" s="1994"/>
      <c r="L60" s="1994">
        <v>45</v>
      </c>
      <c r="M60" s="1994"/>
      <c r="N60" s="1994">
        <v>60</v>
      </c>
      <c r="O60" s="1995"/>
      <c r="Q60" s="421" t="s">
        <v>920</v>
      </c>
      <c r="R60" s="417"/>
      <c r="S60" s="417"/>
      <c r="T60" s="417"/>
      <c r="U60" s="417"/>
      <c r="V60" s="417"/>
      <c r="W60" s="417"/>
      <c r="X60" s="417"/>
      <c r="Y60" s="417"/>
      <c r="Z60" s="417"/>
      <c r="AA60" s="417"/>
      <c r="AB60" s="417"/>
      <c r="AC60" s="417"/>
      <c r="AD60" s="417"/>
      <c r="AE60" s="417"/>
      <c r="AG60" s="329" t="s">
        <v>921</v>
      </c>
    </row>
    <row r="61" spans="1:33">
      <c r="A61" s="528"/>
      <c r="B61" s="1998"/>
      <c r="C61" s="1999"/>
      <c r="D61" s="2000"/>
      <c r="E61" s="2000"/>
      <c r="F61" s="2000"/>
      <c r="G61" s="2000"/>
      <c r="H61" s="2000"/>
      <c r="I61" s="2000"/>
      <c r="J61" s="2000"/>
      <c r="K61" s="2000"/>
      <c r="L61" s="2000"/>
      <c r="M61" s="2000"/>
      <c r="N61" s="2000"/>
      <c r="O61" s="2001"/>
      <c r="Q61" s="358"/>
      <c r="R61" s="359"/>
      <c r="S61" s="359"/>
      <c r="T61" s="359"/>
      <c r="U61" s="359"/>
      <c r="V61" s="359"/>
      <c r="W61" s="359"/>
      <c r="X61" s="359"/>
      <c r="Y61" s="236"/>
      <c r="Z61" s="236"/>
      <c r="AA61" s="359"/>
      <c r="AB61" s="359"/>
      <c r="AC61" s="359"/>
      <c r="AD61" s="359"/>
      <c r="AE61" s="359"/>
      <c r="AG61" s="329" t="s">
        <v>922</v>
      </c>
    </row>
    <row r="62" spans="1:33">
      <c r="Q62" s="358"/>
      <c r="R62" s="358"/>
      <c r="S62" s="358"/>
      <c r="T62" s="358"/>
      <c r="U62" s="358"/>
      <c r="V62" s="358"/>
      <c r="W62" s="358"/>
      <c r="X62" s="358"/>
      <c r="Y62" s="358"/>
      <c r="Z62" s="358"/>
      <c r="AA62" s="358"/>
      <c r="AB62" s="358"/>
      <c r="AC62" s="358"/>
      <c r="AD62" s="358"/>
      <c r="AE62" s="358"/>
      <c r="AG62" s="329" t="s">
        <v>923</v>
      </c>
    </row>
    <row r="63" spans="1:33">
      <c r="B63" s="528"/>
      <c r="C63" s="528"/>
      <c r="D63" s="528"/>
      <c r="E63" s="528"/>
      <c r="F63" s="528"/>
      <c r="G63" s="528"/>
      <c r="H63" s="528"/>
      <c r="I63" s="528"/>
      <c r="J63" s="528"/>
      <c r="K63" s="528"/>
      <c r="L63" s="528"/>
      <c r="M63" s="528"/>
      <c r="AG63" s="329" t="s">
        <v>924</v>
      </c>
    </row>
    <row r="64" spans="1:33">
      <c r="B64" s="528"/>
      <c r="C64" s="528"/>
      <c r="D64" s="528"/>
      <c r="E64" s="528"/>
      <c r="F64" s="528"/>
      <c r="G64" s="528"/>
      <c r="H64" s="528"/>
      <c r="I64" s="528"/>
      <c r="J64" s="528"/>
      <c r="K64" s="528"/>
      <c r="L64" s="528"/>
      <c r="M64" s="528"/>
      <c r="AG64" s="329" t="s">
        <v>925</v>
      </c>
    </row>
    <row r="70" spans="44:44">
      <c r="AR70" s="664"/>
    </row>
  </sheetData>
  <sheetProtection algorithmName="SHA-512" hashValue="kEuPzCitBGQbFSORjsFVA1jOzrVihKfl30FU43d7XbTp9ygetIrrpxi1fUf7OJXkj2fELp4zPENV77ojLc08Wg==" saltValue="NKJ2bOYDZhjLO559Sf0EYw==" spinCount="100000" sheet="1" objects="1" scenarios="1"/>
  <mergeCells count="92">
    <mergeCell ref="D15:J15"/>
    <mergeCell ref="A3:AQ3"/>
    <mergeCell ref="A5:AQ5"/>
    <mergeCell ref="A7:AQ7"/>
    <mergeCell ref="A10:AQ10"/>
    <mergeCell ref="O13:AE13"/>
    <mergeCell ref="B31:M31"/>
    <mergeCell ref="D16:E16"/>
    <mergeCell ref="F16:J17"/>
    <mergeCell ref="D17:E17"/>
    <mergeCell ref="D18:E19"/>
    <mergeCell ref="F18:J19"/>
    <mergeCell ref="D20:E21"/>
    <mergeCell ref="F20:J21"/>
    <mergeCell ref="D22:E23"/>
    <mergeCell ref="F22:J23"/>
    <mergeCell ref="D24:E25"/>
    <mergeCell ref="F24:J25"/>
    <mergeCell ref="B27:M29"/>
    <mergeCell ref="B33:M33"/>
    <mergeCell ref="B34:C34"/>
    <mergeCell ref="D34:H35"/>
    <mergeCell ref="I34:M35"/>
    <mergeCell ref="B35:C35"/>
    <mergeCell ref="Q37:AE37"/>
    <mergeCell ref="B38:C39"/>
    <mergeCell ref="D38:H39"/>
    <mergeCell ref="I38:M39"/>
    <mergeCell ref="B40:C41"/>
    <mergeCell ref="D40:H41"/>
    <mergeCell ref="I40:M41"/>
    <mergeCell ref="Q40:X40"/>
    <mergeCell ref="Y40:AE40"/>
    <mergeCell ref="B36:C37"/>
    <mergeCell ref="D36:H37"/>
    <mergeCell ref="I36:M37"/>
    <mergeCell ref="Y42:AE43"/>
    <mergeCell ref="B44:C45"/>
    <mergeCell ref="D44:H45"/>
    <mergeCell ref="I44:M45"/>
    <mergeCell ref="Q44:X45"/>
    <mergeCell ref="Y44:AE45"/>
    <mergeCell ref="B42:C43"/>
    <mergeCell ref="D42:H43"/>
    <mergeCell ref="I42:M43"/>
    <mergeCell ref="Q42:X43"/>
    <mergeCell ref="B46:C47"/>
    <mergeCell ref="D46:H47"/>
    <mergeCell ref="I46:M47"/>
    <mergeCell ref="Q46:X47"/>
    <mergeCell ref="Y46:AE47"/>
    <mergeCell ref="B50:O50"/>
    <mergeCell ref="B52:C52"/>
    <mergeCell ref="D52:O52"/>
    <mergeCell ref="Q52:AE52"/>
    <mergeCell ref="Q48:X49"/>
    <mergeCell ref="L53:M53"/>
    <mergeCell ref="N53:O53"/>
    <mergeCell ref="B54:C55"/>
    <mergeCell ref="D54:E55"/>
    <mergeCell ref="F54:G55"/>
    <mergeCell ref="H54:I55"/>
    <mergeCell ref="J54:K55"/>
    <mergeCell ref="L54:M55"/>
    <mergeCell ref="N54:O55"/>
    <mergeCell ref="B53:C53"/>
    <mergeCell ref="D53:E53"/>
    <mergeCell ref="F53:G53"/>
    <mergeCell ref="H53:I53"/>
    <mergeCell ref="J53:K53"/>
    <mergeCell ref="Q54:AE55"/>
    <mergeCell ref="B56:C57"/>
    <mergeCell ref="D56:E57"/>
    <mergeCell ref="F56:G57"/>
    <mergeCell ref="H56:I57"/>
    <mergeCell ref="J56:K57"/>
    <mergeCell ref="L56:M57"/>
    <mergeCell ref="N56:O57"/>
    <mergeCell ref="N58:O59"/>
    <mergeCell ref="B60:C61"/>
    <mergeCell ref="D60:E61"/>
    <mergeCell ref="F60:G61"/>
    <mergeCell ref="H60:I61"/>
    <mergeCell ref="J60:K61"/>
    <mergeCell ref="L60:M61"/>
    <mergeCell ref="N60:O61"/>
    <mergeCell ref="B58:C59"/>
    <mergeCell ref="D58:E59"/>
    <mergeCell ref="F58:G59"/>
    <mergeCell ref="H58:I59"/>
    <mergeCell ref="J58:K59"/>
    <mergeCell ref="L58:M59"/>
  </mergeCells>
  <printOptions horizontalCentered="1" verticalCentered="1"/>
  <pageMargins left="0.15748031496062992" right="0.15748031496062992" top="0.23622047244094491" bottom="0.43307086614173229" header="0.19685039370078741" footer="0.15748031496062992"/>
  <pageSetup paperSize="8" scale="93" firstPageNumber="11"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6">
    <tabColor rgb="FFFFFF00"/>
    <pageSetUpPr fitToPage="1"/>
  </sheetPr>
  <dimension ref="A1:AU66"/>
  <sheetViews>
    <sheetView workbookViewId="0">
      <selection activeCell="Y73" sqref="Y73"/>
    </sheetView>
  </sheetViews>
  <sheetFormatPr defaultColWidth="9.140625" defaultRowHeight="12.75"/>
  <cols>
    <col min="1" max="1" width="1.5703125" style="231" customWidth="1"/>
    <col min="2" max="4" width="4.42578125" style="231" customWidth="1"/>
    <col min="5" max="5" width="4.42578125" style="326" customWidth="1"/>
    <col min="6" max="6" width="4.42578125" style="329" customWidth="1"/>
    <col min="7" max="11" width="4.42578125" style="231" customWidth="1"/>
    <col min="12" max="13" width="4.42578125" style="329" customWidth="1"/>
    <col min="14" max="14" width="4.42578125" style="231" customWidth="1"/>
    <col min="15" max="15" width="3.85546875" style="231" customWidth="1"/>
    <col min="16" max="16" width="4.28515625" style="231" customWidth="1"/>
    <col min="17" max="18" width="4.42578125" style="231" customWidth="1"/>
    <col min="19" max="22" width="4.42578125" style="329" customWidth="1"/>
    <col min="23" max="23" width="5" style="329" customWidth="1"/>
    <col min="24" max="33" width="4.42578125" style="329" customWidth="1"/>
    <col min="34" max="34" width="0.85546875" style="329" customWidth="1"/>
    <col min="35" max="35" width="4.140625" style="329" customWidth="1"/>
    <col min="36" max="36" width="5" style="329" customWidth="1"/>
    <col min="37" max="41" width="4.42578125" style="329" customWidth="1"/>
    <col min="42" max="43" width="4.42578125" style="231" customWidth="1"/>
    <col min="44" max="16384" width="9.140625" style="231"/>
  </cols>
  <sheetData>
    <row r="1" spans="1:47" s="217" customFormat="1" ht="6.75" customHeight="1" thickBot="1">
      <c r="B1" s="218"/>
    </row>
    <row r="2" spans="1:47"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G2" s="219"/>
      <c r="AH2" s="219"/>
      <c r="AI2" s="219"/>
      <c r="AJ2" s="219"/>
      <c r="AK2" s="219"/>
      <c r="AL2" s="219"/>
      <c r="AM2" s="219"/>
      <c r="AN2" s="219"/>
      <c r="AO2" s="219"/>
      <c r="AP2" s="219"/>
      <c r="AQ2" s="219"/>
    </row>
    <row r="3" spans="1:47"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c r="X3" s="1820"/>
      <c r="Y3" s="1820"/>
      <c r="Z3" s="1820"/>
      <c r="AA3" s="1820"/>
      <c r="AB3" s="1820"/>
      <c r="AC3" s="1820"/>
      <c r="AD3" s="1820"/>
      <c r="AE3" s="1820"/>
      <c r="AF3" s="1820"/>
      <c r="AG3" s="1820"/>
      <c r="AH3" s="1820"/>
      <c r="AI3" s="1820"/>
      <c r="AJ3" s="1820"/>
      <c r="AK3" s="1820"/>
      <c r="AL3" s="1820"/>
      <c r="AM3" s="1820"/>
      <c r="AN3" s="1820"/>
      <c r="AO3" s="1820"/>
      <c r="AP3" s="1820"/>
      <c r="AQ3" s="1820"/>
    </row>
    <row r="4" spans="1:47" s="217" customFormat="1" ht="4.5" customHeight="1">
      <c r="A4" s="221"/>
      <c r="B4" s="222"/>
      <c r="C4" s="222"/>
      <c r="D4" s="222"/>
      <c r="H4" s="222"/>
      <c r="I4" s="222"/>
      <c r="J4" s="222"/>
      <c r="K4" s="222"/>
      <c r="M4" s="223"/>
      <c r="N4" s="224"/>
      <c r="O4" s="225"/>
    </row>
    <row r="5" spans="1:47" s="217" customFormat="1" ht="22.5">
      <c r="A5" s="1821" t="str">
        <f>'ICAO Tables'!A5:AQ5</f>
        <v>4.  RUNWAYS</v>
      </c>
      <c r="B5" s="1821"/>
      <c r="C5" s="1821"/>
      <c r="D5" s="1821"/>
      <c r="E5" s="1821"/>
      <c r="F5" s="1821"/>
      <c r="G5" s="1821"/>
      <c r="H5" s="1821"/>
      <c r="I5" s="1821"/>
      <c r="J5" s="1821"/>
      <c r="K5" s="1821"/>
      <c r="L5" s="1821"/>
      <c r="M5" s="1821"/>
      <c r="N5" s="1821"/>
      <c r="O5" s="1821"/>
      <c r="P5" s="1821"/>
      <c r="Q5" s="1821"/>
      <c r="R5" s="1821"/>
      <c r="S5" s="1821"/>
      <c r="T5" s="1821"/>
      <c r="U5" s="1821"/>
      <c r="V5" s="1821"/>
      <c r="W5" s="1821"/>
      <c r="X5" s="1821"/>
      <c r="Y5" s="1821"/>
      <c r="Z5" s="1821"/>
      <c r="AA5" s="1821"/>
      <c r="AB5" s="1821"/>
      <c r="AC5" s="1821"/>
      <c r="AD5" s="1821"/>
      <c r="AE5" s="1821"/>
      <c r="AF5" s="1821"/>
      <c r="AG5" s="1821"/>
      <c r="AH5" s="1821"/>
      <c r="AI5" s="1821"/>
      <c r="AJ5" s="1821"/>
      <c r="AK5" s="1821"/>
      <c r="AL5" s="1821"/>
      <c r="AM5" s="1821"/>
      <c r="AN5" s="1821"/>
      <c r="AO5" s="1821"/>
      <c r="AP5" s="1821"/>
      <c r="AQ5" s="1821"/>
    </row>
    <row r="6" spans="1:47" s="217" customFormat="1" ht="7.5" customHeight="1">
      <c r="A6" s="221"/>
      <c r="B6" s="222"/>
      <c r="C6" s="222"/>
      <c r="D6" s="222"/>
      <c r="H6" s="222"/>
      <c r="I6" s="222"/>
      <c r="J6" s="222"/>
      <c r="K6" s="222"/>
      <c r="M6" s="223"/>
      <c r="N6" s="224"/>
      <c r="O6" s="225"/>
    </row>
    <row r="7" spans="1:47" s="217" customFormat="1">
      <c r="A7" s="1822"/>
      <c r="B7" s="1822"/>
      <c r="C7" s="1822"/>
      <c r="D7" s="1822"/>
      <c r="E7" s="1822"/>
      <c r="F7" s="1822"/>
      <c r="G7" s="1822"/>
      <c r="H7" s="1822"/>
      <c r="I7" s="1822"/>
      <c r="J7" s="1822"/>
      <c r="K7" s="1822"/>
      <c r="L7" s="1822"/>
      <c r="M7" s="1822"/>
      <c r="N7" s="1822"/>
      <c r="O7" s="1822"/>
      <c r="P7" s="1822"/>
      <c r="Q7" s="1822"/>
      <c r="R7" s="1822"/>
      <c r="S7" s="1822"/>
      <c r="T7" s="1822"/>
      <c r="U7" s="1822"/>
      <c r="V7" s="1822"/>
      <c r="W7" s="1822"/>
      <c r="X7" s="1822"/>
      <c r="Y7" s="1822"/>
      <c r="Z7" s="1822"/>
      <c r="AA7" s="1822"/>
      <c r="AB7" s="1822"/>
      <c r="AC7" s="1822"/>
      <c r="AD7" s="1822"/>
      <c r="AE7" s="1822"/>
      <c r="AF7" s="1822"/>
      <c r="AG7" s="1822"/>
      <c r="AH7" s="1822"/>
      <c r="AI7" s="1822"/>
      <c r="AJ7" s="1822"/>
      <c r="AK7" s="1822"/>
      <c r="AL7" s="1822"/>
      <c r="AM7" s="1822"/>
      <c r="AN7" s="1822"/>
      <c r="AO7" s="1822"/>
      <c r="AP7" s="1822"/>
      <c r="AQ7" s="1822"/>
    </row>
    <row r="8" spans="1:47"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c r="X8" s="226"/>
      <c r="Y8" s="226"/>
      <c r="Z8" s="226"/>
      <c r="AA8" s="226"/>
      <c r="AB8" s="226"/>
      <c r="AC8" s="226"/>
      <c r="AD8" s="226"/>
      <c r="AE8" s="226"/>
      <c r="AF8" s="226"/>
      <c r="AG8" s="226"/>
      <c r="AH8" s="226"/>
      <c r="AI8" s="226"/>
      <c r="AJ8" s="226"/>
      <c r="AK8" s="226"/>
      <c r="AL8" s="226"/>
      <c r="AM8" s="226"/>
      <c r="AN8" s="226"/>
      <c r="AO8" s="226"/>
      <c r="AP8" s="226"/>
      <c r="AQ8" s="226"/>
    </row>
    <row r="9" spans="1:47" s="217" customFormat="1" ht="8.25" customHeight="1">
      <c r="A9" s="228"/>
      <c r="B9" s="229"/>
      <c r="C9" s="229"/>
      <c r="D9" s="229"/>
      <c r="E9" s="229"/>
      <c r="F9" s="229"/>
      <c r="G9" s="229"/>
      <c r="H9" s="229"/>
      <c r="I9" s="229"/>
      <c r="J9" s="230"/>
      <c r="K9" s="229"/>
      <c r="L9" s="229"/>
      <c r="M9" s="229"/>
      <c r="N9" s="229"/>
      <c r="O9" s="229"/>
      <c r="P9" s="229"/>
      <c r="Q9" s="229"/>
      <c r="R9" s="229"/>
      <c r="S9" s="229"/>
      <c r="T9" s="229"/>
      <c r="U9" s="229"/>
      <c r="V9" s="229"/>
      <c r="W9" s="229"/>
      <c r="X9" s="229"/>
      <c r="Y9" s="229"/>
      <c r="Z9" s="229"/>
      <c r="AA9" s="229"/>
      <c r="AB9" s="229"/>
      <c r="AC9" s="229"/>
      <c r="AD9" s="229"/>
      <c r="AE9" s="229"/>
      <c r="AF9" s="229"/>
      <c r="AG9" s="229"/>
      <c r="AH9" s="229"/>
      <c r="AI9" s="229"/>
      <c r="AJ9" s="229"/>
      <c r="AK9" s="229"/>
      <c r="AL9" s="229"/>
      <c r="AM9" s="229"/>
      <c r="AN9" s="229"/>
      <c r="AO9" s="229"/>
      <c r="AP9" s="229"/>
      <c r="AQ9" s="229"/>
    </row>
    <row r="10" spans="1:47" s="217" customFormat="1" ht="18">
      <c r="A10" s="1823" t="s">
        <v>926</v>
      </c>
      <c r="B10" s="1823"/>
      <c r="C10" s="1823"/>
      <c r="D10" s="1823"/>
      <c r="E10" s="1823"/>
      <c r="F10" s="1823"/>
      <c r="G10" s="1823"/>
      <c r="H10" s="1823"/>
      <c r="I10" s="1823"/>
      <c r="J10" s="1823"/>
      <c r="K10" s="1823"/>
      <c r="L10" s="1823"/>
      <c r="M10" s="1823"/>
      <c r="N10" s="1823"/>
      <c r="O10" s="1823"/>
      <c r="P10" s="1823"/>
      <c r="Q10" s="1823"/>
      <c r="R10" s="1823"/>
      <c r="S10" s="1823"/>
      <c r="T10" s="1823"/>
      <c r="U10" s="1823"/>
      <c r="V10" s="1823"/>
      <c r="W10" s="1823"/>
      <c r="X10" s="1823"/>
      <c r="Y10" s="1823"/>
      <c r="Z10" s="1823"/>
      <c r="AA10" s="1823"/>
      <c r="AB10" s="1823"/>
      <c r="AC10" s="1823"/>
      <c r="AD10" s="1823"/>
      <c r="AE10" s="1823"/>
      <c r="AF10" s="1823"/>
      <c r="AG10" s="1823"/>
      <c r="AH10" s="1823"/>
      <c r="AI10" s="1823"/>
      <c r="AJ10" s="1823"/>
      <c r="AK10" s="1823"/>
      <c r="AL10" s="1823"/>
      <c r="AM10" s="1823"/>
      <c r="AN10" s="1823"/>
      <c r="AO10" s="1823"/>
      <c r="AP10" s="1823"/>
      <c r="AQ10" s="1823"/>
    </row>
    <row r="11" spans="1:47" s="217" customFormat="1" ht="15">
      <c r="A11" s="228"/>
      <c r="B11" s="229"/>
      <c r="C11" s="229"/>
      <c r="D11" s="229"/>
      <c r="E11" s="229"/>
      <c r="F11" s="229"/>
      <c r="G11" s="229"/>
      <c r="H11" s="229"/>
      <c r="I11" s="229"/>
      <c r="J11" s="230"/>
      <c r="K11" s="229"/>
      <c r="L11" s="229"/>
      <c r="M11" s="229"/>
      <c r="N11" s="229"/>
      <c r="O11" s="229"/>
      <c r="P11" s="229"/>
      <c r="Q11" s="229"/>
      <c r="R11" s="229"/>
      <c r="S11" s="229"/>
      <c r="T11" s="229"/>
      <c r="U11" s="229"/>
      <c r="V11" s="229"/>
      <c r="W11" s="229"/>
      <c r="X11" s="229"/>
      <c r="Y11" s="229"/>
      <c r="Z11" s="229"/>
      <c r="AA11" s="229"/>
      <c r="AB11" s="229"/>
      <c r="AC11" s="229"/>
      <c r="AD11" s="229"/>
      <c r="AE11" s="229"/>
      <c r="AF11" s="229"/>
      <c r="AG11" s="229"/>
      <c r="AH11" s="229"/>
      <c r="AI11" s="229"/>
      <c r="AJ11" s="229"/>
      <c r="AK11" s="229"/>
      <c r="AL11" s="229"/>
      <c r="AM11" s="229"/>
      <c r="AN11" s="229"/>
      <c r="AO11" s="229"/>
    </row>
    <row r="13" spans="1:47">
      <c r="C13" s="415"/>
      <c r="O13" s="415"/>
      <c r="P13" s="415"/>
      <c r="Q13" s="415"/>
      <c r="R13" s="415"/>
      <c r="S13" s="415"/>
      <c r="T13" s="415"/>
      <c r="U13" s="415"/>
      <c r="V13" s="415"/>
      <c r="W13" s="415"/>
      <c r="X13" s="415"/>
      <c r="Y13" s="415"/>
      <c r="Z13" s="415"/>
      <c r="AA13" s="415"/>
      <c r="AB13" s="415"/>
      <c r="AC13" s="415"/>
      <c r="AD13" s="415"/>
      <c r="AE13" s="415"/>
      <c r="AF13" s="415"/>
      <c r="AG13" s="415"/>
      <c r="AH13" s="415"/>
      <c r="AI13" s="415"/>
      <c r="AJ13" s="415"/>
      <c r="AK13" s="415"/>
      <c r="AL13" s="415"/>
      <c r="AM13" s="415"/>
      <c r="AN13" s="415"/>
      <c r="AO13" s="415"/>
      <c r="AP13" s="415"/>
      <c r="AQ13" s="415"/>
      <c r="AR13" s="415"/>
      <c r="AS13" s="415"/>
      <c r="AT13" s="415"/>
      <c r="AU13" s="415"/>
    </row>
    <row r="14" spans="1:47">
      <c r="AG14" s="416"/>
    </row>
    <row r="15" spans="1:47">
      <c r="D15" s="236"/>
      <c r="E15" s="236"/>
      <c r="F15" s="236"/>
      <c r="G15" s="236"/>
      <c r="H15" s="236"/>
      <c r="I15" s="236"/>
      <c r="J15" s="236"/>
      <c r="L15" s="231"/>
      <c r="M15" s="231"/>
    </row>
    <row r="16" spans="1:47" ht="12.75" customHeight="1">
      <c r="D16" s="236"/>
      <c r="E16" s="236"/>
      <c r="F16" s="418"/>
      <c r="G16" s="418"/>
      <c r="H16" s="418"/>
      <c r="I16" s="418"/>
      <c r="J16" s="418"/>
      <c r="L16" s="231"/>
      <c r="M16" s="231"/>
      <c r="Z16" s="529"/>
      <c r="AA16" s="529"/>
      <c r="AB16" s="529"/>
      <c r="AC16" s="529"/>
      <c r="AD16" s="529"/>
      <c r="AE16" s="529"/>
      <c r="AF16" s="529"/>
      <c r="AG16" s="530"/>
      <c r="AH16" s="529"/>
      <c r="AI16" s="529"/>
      <c r="AJ16" s="529"/>
      <c r="AK16" s="529"/>
      <c r="AL16" s="529"/>
      <c r="AM16" s="529"/>
    </row>
    <row r="17" spans="2:43">
      <c r="D17" s="236"/>
      <c r="E17" s="236"/>
      <c r="F17" s="418"/>
      <c r="G17" s="418"/>
      <c r="H17" s="418"/>
      <c r="I17" s="418"/>
      <c r="J17" s="418"/>
      <c r="L17" s="231"/>
      <c r="M17" s="231"/>
      <c r="Z17" s="529"/>
      <c r="AA17" s="529"/>
      <c r="AB17" s="529"/>
      <c r="AC17" s="529"/>
      <c r="AD17" s="529"/>
      <c r="AE17" s="529"/>
      <c r="AF17" s="529"/>
      <c r="AG17" s="530"/>
      <c r="AH17" s="529"/>
      <c r="AI17" s="529"/>
      <c r="AJ17" s="529"/>
      <c r="AK17" s="529"/>
      <c r="AL17" s="529"/>
      <c r="AM17" s="529"/>
    </row>
    <row r="18" spans="2:43" ht="12.75" customHeight="1">
      <c r="D18" s="419"/>
      <c r="E18" s="419"/>
      <c r="F18" s="420"/>
      <c r="G18" s="420"/>
      <c r="H18" s="420"/>
      <c r="I18" s="420"/>
      <c r="J18" s="420"/>
      <c r="L18" s="231"/>
      <c r="M18" s="231"/>
      <c r="Z18" s="529"/>
      <c r="AA18" s="529"/>
      <c r="AB18" s="529"/>
      <c r="AC18" s="2029" t="s">
        <v>839</v>
      </c>
      <c r="AD18" s="2029"/>
      <c r="AE18" s="2029"/>
      <c r="AF18" s="2029"/>
      <c r="AG18" s="531" t="s">
        <v>927</v>
      </c>
      <c r="AH18" s="529"/>
      <c r="AI18" s="529"/>
      <c r="AJ18" s="529"/>
      <c r="AK18" s="529"/>
      <c r="AL18" s="529"/>
      <c r="AM18" s="529"/>
    </row>
    <row r="19" spans="2:43" ht="19.5" customHeight="1">
      <c r="D19" s="419"/>
      <c r="E19" s="419"/>
      <c r="F19" s="420"/>
      <c r="G19" s="420"/>
      <c r="H19" s="420"/>
      <c r="I19" s="420"/>
      <c r="J19" s="420"/>
      <c r="L19" s="231"/>
      <c r="M19" s="231"/>
      <c r="Z19" s="529"/>
      <c r="AA19" s="529"/>
      <c r="AB19" s="529"/>
      <c r="AC19" s="2029"/>
      <c r="AD19" s="2029"/>
      <c r="AE19" s="2029"/>
      <c r="AF19" s="2029"/>
      <c r="AG19" s="529"/>
      <c r="AH19" s="529"/>
      <c r="AI19" s="529"/>
      <c r="AJ19" s="529"/>
      <c r="AK19" s="529"/>
      <c r="AL19" s="529"/>
      <c r="AM19" s="529"/>
    </row>
    <row r="20" spans="2:43">
      <c r="D20" s="419"/>
      <c r="E20" s="419"/>
      <c r="F20" s="420"/>
      <c r="G20" s="420"/>
      <c r="H20" s="420"/>
      <c r="I20" s="420"/>
      <c r="J20" s="420"/>
      <c r="Z20" s="529"/>
      <c r="AA20" s="529"/>
      <c r="AB20" s="529"/>
      <c r="AC20" s="529"/>
      <c r="AD20" s="529"/>
      <c r="AE20" s="529"/>
      <c r="AF20" s="529"/>
      <c r="AG20" s="529"/>
      <c r="AH20" s="529"/>
      <c r="AI20" s="529"/>
      <c r="AJ20" s="531" t="s">
        <v>928</v>
      </c>
      <c r="AK20" s="529"/>
      <c r="AL20" s="529"/>
      <c r="AM20" s="529"/>
    </row>
    <row r="21" spans="2:43" ht="10.5" customHeight="1">
      <c r="Z21" s="532"/>
      <c r="AA21" s="532"/>
      <c r="AB21" s="532"/>
      <c r="AC21" s="533" t="s">
        <v>929</v>
      </c>
      <c r="AD21" s="533"/>
      <c r="AE21" s="533"/>
      <c r="AF21" s="533"/>
      <c r="AG21" s="532"/>
      <c r="AH21" s="532"/>
      <c r="AI21" s="532"/>
      <c r="AJ21" s="532"/>
      <c r="AK21" s="534"/>
      <c r="AL21" s="534"/>
      <c r="AM21" s="534"/>
      <c r="AN21" s="534"/>
      <c r="AO21" s="534"/>
      <c r="AP21" s="534"/>
      <c r="AQ21" s="534"/>
    </row>
    <row r="22" spans="2:43" ht="13.5" customHeight="1">
      <c r="B22" s="236"/>
      <c r="C22" s="236"/>
      <c r="D22" s="419"/>
      <c r="E22" s="419"/>
      <c r="F22" s="419"/>
      <c r="G22" s="419"/>
      <c r="H22" s="419"/>
      <c r="I22" s="419"/>
      <c r="J22" s="419"/>
      <c r="K22" s="419"/>
      <c r="L22" s="419"/>
      <c r="M22" s="419"/>
      <c r="O22" s="236"/>
      <c r="Z22" s="532"/>
      <c r="AA22" s="532"/>
      <c r="AB22" s="532"/>
      <c r="AC22" s="2028" t="s">
        <v>929</v>
      </c>
      <c r="AD22" s="2028"/>
      <c r="AE22" s="2028"/>
      <c r="AF22" s="2028"/>
      <c r="AG22" s="532"/>
      <c r="AH22" s="532"/>
      <c r="AI22" s="532"/>
      <c r="AJ22" s="532"/>
      <c r="AK22" s="535"/>
      <c r="AL22" s="535"/>
      <c r="AM22" s="535"/>
      <c r="AN22" s="535"/>
      <c r="AO22" s="535"/>
      <c r="AP22" s="534"/>
      <c r="AQ22" s="534"/>
    </row>
    <row r="23" spans="2:43" ht="12.75" customHeight="1">
      <c r="B23" s="419"/>
      <c r="C23" s="419"/>
      <c r="D23" s="420"/>
      <c r="E23" s="420"/>
      <c r="F23" s="420"/>
      <c r="G23" s="420"/>
      <c r="H23" s="420"/>
      <c r="I23" s="420"/>
      <c r="J23" s="420"/>
      <c r="K23" s="420"/>
      <c r="L23" s="420"/>
      <c r="M23" s="420"/>
      <c r="O23" s="236"/>
      <c r="Z23" s="532"/>
      <c r="AA23" s="532"/>
      <c r="AB23" s="532"/>
      <c r="AC23" s="2028"/>
      <c r="AD23" s="2028"/>
      <c r="AE23" s="2028"/>
      <c r="AF23" s="2028"/>
      <c r="AG23" s="536" t="s">
        <v>930</v>
      </c>
      <c r="AH23" s="532"/>
      <c r="AI23" s="532"/>
      <c r="AJ23" s="532"/>
      <c r="AK23" s="535"/>
      <c r="AL23" s="535"/>
      <c r="AM23" s="535"/>
      <c r="AN23" s="535"/>
      <c r="AO23" s="535"/>
      <c r="AP23" s="534"/>
      <c r="AQ23" s="534"/>
    </row>
    <row r="24" spans="2:43" ht="7.5" customHeight="1">
      <c r="D24" s="419"/>
      <c r="E24" s="419"/>
      <c r="F24" s="420"/>
      <c r="G24" s="420"/>
      <c r="H24" s="420"/>
      <c r="I24" s="420"/>
      <c r="J24" s="420"/>
      <c r="Z24" s="532"/>
      <c r="AA24" s="532"/>
      <c r="AB24" s="532"/>
      <c r="AC24" s="533"/>
      <c r="AD24" s="533"/>
      <c r="AE24" s="533"/>
      <c r="AF24" s="533"/>
      <c r="AG24" s="532"/>
      <c r="AH24" s="532"/>
      <c r="AI24" s="532"/>
      <c r="AJ24" s="532"/>
      <c r="AK24" s="535"/>
      <c r="AL24" s="535"/>
      <c r="AM24" s="535"/>
      <c r="AN24" s="535"/>
      <c r="AO24" s="535"/>
      <c r="AP24" s="534"/>
      <c r="AQ24" s="534"/>
    </row>
    <row r="25" spans="2:43">
      <c r="D25" s="419"/>
      <c r="E25" s="419"/>
      <c r="F25" s="420"/>
      <c r="G25" s="420"/>
      <c r="H25" s="420"/>
      <c r="I25" s="420"/>
      <c r="J25" s="420"/>
      <c r="Z25" s="532"/>
      <c r="AA25" s="532"/>
      <c r="AB25" s="532"/>
      <c r="AC25" s="532"/>
      <c r="AD25" s="532"/>
      <c r="AE25" s="532"/>
      <c r="AF25" s="532"/>
      <c r="AG25" s="532"/>
      <c r="AH25" s="532"/>
      <c r="AI25" s="532"/>
      <c r="AJ25" s="532"/>
      <c r="AK25" s="535"/>
      <c r="AL25" s="535"/>
      <c r="AM25" s="535"/>
      <c r="AN25" s="535"/>
      <c r="AO25" s="535"/>
      <c r="AP25" s="534" t="s">
        <v>931</v>
      </c>
      <c r="AQ25" s="534"/>
    </row>
    <row r="26" spans="2:43">
      <c r="Z26" s="532"/>
      <c r="AA26" s="532"/>
      <c r="AB26" s="532"/>
      <c r="AC26" s="532"/>
      <c r="AD26" s="532"/>
      <c r="AE26" s="532"/>
      <c r="AF26" s="532"/>
      <c r="AG26" s="532"/>
      <c r="AH26" s="532"/>
      <c r="AI26" s="532"/>
      <c r="AJ26" s="532"/>
      <c r="AK26" s="535"/>
      <c r="AL26" s="535"/>
      <c r="AM26" s="535"/>
      <c r="AN26" s="535"/>
      <c r="AO26" s="535"/>
      <c r="AP26" s="534"/>
      <c r="AQ26" s="534"/>
    </row>
    <row r="27" spans="2:43" ht="28.5">
      <c r="B27" s="239"/>
      <c r="Z27" s="532"/>
      <c r="AA27" s="532"/>
      <c r="AB27" s="532"/>
      <c r="AC27" s="532"/>
      <c r="AD27" s="532"/>
      <c r="AE27" s="532"/>
      <c r="AF27" s="532"/>
      <c r="AG27" s="532"/>
      <c r="AH27" s="532"/>
      <c r="AI27" s="532"/>
      <c r="AJ27" s="532"/>
      <c r="AK27" s="535"/>
      <c r="AL27" s="535"/>
      <c r="AM27" s="535"/>
      <c r="AN27" s="2023" t="s">
        <v>932</v>
      </c>
      <c r="AO27" s="2023"/>
      <c r="AP27" s="2023"/>
      <c r="AQ27" s="534"/>
    </row>
    <row r="28" spans="2:43">
      <c r="B28" s="415"/>
      <c r="C28" s="415"/>
      <c r="D28" s="415"/>
      <c r="E28" s="415"/>
      <c r="F28" s="415"/>
      <c r="G28" s="415"/>
      <c r="H28" s="415"/>
      <c r="I28" s="415"/>
      <c r="J28" s="415"/>
      <c r="K28" s="415"/>
      <c r="L28" s="415"/>
      <c r="M28" s="415"/>
      <c r="Z28" s="532"/>
      <c r="AA28" s="532"/>
      <c r="AB28" s="532"/>
      <c r="AC28" s="532"/>
      <c r="AD28" s="532"/>
      <c r="AE28" s="532"/>
      <c r="AF28" s="532"/>
      <c r="AG28" s="532"/>
      <c r="AH28" s="532"/>
      <c r="AI28" s="532"/>
      <c r="AJ28" s="532"/>
      <c r="AK28" s="535"/>
      <c r="AL28" s="535"/>
      <c r="AM28" s="535"/>
      <c r="AN28" s="535"/>
      <c r="AO28" s="535"/>
      <c r="AP28" s="534"/>
      <c r="AQ28" s="534"/>
    </row>
    <row r="29" spans="2:43" ht="10.5" customHeight="1">
      <c r="Z29" s="532"/>
      <c r="AA29" s="532"/>
      <c r="AB29" s="532"/>
      <c r="AC29" s="532"/>
      <c r="AD29" s="532"/>
      <c r="AE29" s="532"/>
      <c r="AF29" s="532"/>
      <c r="AG29" s="532"/>
      <c r="AH29" s="532"/>
      <c r="AI29" s="532"/>
      <c r="AJ29" s="532"/>
      <c r="AK29" s="535"/>
      <c r="AL29" s="535"/>
      <c r="AM29" s="535"/>
      <c r="AN29" s="535"/>
      <c r="AO29" s="535"/>
      <c r="AP29" s="534"/>
      <c r="AQ29" s="534"/>
    </row>
    <row r="30" spans="2:43" ht="19.5">
      <c r="B30" s="236"/>
      <c r="C30" s="236"/>
      <c r="D30" s="419"/>
      <c r="E30" s="419"/>
      <c r="F30" s="419"/>
      <c r="G30" s="419"/>
      <c r="H30" s="419"/>
      <c r="I30" s="419"/>
      <c r="J30" s="419"/>
      <c r="K30" s="419"/>
      <c r="L30" s="419"/>
      <c r="M30" s="419"/>
      <c r="O30" s="236"/>
      <c r="Z30" s="532"/>
      <c r="AA30" s="532"/>
      <c r="AB30" s="532"/>
      <c r="AC30" s="2024" t="s">
        <v>929</v>
      </c>
      <c r="AD30" s="2024"/>
      <c r="AE30" s="2024"/>
      <c r="AF30" s="2024"/>
      <c r="AG30" s="532"/>
      <c r="AH30" s="532"/>
      <c r="AI30" s="2025" t="s">
        <v>933</v>
      </c>
      <c r="AJ30" s="2025"/>
      <c r="AK30" s="535"/>
      <c r="AL30" s="535"/>
      <c r="AM30" s="535"/>
      <c r="AN30" s="535"/>
      <c r="AO30" s="535"/>
      <c r="AP30" s="534"/>
      <c r="AQ30" s="534"/>
    </row>
    <row r="31" spans="2:43" ht="18.75" customHeight="1">
      <c r="B31" s="419"/>
      <c r="C31" s="419"/>
      <c r="D31" s="420"/>
      <c r="E31" s="420"/>
      <c r="F31" s="420"/>
      <c r="G31" s="420"/>
      <c r="H31" s="420"/>
      <c r="I31" s="420"/>
      <c r="J31" s="420"/>
      <c r="K31" s="420"/>
      <c r="L31" s="420"/>
      <c r="M31" s="420"/>
      <c r="O31" s="236"/>
      <c r="Z31" s="532"/>
      <c r="AA31" s="532"/>
      <c r="AB31" s="532"/>
      <c r="AC31" s="532"/>
      <c r="AD31" s="532"/>
      <c r="AE31" s="532"/>
      <c r="AF31" s="532"/>
      <c r="AG31" s="532"/>
      <c r="AH31" s="532"/>
      <c r="AI31" s="532"/>
      <c r="AJ31" s="532"/>
      <c r="AK31" s="535"/>
      <c r="AL31" s="535"/>
      <c r="AM31" s="2026" t="s">
        <v>934</v>
      </c>
      <c r="AN31" s="2026"/>
      <c r="AO31" s="2026"/>
      <c r="AP31" s="534"/>
      <c r="AQ31" s="534"/>
    </row>
    <row r="32" spans="2:43">
      <c r="B32" s="419"/>
      <c r="C32" s="419"/>
      <c r="D32" s="420"/>
      <c r="E32" s="420"/>
      <c r="F32" s="420"/>
      <c r="G32" s="420"/>
      <c r="H32" s="420"/>
      <c r="I32" s="420"/>
      <c r="J32" s="420"/>
      <c r="K32" s="420"/>
      <c r="L32" s="420"/>
      <c r="M32" s="420"/>
      <c r="O32" s="236"/>
      <c r="Z32" s="529"/>
      <c r="AA32" s="529"/>
      <c r="AB32" s="529"/>
      <c r="AC32" s="529"/>
      <c r="AD32" s="529"/>
      <c r="AE32" s="529"/>
      <c r="AF32" s="529"/>
      <c r="AG32" s="530"/>
      <c r="AH32" s="529"/>
      <c r="AI32" s="529"/>
      <c r="AJ32" s="529"/>
      <c r="AK32" s="529"/>
      <c r="AL32" s="529"/>
      <c r="AM32" s="529"/>
    </row>
    <row r="33" spans="2:39" ht="19.5">
      <c r="B33" s="419"/>
      <c r="C33" s="419"/>
      <c r="D33" s="420"/>
      <c r="E33" s="420"/>
      <c r="F33" s="420"/>
      <c r="G33" s="420"/>
      <c r="H33" s="420"/>
      <c r="I33" s="420"/>
      <c r="J33" s="420"/>
      <c r="K33" s="420"/>
      <c r="L33" s="420"/>
      <c r="M33" s="420"/>
      <c r="Z33" s="529"/>
      <c r="AA33" s="529"/>
      <c r="AB33" s="529"/>
      <c r="AC33" s="2027" t="s">
        <v>839</v>
      </c>
      <c r="AD33" s="2027"/>
      <c r="AE33" s="2027"/>
      <c r="AF33" s="2027"/>
      <c r="AG33" s="529"/>
      <c r="AH33" s="529"/>
      <c r="AI33" s="529"/>
      <c r="AJ33" s="529"/>
      <c r="AK33" s="529"/>
      <c r="AL33" s="529"/>
      <c r="AM33" s="529"/>
    </row>
    <row r="34" spans="2:39" ht="23.25" customHeight="1">
      <c r="B34" s="419"/>
      <c r="C34" s="419"/>
      <c r="D34" s="420"/>
      <c r="E34" s="420"/>
      <c r="F34" s="420"/>
      <c r="G34" s="420"/>
      <c r="H34" s="420"/>
      <c r="I34" s="420"/>
      <c r="J34" s="420"/>
      <c r="K34" s="420"/>
      <c r="L34" s="420"/>
      <c r="M34" s="420"/>
      <c r="Z34" s="529"/>
      <c r="AA34" s="529"/>
      <c r="AB34" s="529"/>
      <c r="AC34" s="677"/>
      <c r="AD34" s="677"/>
      <c r="AE34" s="677"/>
      <c r="AF34" s="677"/>
      <c r="AG34" s="529"/>
      <c r="AH34" s="529"/>
      <c r="AI34" s="529"/>
      <c r="AJ34" s="529"/>
      <c r="AK34" s="529"/>
      <c r="AL34" s="529"/>
      <c r="AM34" s="529"/>
    </row>
    <row r="35" spans="2:39" ht="12.75" customHeight="1">
      <c r="B35" s="419"/>
      <c r="C35" s="419"/>
      <c r="D35" s="420"/>
      <c r="E35" s="420"/>
      <c r="F35" s="420"/>
      <c r="G35" s="420"/>
      <c r="H35" s="420"/>
      <c r="I35" s="420"/>
      <c r="J35" s="420"/>
      <c r="K35" s="420"/>
      <c r="L35" s="420"/>
      <c r="M35" s="420"/>
      <c r="Z35" s="529"/>
      <c r="AA35" s="529"/>
      <c r="AB35" s="529"/>
      <c r="AC35" s="529"/>
      <c r="AD35" s="529"/>
      <c r="AE35" s="529"/>
      <c r="AF35" s="529"/>
      <c r="AG35" s="529"/>
      <c r="AH35" s="529"/>
      <c r="AI35" s="529"/>
      <c r="AJ35" s="529"/>
      <c r="AK35" s="529"/>
      <c r="AL35" s="529"/>
      <c r="AM35" s="529"/>
    </row>
    <row r="36" spans="2:39">
      <c r="B36" s="419"/>
      <c r="C36" s="419"/>
      <c r="D36" s="420"/>
      <c r="E36" s="420"/>
      <c r="F36" s="420"/>
      <c r="G36" s="420"/>
      <c r="H36" s="420"/>
      <c r="I36" s="420"/>
      <c r="J36" s="420"/>
      <c r="K36" s="420"/>
      <c r="L36" s="420"/>
      <c r="M36" s="420"/>
      <c r="Q36" s="329"/>
      <c r="R36" s="329"/>
      <c r="Y36" s="231"/>
      <c r="Z36" s="231"/>
    </row>
    <row r="37" spans="2:39" ht="12.75" customHeight="1">
      <c r="B37" s="419"/>
      <c r="C37" s="419"/>
      <c r="D37" s="420"/>
      <c r="E37" s="420"/>
      <c r="F37" s="420"/>
      <c r="G37" s="420"/>
      <c r="H37" s="420"/>
      <c r="I37" s="420"/>
      <c r="J37" s="420"/>
      <c r="K37" s="420"/>
      <c r="L37" s="420"/>
      <c r="M37" s="420"/>
      <c r="P37" s="236"/>
      <c r="Q37" s="236"/>
      <c r="R37" s="236"/>
      <c r="S37" s="236"/>
      <c r="T37" s="236"/>
      <c r="U37" s="236"/>
      <c r="V37" s="236"/>
      <c r="W37" s="236"/>
      <c r="X37" s="236"/>
      <c r="Y37" s="236"/>
      <c r="Z37" s="236"/>
      <c r="AA37" s="236"/>
      <c r="AB37" s="236"/>
      <c r="AC37" s="236"/>
      <c r="AD37" s="236"/>
      <c r="AF37" s="236" t="s">
        <v>935</v>
      </c>
    </row>
    <row r="38" spans="2:39">
      <c r="B38" s="419"/>
      <c r="C38" s="419"/>
      <c r="D38" s="420"/>
      <c r="E38" s="420"/>
      <c r="F38" s="420"/>
      <c r="G38" s="420"/>
      <c r="H38" s="420"/>
      <c r="I38" s="420"/>
      <c r="J38" s="420"/>
      <c r="K38" s="420"/>
      <c r="L38" s="420"/>
      <c r="M38" s="420"/>
      <c r="Q38" s="359"/>
      <c r="R38" s="359"/>
      <c r="S38" s="359"/>
      <c r="T38" s="359"/>
      <c r="U38" s="359"/>
      <c r="V38" s="359"/>
      <c r="W38" s="359"/>
      <c r="X38" s="359"/>
      <c r="Y38" s="236"/>
      <c r="Z38" s="236"/>
      <c r="AA38" s="359"/>
      <c r="AB38" s="359"/>
      <c r="AC38" s="359"/>
      <c r="AD38" s="359"/>
      <c r="AE38" s="359"/>
    </row>
    <row r="39" spans="2:39" ht="12.75" customHeight="1">
      <c r="B39" s="419"/>
      <c r="C39" s="419"/>
      <c r="D39" s="420"/>
      <c r="E39" s="420"/>
      <c r="F39" s="420"/>
      <c r="G39" s="420"/>
      <c r="H39" s="420"/>
      <c r="I39" s="420"/>
      <c r="J39" s="420"/>
      <c r="K39" s="420"/>
      <c r="L39" s="420"/>
      <c r="M39" s="420"/>
      <c r="Q39" s="358"/>
      <c r="R39" s="358"/>
      <c r="S39" s="358"/>
      <c r="T39" s="358"/>
      <c r="U39" s="358"/>
      <c r="V39" s="358"/>
      <c r="W39" s="358"/>
      <c r="X39" s="358"/>
      <c r="Y39" s="358"/>
      <c r="Z39" s="358"/>
      <c r="AA39" s="358"/>
      <c r="AB39" s="358"/>
      <c r="AC39" s="358"/>
      <c r="AD39" s="358"/>
      <c r="AE39" s="358"/>
    </row>
    <row r="40" spans="2:39">
      <c r="B40" s="419"/>
      <c r="C40" s="419"/>
      <c r="D40" s="420"/>
      <c r="E40" s="420"/>
      <c r="F40" s="420"/>
      <c r="G40" s="420"/>
      <c r="H40" s="420"/>
      <c r="I40" s="420"/>
      <c r="J40" s="420"/>
      <c r="K40" s="420"/>
      <c r="L40" s="420"/>
      <c r="M40" s="420"/>
      <c r="Q40" s="358"/>
      <c r="R40" s="358"/>
      <c r="S40" s="358"/>
      <c r="T40" s="358"/>
      <c r="U40" s="358"/>
      <c r="V40" s="358"/>
      <c r="W40" s="358"/>
      <c r="X40" s="358"/>
      <c r="Y40" s="358"/>
      <c r="Z40" s="358"/>
      <c r="AA40" s="358"/>
      <c r="AB40" s="358"/>
      <c r="AC40" s="358"/>
      <c r="AD40" s="358"/>
      <c r="AE40" s="358"/>
      <c r="AG40" s="359"/>
    </row>
    <row r="41" spans="2:39" ht="12.75" customHeight="1">
      <c r="B41" s="419"/>
      <c r="C41" s="419"/>
      <c r="D41" s="420"/>
      <c r="E41" s="420"/>
      <c r="F41" s="420"/>
      <c r="G41" s="420"/>
      <c r="H41" s="420"/>
      <c r="I41" s="420"/>
      <c r="J41" s="420"/>
      <c r="K41" s="420"/>
      <c r="L41" s="420"/>
      <c r="M41" s="420"/>
      <c r="Q41" s="358"/>
      <c r="R41" s="358"/>
      <c r="S41" s="358"/>
      <c r="T41" s="358"/>
      <c r="U41" s="358"/>
      <c r="V41" s="358"/>
      <c r="W41" s="358"/>
      <c r="X41" s="358"/>
      <c r="Y41" s="358"/>
      <c r="Z41" s="358"/>
      <c r="AA41" s="358"/>
      <c r="AB41" s="358"/>
      <c r="AC41" s="358"/>
      <c r="AD41" s="358"/>
      <c r="AE41" s="358"/>
    </row>
    <row r="42" spans="2:39">
      <c r="B42" s="419"/>
      <c r="C42" s="419"/>
      <c r="D42" s="420"/>
      <c r="E42" s="420"/>
      <c r="F42" s="420"/>
      <c r="G42" s="420"/>
      <c r="H42" s="420"/>
      <c r="I42" s="420"/>
      <c r="J42" s="420"/>
      <c r="K42" s="420"/>
      <c r="L42" s="420"/>
      <c r="M42" s="420"/>
      <c r="Q42" s="358"/>
      <c r="R42" s="358"/>
      <c r="S42" s="358"/>
      <c r="T42" s="358"/>
      <c r="U42" s="358"/>
      <c r="V42" s="358"/>
      <c r="W42" s="358"/>
      <c r="X42" s="358"/>
      <c r="Y42" s="358"/>
      <c r="Z42" s="358"/>
      <c r="AA42" s="358"/>
      <c r="AB42" s="358"/>
      <c r="AC42" s="358"/>
      <c r="AD42" s="358"/>
      <c r="AE42" s="358"/>
    </row>
    <row r="43" spans="2:39" ht="12.75" customHeight="1">
      <c r="Q43" s="358"/>
      <c r="R43" s="358"/>
      <c r="S43" s="358"/>
      <c r="T43" s="358"/>
      <c r="U43" s="358"/>
      <c r="V43" s="358"/>
      <c r="W43" s="358"/>
      <c r="X43" s="358"/>
      <c r="Y43" s="358"/>
      <c r="Z43" s="358"/>
      <c r="AA43" s="358"/>
      <c r="AB43" s="358"/>
      <c r="AC43" s="358"/>
      <c r="AD43" s="358"/>
      <c r="AE43" s="358"/>
    </row>
    <row r="44" spans="2:39">
      <c r="Q44" s="358"/>
      <c r="R44" s="358"/>
      <c r="S44" s="358"/>
      <c r="T44" s="358"/>
      <c r="U44" s="358"/>
      <c r="V44" s="358"/>
      <c r="W44" s="358"/>
      <c r="X44" s="358"/>
      <c r="Y44" s="358"/>
      <c r="Z44" s="358"/>
      <c r="AA44" s="358"/>
      <c r="AB44" s="358"/>
      <c r="AC44" s="358"/>
      <c r="AD44" s="358"/>
      <c r="AE44" s="358"/>
    </row>
    <row r="45" spans="2:39">
      <c r="Q45" s="358"/>
      <c r="R45" s="358"/>
      <c r="S45" s="358"/>
      <c r="T45" s="358"/>
      <c r="U45" s="358"/>
      <c r="V45" s="358"/>
      <c r="W45" s="358"/>
      <c r="X45" s="358"/>
      <c r="Y45" s="358"/>
      <c r="Z45" s="358"/>
      <c r="AA45" s="358"/>
      <c r="AB45" s="358"/>
      <c r="AC45" s="358"/>
      <c r="AD45" s="358"/>
      <c r="AE45" s="358"/>
    </row>
    <row r="46" spans="2:39">
      <c r="Q46" s="358"/>
      <c r="R46" s="358"/>
      <c r="S46" s="358"/>
      <c r="T46" s="358"/>
      <c r="U46" s="358"/>
      <c r="V46" s="358"/>
      <c r="W46" s="358"/>
      <c r="X46" s="358"/>
      <c r="Y46" s="358"/>
      <c r="Z46" s="358"/>
      <c r="AA46" s="358"/>
      <c r="AB46" s="358"/>
      <c r="AC46" s="358"/>
      <c r="AD46" s="358"/>
      <c r="AE46" s="358"/>
    </row>
    <row r="47" spans="2:39">
      <c r="Q47" s="358"/>
      <c r="R47" s="358"/>
      <c r="S47" s="358"/>
      <c r="T47" s="358"/>
      <c r="U47" s="358"/>
      <c r="V47" s="358"/>
      <c r="W47" s="358"/>
      <c r="X47" s="358"/>
      <c r="Y47" s="358"/>
      <c r="Z47" s="358"/>
      <c r="AA47" s="358"/>
      <c r="AB47" s="358"/>
      <c r="AC47" s="358"/>
      <c r="AD47" s="358"/>
      <c r="AE47" s="358"/>
    </row>
    <row r="48" spans="2:39" ht="12.75" customHeight="1">
      <c r="B48" s="415"/>
      <c r="C48" s="415"/>
      <c r="D48" s="415"/>
      <c r="E48" s="415"/>
      <c r="F48" s="415"/>
      <c r="G48" s="415"/>
      <c r="H48" s="415"/>
      <c r="I48" s="415"/>
      <c r="J48" s="415"/>
      <c r="K48" s="415"/>
      <c r="L48" s="415"/>
      <c r="M48" s="415"/>
      <c r="N48" s="415"/>
      <c r="O48" s="415"/>
      <c r="Q48" s="358"/>
      <c r="R48" s="358"/>
      <c r="S48" s="358"/>
      <c r="T48" s="358"/>
      <c r="U48" s="358"/>
      <c r="V48" s="358"/>
      <c r="W48" s="358"/>
      <c r="X48" s="358"/>
    </row>
    <row r="49" spans="1:33">
      <c r="Q49" s="358"/>
      <c r="R49" s="358"/>
      <c r="S49" s="358"/>
      <c r="T49" s="358"/>
      <c r="U49" s="358"/>
      <c r="V49" s="358"/>
      <c r="W49" s="358"/>
      <c r="X49" s="358"/>
    </row>
    <row r="50" spans="1:33" ht="12.75" customHeight="1">
      <c r="B50" s="236"/>
      <c r="C50" s="236"/>
      <c r="D50" s="236"/>
      <c r="E50" s="236"/>
      <c r="F50" s="236"/>
      <c r="G50" s="236"/>
      <c r="H50" s="236"/>
      <c r="I50" s="236"/>
      <c r="J50" s="236"/>
      <c r="K50" s="236"/>
      <c r="L50" s="236"/>
      <c r="M50" s="236"/>
      <c r="N50" s="236"/>
      <c r="O50" s="236"/>
    </row>
    <row r="51" spans="1:33">
      <c r="B51" s="236"/>
      <c r="C51" s="236"/>
      <c r="D51" s="236"/>
      <c r="E51" s="236"/>
      <c r="F51" s="236"/>
      <c r="G51" s="236"/>
      <c r="H51" s="236"/>
      <c r="I51" s="236"/>
      <c r="J51" s="236"/>
      <c r="K51" s="236"/>
      <c r="L51" s="236"/>
      <c r="M51" s="236"/>
      <c r="N51" s="236"/>
      <c r="O51" s="236"/>
      <c r="Q51" s="415"/>
      <c r="R51" s="415"/>
      <c r="S51" s="415"/>
      <c r="T51" s="415"/>
      <c r="U51" s="415"/>
      <c r="V51" s="415"/>
      <c r="W51" s="415"/>
      <c r="X51" s="415"/>
      <c r="Y51" s="415"/>
      <c r="Z51" s="415"/>
      <c r="AA51" s="415"/>
      <c r="AB51" s="415"/>
      <c r="AC51" s="415"/>
      <c r="AD51" s="415"/>
      <c r="AE51" s="415"/>
    </row>
    <row r="52" spans="1:33">
      <c r="B52" s="321"/>
      <c r="C52" s="321"/>
      <c r="D52" s="425"/>
      <c r="E52" s="425"/>
      <c r="F52" s="425"/>
      <c r="G52" s="425"/>
      <c r="H52" s="425"/>
      <c r="I52" s="425"/>
      <c r="J52" s="425"/>
      <c r="K52" s="425"/>
      <c r="L52" s="425"/>
      <c r="M52" s="425"/>
      <c r="N52" s="425"/>
      <c r="O52" s="425"/>
    </row>
    <row r="53" spans="1:33">
      <c r="B53" s="321"/>
      <c r="C53" s="321"/>
      <c r="D53" s="425"/>
      <c r="E53" s="425"/>
      <c r="F53" s="425"/>
      <c r="G53" s="425"/>
      <c r="H53" s="425"/>
      <c r="I53" s="425"/>
      <c r="J53" s="425"/>
      <c r="K53" s="425"/>
      <c r="L53" s="425"/>
      <c r="M53" s="425"/>
      <c r="N53" s="425"/>
      <c r="O53" s="425"/>
      <c r="Q53" s="417"/>
      <c r="R53" s="417"/>
      <c r="S53" s="417"/>
      <c r="T53" s="417"/>
      <c r="U53" s="417"/>
      <c r="V53" s="417"/>
      <c r="W53" s="417"/>
      <c r="X53" s="417"/>
      <c r="Y53" s="417"/>
      <c r="Z53" s="417"/>
      <c r="AA53" s="417"/>
      <c r="AB53" s="417"/>
      <c r="AC53" s="417"/>
      <c r="AD53" s="417"/>
      <c r="AE53" s="417"/>
    </row>
    <row r="54" spans="1:33">
      <c r="B54" s="321"/>
      <c r="C54" s="321"/>
      <c r="D54" s="425"/>
      <c r="E54" s="425"/>
      <c r="F54" s="425"/>
      <c r="G54" s="425"/>
      <c r="H54" s="425"/>
      <c r="I54" s="425"/>
      <c r="J54" s="425"/>
      <c r="K54" s="425"/>
      <c r="L54" s="425"/>
      <c r="M54" s="425"/>
      <c r="N54" s="425"/>
      <c r="O54" s="425"/>
      <c r="Q54" s="417"/>
      <c r="R54" s="417"/>
      <c r="S54" s="417"/>
      <c r="T54" s="417"/>
      <c r="U54" s="417"/>
      <c r="V54" s="417"/>
      <c r="W54" s="417"/>
      <c r="X54" s="417"/>
      <c r="Y54" s="417"/>
      <c r="Z54" s="417"/>
      <c r="AA54" s="417"/>
      <c r="AB54" s="417"/>
      <c r="AC54" s="417"/>
      <c r="AD54" s="417"/>
      <c r="AE54" s="417"/>
    </row>
    <row r="55" spans="1:33">
      <c r="B55" s="321"/>
      <c r="C55" s="321"/>
      <c r="D55" s="425"/>
      <c r="E55" s="425"/>
      <c r="F55" s="425"/>
      <c r="G55" s="425"/>
      <c r="H55" s="425"/>
      <c r="I55" s="425"/>
      <c r="J55" s="425"/>
      <c r="K55" s="425"/>
      <c r="L55" s="425"/>
      <c r="M55" s="425"/>
      <c r="N55" s="425"/>
      <c r="O55" s="425"/>
      <c r="Q55" s="358"/>
      <c r="R55" s="359"/>
      <c r="S55" s="359"/>
      <c r="T55" s="359"/>
      <c r="U55" s="359"/>
      <c r="V55" s="359"/>
      <c r="W55" s="359"/>
      <c r="X55" s="359"/>
      <c r="Y55" s="236"/>
      <c r="Z55" s="236"/>
      <c r="AA55" s="359"/>
      <c r="AB55" s="359"/>
      <c r="AC55" s="359"/>
      <c r="AD55" s="359"/>
      <c r="AE55" s="359"/>
    </row>
    <row r="56" spans="1:33">
      <c r="B56" s="1973" t="s">
        <v>936</v>
      </c>
      <c r="C56" s="1973"/>
      <c r="D56" s="1973"/>
      <c r="E56" s="1973"/>
      <c r="F56" s="1973"/>
      <c r="G56" s="1973"/>
      <c r="H56" s="1973"/>
      <c r="I56" s="1973" t="s">
        <v>937</v>
      </c>
      <c r="J56" s="1973"/>
      <c r="K56" s="1973"/>
      <c r="L56" s="1973"/>
      <c r="M56" s="1973"/>
      <c r="N56" s="1973"/>
      <c r="O56" s="1973" t="s">
        <v>938</v>
      </c>
      <c r="P56" s="1973"/>
      <c r="Q56" s="1973"/>
      <c r="R56" s="358"/>
      <c r="S56" s="358"/>
      <c r="T56" s="358"/>
      <c r="U56" s="426" t="s">
        <v>939</v>
      </c>
      <c r="V56" s="358"/>
      <c r="W56" s="358"/>
      <c r="X56" s="358"/>
      <c r="Y56" s="358"/>
      <c r="Z56" s="358"/>
      <c r="AA56" s="358"/>
      <c r="AB56" s="236" t="s">
        <v>940</v>
      </c>
      <c r="AC56" s="358"/>
      <c r="AD56" s="358"/>
      <c r="AE56" s="358"/>
      <c r="AG56" s="415"/>
    </row>
    <row r="57" spans="1:33">
      <c r="B57" s="1972" t="s">
        <v>941</v>
      </c>
      <c r="C57" s="1972"/>
      <c r="D57" s="1972"/>
      <c r="E57" s="1972"/>
      <c r="F57" s="1972"/>
      <c r="G57" s="1972"/>
      <c r="H57" s="1972"/>
      <c r="I57" s="425"/>
      <c r="J57" s="425"/>
      <c r="K57" s="425"/>
      <c r="L57" s="425"/>
      <c r="M57" s="425"/>
      <c r="N57" s="425"/>
      <c r="O57" s="425"/>
      <c r="Q57" s="358"/>
      <c r="R57" s="358"/>
      <c r="S57" s="358"/>
      <c r="T57" s="358"/>
      <c r="U57" s="358"/>
      <c r="V57" s="358"/>
      <c r="W57" s="358"/>
      <c r="X57" s="358"/>
      <c r="Y57" s="358"/>
      <c r="Z57" s="358"/>
      <c r="AA57" s="358"/>
      <c r="AB57" s="358"/>
      <c r="AC57" s="358"/>
      <c r="AD57" s="358"/>
      <c r="AE57" s="358"/>
    </row>
    <row r="58" spans="1:33">
      <c r="B58" s="321"/>
      <c r="C58" s="321"/>
      <c r="D58" s="425"/>
      <c r="E58" s="425"/>
      <c r="F58" s="425"/>
      <c r="G58" s="425"/>
      <c r="H58" s="425"/>
      <c r="I58" s="425"/>
      <c r="J58" s="425"/>
      <c r="K58" s="425"/>
      <c r="L58" s="425"/>
      <c r="M58" s="425"/>
      <c r="N58" s="425"/>
      <c r="O58" s="425"/>
      <c r="Q58" s="358"/>
      <c r="R58" s="417"/>
      <c r="S58" s="417"/>
      <c r="T58" s="417"/>
      <c r="U58" s="417"/>
      <c r="V58" s="417"/>
      <c r="W58" s="417"/>
      <c r="X58" s="417"/>
      <c r="Y58" s="417"/>
      <c r="Z58" s="417"/>
      <c r="AA58" s="417"/>
      <c r="AB58" s="417"/>
      <c r="AC58" s="417"/>
      <c r="AD58" s="417"/>
      <c r="AE58" s="417"/>
      <c r="AG58" s="359"/>
    </row>
    <row r="59" spans="1:33">
      <c r="D59" s="233"/>
      <c r="F59" s="233"/>
      <c r="G59" s="233"/>
      <c r="Q59" s="421"/>
      <c r="R59" s="417"/>
      <c r="S59" s="417"/>
      <c r="U59" s="231"/>
      <c r="V59" s="417"/>
      <c r="W59" s="417"/>
      <c r="X59" s="417"/>
      <c r="Y59" s="417"/>
      <c r="Z59" s="417"/>
      <c r="AB59" s="231"/>
      <c r="AC59" s="417"/>
      <c r="AD59" s="417"/>
      <c r="AE59" s="417"/>
    </row>
    <row r="60" spans="1:33">
      <c r="B60" s="236"/>
      <c r="C60" s="236"/>
      <c r="D60" s="233"/>
      <c r="F60" s="236"/>
      <c r="G60" s="236"/>
      <c r="O60" s="233"/>
      <c r="P60" s="244"/>
      <c r="Q60" s="358"/>
      <c r="R60" s="359"/>
      <c r="S60" s="359"/>
      <c r="T60" s="359"/>
      <c r="U60" s="359"/>
      <c r="V60" s="359"/>
      <c r="W60" s="359"/>
      <c r="X60" s="359"/>
      <c r="Y60" s="236"/>
      <c r="Z60" s="236"/>
      <c r="AA60" s="359"/>
      <c r="AB60" s="359"/>
      <c r="AC60" s="359"/>
      <c r="AD60" s="359"/>
      <c r="AE60" s="359"/>
    </row>
    <row r="61" spans="1:33">
      <c r="A61" s="239"/>
      <c r="B61" s="239"/>
      <c r="C61" s="239"/>
      <c r="D61" s="239"/>
      <c r="E61" s="239"/>
      <c r="F61" s="239"/>
      <c r="G61" s="239"/>
      <c r="H61" s="239"/>
      <c r="I61" s="239"/>
      <c r="J61" s="239"/>
      <c r="K61" s="239"/>
      <c r="L61" s="239"/>
      <c r="M61" s="239"/>
      <c r="Q61" s="358"/>
      <c r="R61" s="358"/>
      <c r="S61" s="358"/>
      <c r="T61" s="358"/>
      <c r="U61" s="358"/>
      <c r="V61" s="358"/>
      <c r="W61" s="358"/>
      <c r="X61" s="358"/>
      <c r="Y61" s="358"/>
      <c r="Z61" s="358"/>
      <c r="AA61" s="358"/>
      <c r="AB61" s="358"/>
      <c r="AC61" s="358"/>
      <c r="AD61" s="358"/>
      <c r="AE61" s="358"/>
    </row>
    <row r="62" spans="1:33">
      <c r="A62" s="239"/>
      <c r="B62" s="239"/>
      <c r="C62" s="239"/>
      <c r="D62" s="239"/>
      <c r="E62" s="239"/>
      <c r="F62" s="239"/>
      <c r="G62" s="239"/>
      <c r="H62" s="239"/>
      <c r="I62" s="239"/>
      <c r="J62" s="239"/>
      <c r="K62" s="239"/>
      <c r="L62" s="239"/>
      <c r="M62" s="239"/>
    </row>
    <row r="66" spans="26:26" ht="15">
      <c r="Z66" s="663"/>
    </row>
  </sheetData>
  <sheetProtection algorithmName="SHA-512" hashValue="KXjjIXaDqaa2JFSUA/2qrcYLVQ2Jz2sGx3iMAjqyxB0/3nVRY3lwRvm/Bix6fzy0KxqxzLonEgSxQrkey8X+Cw==" saltValue="BOMA8n3YoTwDFBuT3ltwUQ==" spinCount="100000" sheet="1" objects="1" scenarios="1"/>
  <mergeCells count="15">
    <mergeCell ref="AC22:AF23"/>
    <mergeCell ref="A3:AQ3"/>
    <mergeCell ref="A5:AQ5"/>
    <mergeCell ref="A7:AQ7"/>
    <mergeCell ref="A10:AQ10"/>
    <mergeCell ref="AC18:AF19"/>
    <mergeCell ref="B57:H57"/>
    <mergeCell ref="AN27:AP27"/>
    <mergeCell ref="AC30:AF30"/>
    <mergeCell ref="AI30:AJ30"/>
    <mergeCell ref="AM31:AO31"/>
    <mergeCell ref="AC33:AF33"/>
    <mergeCell ref="B56:H56"/>
    <mergeCell ref="I56:N56"/>
    <mergeCell ref="O56:Q56"/>
  </mergeCells>
  <printOptions horizontalCentered="1" verticalCentered="1"/>
  <pageMargins left="0.15748031496062992" right="0.15748031496062992" top="0.23622047244094491" bottom="0.43307086614173229" header="0.19685039370078741" footer="0.15748031496062992"/>
  <pageSetup paperSize="8" firstPageNumber="12"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7">
    <tabColor indexed="10"/>
    <pageSetUpPr fitToPage="1"/>
  </sheetPr>
  <dimension ref="A1:AA83"/>
  <sheetViews>
    <sheetView topLeftCell="I1" workbookViewId="0">
      <selection activeCell="S70" sqref="S70"/>
    </sheetView>
  </sheetViews>
  <sheetFormatPr defaultColWidth="9.140625" defaultRowHeight="12.75"/>
  <cols>
    <col min="1" max="1" width="7.7109375" style="233" customWidth="1"/>
    <col min="2" max="2" width="10" style="233" customWidth="1"/>
    <col min="3" max="3" width="9.140625" style="233"/>
    <col min="4" max="4" width="13.42578125" style="233" customWidth="1"/>
    <col min="5" max="12" width="9.140625" style="233"/>
    <col min="13" max="13" width="5.42578125" style="233" customWidth="1"/>
    <col min="14" max="14" width="9.140625" style="233"/>
    <col min="15" max="15" width="28.5703125" style="233" customWidth="1"/>
    <col min="16" max="16" width="10.42578125" style="233" customWidth="1"/>
    <col min="17" max="17" width="8" style="233" customWidth="1"/>
    <col min="18" max="18" width="16.140625" style="246" customWidth="1"/>
    <col min="19" max="19" width="7.85546875" style="233" customWidth="1"/>
    <col min="20" max="20" width="12" style="233" hidden="1" customWidth="1"/>
    <col min="21" max="21" width="2.28515625" style="233" bestFit="1" customWidth="1"/>
    <col min="22" max="22" width="10.85546875" style="233" bestFit="1" customWidth="1"/>
    <col min="23" max="23" width="10.42578125" style="233" bestFit="1" customWidth="1"/>
    <col min="24" max="24" width="9.140625" style="233"/>
    <col min="25" max="25" width="16.140625" style="233" bestFit="1" customWidth="1"/>
    <col min="26" max="16384" width="9.140625" style="233"/>
  </cols>
  <sheetData>
    <row r="1" spans="1:27" s="217" customFormat="1" ht="6.75" customHeight="1" thickBot="1">
      <c r="B1" s="218"/>
    </row>
    <row r="2" spans="1:27"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row>
    <row r="3" spans="1:27"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row>
    <row r="4" spans="1:27" s="217" customFormat="1" ht="4.5" customHeight="1">
      <c r="A4" s="221"/>
      <c r="B4" s="222"/>
      <c r="C4" s="222"/>
      <c r="D4" s="222"/>
      <c r="I4" s="222"/>
      <c r="J4" s="222"/>
      <c r="K4" s="222"/>
      <c r="L4" s="222"/>
      <c r="N4" s="222"/>
      <c r="O4" s="222"/>
      <c r="P4" s="223"/>
      <c r="Q4" s="224"/>
      <c r="R4" s="225"/>
    </row>
    <row r="5" spans="1:27" s="217" customFormat="1" ht="22.5">
      <c r="A5" s="1821" t="str">
        <f>Sketches!A5</f>
        <v>4.  RUNWAYS</v>
      </c>
      <c r="B5" s="1821"/>
      <c r="C5" s="1821"/>
      <c r="D5" s="1821"/>
      <c r="E5" s="1821"/>
      <c r="F5" s="1821"/>
      <c r="G5" s="1821"/>
      <c r="H5" s="1821"/>
      <c r="I5" s="1821"/>
      <c r="J5" s="1821"/>
      <c r="K5" s="1821"/>
      <c r="L5" s="1821"/>
      <c r="M5" s="1821"/>
      <c r="N5" s="1821"/>
      <c r="O5" s="1821"/>
      <c r="P5" s="1821"/>
      <c r="Q5" s="1821"/>
      <c r="R5" s="1821"/>
      <c r="S5" s="1821"/>
      <c r="T5" s="1821"/>
      <c r="U5" s="1821"/>
      <c r="V5" s="1821"/>
      <c r="W5" s="1821"/>
    </row>
    <row r="6" spans="1:27" s="217" customFormat="1" ht="7.5" customHeight="1">
      <c r="A6" s="221"/>
      <c r="B6" s="222"/>
      <c r="C6" s="222"/>
      <c r="D6" s="222"/>
      <c r="I6" s="222"/>
      <c r="J6" s="222"/>
      <c r="K6" s="222"/>
      <c r="L6" s="222"/>
      <c r="N6" s="222"/>
      <c r="O6" s="222"/>
      <c r="P6" s="223"/>
      <c r="Q6" s="224"/>
      <c r="R6" s="225"/>
    </row>
    <row r="7" spans="1:27" s="217" customFormat="1" hidden="1">
      <c r="A7" s="1822">
        <v>39814</v>
      </c>
      <c r="B7" s="1822"/>
      <c r="C7" s="1822"/>
      <c r="D7" s="1822"/>
      <c r="E7" s="1822"/>
      <c r="F7" s="1822"/>
      <c r="G7" s="1822"/>
      <c r="H7" s="1822"/>
      <c r="I7" s="1822"/>
      <c r="J7" s="1822"/>
      <c r="K7" s="1822"/>
      <c r="L7" s="1822"/>
      <c r="M7" s="1822"/>
      <c r="N7" s="1822"/>
      <c r="O7" s="1822"/>
      <c r="P7" s="1822"/>
      <c r="Q7" s="1822"/>
      <c r="R7" s="1822"/>
      <c r="S7" s="1822"/>
      <c r="T7" s="1822"/>
      <c r="U7" s="1822"/>
      <c r="V7" s="1822"/>
      <c r="W7" s="1822"/>
    </row>
    <row r="8" spans="1:27"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row>
    <row r="9" spans="1:27" s="217" customFormat="1" ht="8.25" customHeight="1">
      <c r="A9" s="228"/>
      <c r="B9" s="229"/>
      <c r="C9" s="229"/>
      <c r="D9" s="229"/>
      <c r="E9" s="229"/>
      <c r="F9" s="229"/>
      <c r="G9" s="229"/>
      <c r="H9" s="229"/>
      <c r="I9" s="229"/>
      <c r="J9" s="229"/>
      <c r="K9" s="230"/>
      <c r="L9" s="229"/>
      <c r="M9" s="229"/>
      <c r="N9" s="229"/>
      <c r="O9" s="229"/>
      <c r="P9" s="229"/>
      <c r="Q9" s="229"/>
      <c r="R9" s="229"/>
      <c r="S9" s="229"/>
      <c r="T9" s="229"/>
      <c r="U9" s="229"/>
      <c r="V9" s="229"/>
      <c r="W9" s="229"/>
    </row>
    <row r="11" spans="1:27" ht="18">
      <c r="A11" s="1823" t="s">
        <v>942</v>
      </c>
      <c r="B11" s="1823"/>
      <c r="C11" s="1823"/>
      <c r="D11" s="1823"/>
      <c r="E11" s="1823"/>
      <c r="F11" s="1823"/>
      <c r="G11" s="1823"/>
      <c r="H11" s="1823"/>
      <c r="I11" s="1823"/>
      <c r="J11" s="1823"/>
      <c r="K11" s="1823"/>
      <c r="L11" s="1823"/>
      <c r="M11" s="1823"/>
      <c r="N11" s="1823"/>
      <c r="O11" s="1823"/>
      <c r="P11" s="1823"/>
      <c r="Q11" s="1823"/>
      <c r="R11" s="1823"/>
      <c r="S11" s="1823"/>
      <c r="T11" s="1823"/>
      <c r="U11" s="1823"/>
      <c r="V11" s="1823"/>
      <c r="W11" s="1823"/>
      <c r="X11" s="232"/>
      <c r="Y11" s="232"/>
      <c r="Z11" s="232"/>
      <c r="AA11" s="232"/>
    </row>
    <row r="12" spans="1:27">
      <c r="N12" s="231"/>
      <c r="O12" s="231"/>
      <c r="P12" s="231"/>
      <c r="Q12" s="231"/>
      <c r="R12" s="675" t="s">
        <v>493</v>
      </c>
      <c r="S12" s="231"/>
      <c r="T12" s="1973" t="s">
        <v>306</v>
      </c>
      <c r="U12" s="1973"/>
      <c r="V12" s="1973"/>
      <c r="W12" s="1973"/>
    </row>
    <row r="13" spans="1:27">
      <c r="N13" s="231"/>
      <c r="O13" s="231"/>
      <c r="P13" s="231"/>
      <c r="Q13" s="231"/>
      <c r="R13" s="675"/>
      <c r="S13" s="231"/>
      <c r="T13" s="605">
        <v>2009</v>
      </c>
      <c r="U13" s="675"/>
      <c r="V13" s="605">
        <v>2021</v>
      </c>
      <c r="W13" s="675"/>
    </row>
    <row r="14" spans="1:27">
      <c r="N14" s="231"/>
      <c r="O14" s="231"/>
      <c r="P14" s="231"/>
      <c r="Q14" s="231"/>
      <c r="R14" s="675"/>
      <c r="S14" s="231"/>
      <c r="T14" s="675"/>
      <c r="U14" s="675"/>
      <c r="V14" s="675"/>
      <c r="W14" s="675"/>
    </row>
    <row r="15" spans="1:27">
      <c r="M15" s="235" t="s">
        <v>494</v>
      </c>
      <c r="N15" s="236" t="s">
        <v>943</v>
      </c>
      <c r="O15" s="231"/>
      <c r="P15" s="427">
        <v>60</v>
      </c>
      <c r="Q15" s="469">
        <v>4200</v>
      </c>
      <c r="R15" s="243">
        <f>P15*Q15</f>
        <v>252000</v>
      </c>
      <c r="S15" s="231"/>
      <c r="T15" s="238">
        <f>'Code F Runway &amp; SH'!H53</f>
        <v>1430</v>
      </c>
      <c r="U15" s="231"/>
      <c r="V15" s="238">
        <f>'Code F Runway &amp; SH'!L53</f>
        <v>2637</v>
      </c>
      <c r="W15" s="240" t="s">
        <v>944</v>
      </c>
      <c r="Y15" s="537">
        <f>R15*V15</f>
        <v>664524000</v>
      </c>
    </row>
    <row r="16" spans="1:27">
      <c r="N16" s="231"/>
      <c r="O16" s="231"/>
      <c r="P16" s="675"/>
      <c r="Q16" s="231"/>
      <c r="S16" s="231"/>
      <c r="T16" s="675"/>
      <c r="U16" s="675"/>
      <c r="V16" s="675"/>
      <c r="W16" s="675"/>
      <c r="Y16" s="537"/>
    </row>
    <row r="17" spans="13:25">
      <c r="M17" s="235" t="s">
        <v>499</v>
      </c>
      <c r="N17" s="236" t="s">
        <v>945</v>
      </c>
      <c r="O17" s="231"/>
      <c r="P17" s="427">
        <f>7.5*2</f>
        <v>15</v>
      </c>
      <c r="Q17" s="469">
        <v>4200</v>
      </c>
      <c r="R17" s="243">
        <f>P17*Q17</f>
        <v>63000</v>
      </c>
      <c r="S17" s="231"/>
      <c r="T17" s="238">
        <f>'Code F Runway &amp; SH'!W37</f>
        <v>500</v>
      </c>
      <c r="U17" s="231"/>
      <c r="V17" s="238">
        <f>'Code F Runway &amp; SH'!AA37</f>
        <v>920</v>
      </c>
      <c r="W17" s="240" t="s">
        <v>944</v>
      </c>
      <c r="Y17" s="537">
        <f t="shared" ref="Y17:Y32" si="0">R17*V17</f>
        <v>57960000</v>
      </c>
    </row>
    <row r="18" spans="13:25">
      <c r="N18" s="231"/>
      <c r="O18" s="231"/>
      <c r="Q18" s="231"/>
      <c r="R18" s="675"/>
      <c r="S18" s="231"/>
      <c r="T18" s="675"/>
      <c r="U18" s="675"/>
      <c r="V18" s="675"/>
      <c r="W18" s="675"/>
      <c r="Y18" s="537"/>
    </row>
    <row r="19" spans="13:25">
      <c r="M19" s="235" t="s">
        <v>508</v>
      </c>
      <c r="N19" s="236" t="s">
        <v>946</v>
      </c>
      <c r="O19" s="231"/>
      <c r="P19" s="427">
        <f>37.5*2</f>
        <v>75</v>
      </c>
      <c r="Q19" s="469">
        <v>4200</v>
      </c>
      <c r="R19" s="243">
        <f>Q19*P19</f>
        <v>315000</v>
      </c>
      <c r="S19" s="231"/>
      <c r="T19" s="238">
        <f>'Code F Runway &amp; SH'!AL49</f>
        <v>100</v>
      </c>
      <c r="U19" s="231"/>
      <c r="V19" s="238">
        <f>'Code F Runway &amp; SH'!AP49</f>
        <v>180</v>
      </c>
      <c r="W19" s="240" t="s">
        <v>944</v>
      </c>
      <c r="Y19" s="537">
        <f t="shared" si="0"/>
        <v>56700000</v>
      </c>
    </row>
    <row r="20" spans="13:25">
      <c r="M20" s="231"/>
      <c r="N20" s="239"/>
      <c r="O20" s="231"/>
      <c r="P20" s="231"/>
      <c r="Q20" s="240" t="s">
        <v>947</v>
      </c>
      <c r="R20" s="234"/>
      <c r="S20" s="231"/>
      <c r="T20" s="231"/>
      <c r="U20" s="231"/>
      <c r="V20" s="231"/>
      <c r="W20" s="231"/>
      <c r="Y20" s="537"/>
    </row>
    <row r="21" spans="13:25">
      <c r="M21" s="231"/>
      <c r="N21" s="231"/>
      <c r="O21" s="231"/>
      <c r="P21" s="231"/>
      <c r="Q21" s="240"/>
      <c r="R21" s="234"/>
      <c r="S21" s="231"/>
      <c r="T21" s="231"/>
      <c r="U21" s="231"/>
      <c r="V21" s="231"/>
      <c r="W21" s="231"/>
      <c r="Y21" s="537"/>
    </row>
    <row r="22" spans="13:25">
      <c r="M22" s="231"/>
      <c r="N22" s="231"/>
      <c r="O22" s="231"/>
      <c r="P22" s="242">
        <v>120</v>
      </c>
      <c r="Q22" s="469">
        <f>P15+P17+P19</f>
        <v>150</v>
      </c>
      <c r="R22" s="243">
        <f>P22*Q22</f>
        <v>18000</v>
      </c>
      <c r="S22" s="231"/>
      <c r="T22" s="238">
        <f>'Code F Runway &amp; SH'!AL49</f>
        <v>100</v>
      </c>
      <c r="U22" s="231"/>
      <c r="V22" s="238">
        <f>'Code F Runway &amp; SH'!AP49</f>
        <v>180</v>
      </c>
      <c r="W22" s="240" t="s">
        <v>944</v>
      </c>
      <c r="Y22" s="537">
        <f t="shared" si="0"/>
        <v>3240000</v>
      </c>
    </row>
    <row r="23" spans="13:25">
      <c r="M23" s="231"/>
      <c r="N23" s="231"/>
      <c r="O23" s="231"/>
      <c r="P23" s="234"/>
      <c r="Q23" s="240" t="s">
        <v>948</v>
      </c>
      <c r="R23" s="234"/>
      <c r="S23" s="231"/>
      <c r="T23" s="231"/>
      <c r="U23" s="231"/>
      <c r="V23" s="231"/>
      <c r="W23" s="231"/>
      <c r="Y23" s="537"/>
    </row>
    <row r="24" spans="13:25">
      <c r="N24" s="231"/>
      <c r="O24" s="231"/>
      <c r="Q24" s="231"/>
      <c r="R24" s="234"/>
      <c r="S24" s="231"/>
      <c r="T24" s="231"/>
      <c r="U24" s="231"/>
      <c r="V24" s="231"/>
      <c r="W24" s="231"/>
      <c r="Y24" s="537"/>
    </row>
    <row r="25" spans="13:25">
      <c r="M25" s="235" t="s">
        <v>512</v>
      </c>
      <c r="N25" s="236" t="s">
        <v>949</v>
      </c>
      <c r="O25" s="231"/>
      <c r="P25" s="427">
        <f>75*2</f>
        <v>150</v>
      </c>
      <c r="Q25" s="469">
        <v>4200</v>
      </c>
      <c r="R25" s="243">
        <f>Q25*P25</f>
        <v>630000</v>
      </c>
      <c r="S25" s="231"/>
      <c r="T25" s="238">
        <f>'Code F Runway &amp; SH'!AL64</f>
        <v>50</v>
      </c>
      <c r="U25" s="231"/>
      <c r="V25" s="238">
        <f>'Code F Runway &amp; SH'!AP64</f>
        <v>90</v>
      </c>
      <c r="W25" s="240" t="s">
        <v>944</v>
      </c>
      <c r="Y25" s="537">
        <f t="shared" si="0"/>
        <v>56700000</v>
      </c>
    </row>
    <row r="26" spans="13:25">
      <c r="M26" s="231"/>
      <c r="N26" s="231"/>
      <c r="O26" s="231"/>
      <c r="P26" s="231"/>
      <c r="Q26" s="240" t="s">
        <v>950</v>
      </c>
      <c r="R26" s="234"/>
      <c r="S26" s="231"/>
      <c r="T26" s="231"/>
      <c r="U26" s="231"/>
      <c r="V26" s="231"/>
      <c r="W26" s="231"/>
      <c r="Y26" s="537"/>
    </row>
    <row r="27" spans="13:25">
      <c r="M27" s="231"/>
      <c r="N27" s="231"/>
      <c r="O27" s="231"/>
      <c r="P27" s="231"/>
      <c r="Q27" s="240"/>
      <c r="R27" s="234"/>
      <c r="S27" s="231"/>
      <c r="T27" s="231"/>
      <c r="U27" s="231"/>
      <c r="V27" s="231"/>
      <c r="W27" s="231"/>
      <c r="Y27" s="537"/>
    </row>
    <row r="28" spans="13:25">
      <c r="M28" s="231"/>
      <c r="N28" s="231"/>
      <c r="O28" s="231"/>
      <c r="P28" s="242">
        <v>60</v>
      </c>
      <c r="Q28" s="469">
        <f>P15+P17+P19+P25</f>
        <v>300</v>
      </c>
      <c r="R28" s="243">
        <f>P28*Q28</f>
        <v>18000</v>
      </c>
      <c r="S28" s="231"/>
      <c r="T28" s="238">
        <f>'Code F Runway &amp; SH'!AL64</f>
        <v>50</v>
      </c>
      <c r="U28" s="231"/>
      <c r="V28" s="238">
        <f>'Code F Runway &amp; SH'!AP64</f>
        <v>90</v>
      </c>
      <c r="W28" s="240" t="s">
        <v>944</v>
      </c>
      <c r="Y28" s="537">
        <f t="shared" si="0"/>
        <v>1620000</v>
      </c>
    </row>
    <row r="29" spans="13:25">
      <c r="M29" s="231"/>
      <c r="N29" s="231"/>
      <c r="O29" s="231"/>
      <c r="P29" s="234"/>
      <c r="Q29" s="240" t="s">
        <v>951</v>
      </c>
      <c r="R29" s="234"/>
      <c r="S29" s="231"/>
      <c r="T29" s="231"/>
      <c r="U29" s="231"/>
      <c r="V29" s="231"/>
      <c r="W29" s="231"/>
      <c r="Y29" s="537"/>
    </row>
    <row r="30" spans="13:25">
      <c r="Y30" s="537"/>
    </row>
    <row r="31" spans="13:25">
      <c r="M31" s="231"/>
      <c r="N31" s="231"/>
      <c r="O31" s="231"/>
      <c r="P31" s="231"/>
      <c r="Q31" s="240"/>
      <c r="R31" s="234"/>
      <c r="S31" s="231"/>
      <c r="T31" s="231"/>
      <c r="U31" s="231"/>
      <c r="V31" s="231"/>
      <c r="W31" s="231"/>
      <c r="Y31" s="537"/>
    </row>
    <row r="32" spans="13:25">
      <c r="M32" s="235" t="s">
        <v>526</v>
      </c>
      <c r="N32" s="236" t="s">
        <v>952</v>
      </c>
      <c r="O32" s="231"/>
      <c r="P32" s="242">
        <v>120</v>
      </c>
      <c r="Q32" s="469">
        <f>(240)*2</f>
        <v>480</v>
      </c>
      <c r="R32" s="243">
        <f>P32*Q32</f>
        <v>57600</v>
      </c>
      <c r="S32" s="237"/>
      <c r="T32" s="238">
        <f>'Code F Runway &amp; SH'!AL32</f>
        <v>100</v>
      </c>
      <c r="U32" s="231"/>
      <c r="V32" s="238">
        <f>'Code F Runway &amp; SH'!AP32</f>
        <v>190</v>
      </c>
      <c r="W32" s="240" t="s">
        <v>944</v>
      </c>
      <c r="Y32" s="537">
        <f t="shared" si="0"/>
        <v>10944000</v>
      </c>
    </row>
    <row r="33" spans="13:25">
      <c r="M33" s="231"/>
      <c r="N33" s="231"/>
      <c r="O33" s="231"/>
      <c r="P33" s="234"/>
      <c r="Q33" s="240" t="s">
        <v>953</v>
      </c>
      <c r="R33" s="234"/>
      <c r="S33" s="231"/>
      <c r="T33" s="231"/>
      <c r="U33" s="231"/>
      <c r="V33" s="231"/>
      <c r="Y33" s="537"/>
    </row>
    <row r="34" spans="13:25">
      <c r="M34" s="235" t="s">
        <v>529</v>
      </c>
      <c r="N34" s="236" t="s">
        <v>954</v>
      </c>
      <c r="O34" s="231"/>
      <c r="P34" s="231"/>
      <c r="Q34" s="231"/>
      <c r="R34" s="234"/>
      <c r="S34" s="430" t="s">
        <v>774</v>
      </c>
      <c r="T34" s="395">
        <v>40000</v>
      </c>
      <c r="U34" s="231"/>
      <c r="V34" s="395">
        <f>40000*1.15</f>
        <v>46000</v>
      </c>
      <c r="W34" s="240" t="s">
        <v>944</v>
      </c>
    </row>
    <row r="35" spans="13:25">
      <c r="M35" s="231"/>
      <c r="N35" s="231"/>
      <c r="O35" s="231"/>
      <c r="P35" s="234"/>
      <c r="Q35" s="231"/>
      <c r="R35" s="234"/>
      <c r="S35" s="231"/>
      <c r="T35" s="231"/>
      <c r="U35" s="231"/>
      <c r="V35" s="231"/>
      <c r="W35" s="231"/>
      <c r="Y35" s="538"/>
    </row>
    <row r="36" spans="13:25" ht="13.5" thickBot="1">
      <c r="M36" s="235" t="s">
        <v>532</v>
      </c>
      <c r="N36" s="236" t="s">
        <v>544</v>
      </c>
      <c r="O36" s="231"/>
      <c r="P36" s="231"/>
      <c r="Q36" s="231"/>
      <c r="R36" s="234"/>
      <c r="S36" s="231"/>
      <c r="T36" s="231"/>
      <c r="U36" s="231"/>
      <c r="V36" s="231"/>
      <c r="Y36" s="606">
        <f>SUM(Y15:Y33)</f>
        <v>851688000</v>
      </c>
    </row>
    <row r="37" spans="13:25" ht="13.5" thickTop="1">
      <c r="M37" s="231"/>
      <c r="N37" s="231" t="s">
        <v>545</v>
      </c>
      <c r="W37" s="231"/>
    </row>
    <row r="38" spans="13:25">
      <c r="M38" s="231"/>
      <c r="N38" s="231" t="s">
        <v>546</v>
      </c>
      <c r="U38" s="231"/>
      <c r="V38" s="231"/>
      <c r="W38" s="231"/>
    </row>
    <row r="39" spans="13:25">
      <c r="M39" s="231"/>
      <c r="N39" s="231" t="s">
        <v>547</v>
      </c>
      <c r="U39" s="231"/>
      <c r="V39" s="231"/>
    </row>
    <row r="40" spans="13:25">
      <c r="M40" s="231"/>
      <c r="N40" s="231" t="s">
        <v>775</v>
      </c>
      <c r="R40" s="428"/>
      <c r="W40" s="231"/>
    </row>
    <row r="41" spans="13:25">
      <c r="M41" s="231"/>
      <c r="N41" s="231" t="s">
        <v>557</v>
      </c>
      <c r="O41" s="231"/>
      <c r="P41" s="231"/>
      <c r="Q41" s="231"/>
      <c r="R41" s="427"/>
      <c r="S41" s="231"/>
      <c r="T41" s="238"/>
      <c r="U41" s="231"/>
      <c r="V41" s="231"/>
      <c r="W41" s="231"/>
    </row>
    <row r="42" spans="13:25">
      <c r="M42" s="231"/>
      <c r="N42" s="231" t="s">
        <v>551</v>
      </c>
      <c r="O42" s="231"/>
      <c r="P42" s="231"/>
      <c r="Q42" s="231"/>
      <c r="R42" s="427"/>
      <c r="S42" s="231"/>
      <c r="T42" s="238"/>
      <c r="U42" s="231"/>
      <c r="V42" s="231"/>
      <c r="W42" s="231"/>
    </row>
    <row r="43" spans="13:25">
      <c r="N43" s="231" t="s">
        <v>552</v>
      </c>
      <c r="R43" s="427"/>
      <c r="U43" s="231"/>
      <c r="V43" s="231"/>
      <c r="W43" s="238"/>
    </row>
    <row r="44" spans="13:25">
      <c r="M44" s="231"/>
      <c r="N44" s="231" t="s">
        <v>553</v>
      </c>
      <c r="O44" s="231"/>
      <c r="P44" s="231"/>
      <c r="Q44" s="231"/>
      <c r="R44" s="234"/>
      <c r="S44" s="231"/>
      <c r="U44" s="231"/>
      <c r="V44" s="231"/>
      <c r="W44" s="231"/>
    </row>
    <row r="45" spans="13:25">
      <c r="M45" s="235"/>
      <c r="N45" s="231" t="s">
        <v>554</v>
      </c>
      <c r="O45" s="231"/>
      <c r="P45" s="231"/>
      <c r="Q45" s="231"/>
      <c r="R45" s="234"/>
      <c r="S45" s="231"/>
      <c r="T45" s="332"/>
      <c r="U45" s="231"/>
      <c r="V45" s="231"/>
      <c r="W45" s="231"/>
    </row>
    <row r="46" spans="13:25">
      <c r="M46" s="235"/>
      <c r="N46" s="231" t="s">
        <v>776</v>
      </c>
      <c r="O46" s="231"/>
      <c r="P46" s="231"/>
      <c r="Q46" s="231"/>
      <c r="R46" s="234"/>
      <c r="S46" s="231"/>
      <c r="T46" s="332"/>
      <c r="U46" s="231"/>
      <c r="V46" s="231"/>
      <c r="W46" s="231"/>
    </row>
    <row r="47" spans="13:25">
      <c r="M47" s="231"/>
      <c r="N47" s="231" t="s">
        <v>560</v>
      </c>
    </row>
    <row r="48" spans="13:25">
      <c r="N48" s="231" t="s">
        <v>777</v>
      </c>
      <c r="O48" s="231"/>
      <c r="P48" s="231"/>
      <c r="Q48" s="231"/>
      <c r="R48" s="234"/>
      <c r="S48" s="231"/>
      <c r="T48" s="231"/>
      <c r="U48" s="231"/>
      <c r="V48" s="231"/>
      <c r="W48" s="231"/>
    </row>
    <row r="49" spans="1:25">
      <c r="N49" s="231" t="s">
        <v>561</v>
      </c>
      <c r="O49" s="231"/>
      <c r="P49" s="231"/>
      <c r="Q49" s="231"/>
      <c r="R49" s="234"/>
      <c r="S49" s="231"/>
      <c r="T49" s="231"/>
      <c r="U49" s="231"/>
      <c r="V49" s="231"/>
      <c r="W49" s="231"/>
    </row>
    <row r="50" spans="1:25">
      <c r="N50" s="231" t="s">
        <v>778</v>
      </c>
      <c r="O50" s="231"/>
      <c r="P50" s="231"/>
      <c r="Q50" s="231"/>
      <c r="R50" s="234"/>
      <c r="S50" s="231"/>
      <c r="T50" s="231"/>
      <c r="U50" s="231"/>
      <c r="V50" s="231"/>
      <c r="W50" s="231"/>
    </row>
    <row r="51" spans="1:25">
      <c r="N51" s="231" t="s">
        <v>955</v>
      </c>
      <c r="O51" s="231"/>
      <c r="P51" s="231"/>
      <c r="Q51" s="231"/>
      <c r="R51" s="234"/>
      <c r="S51" s="231"/>
      <c r="T51" s="231"/>
      <c r="U51" s="231"/>
      <c r="V51" s="231"/>
      <c r="W51" s="231"/>
    </row>
    <row r="52" spans="1:25">
      <c r="N52" s="231" t="s">
        <v>956</v>
      </c>
      <c r="O52" s="231"/>
      <c r="P52" s="231"/>
      <c r="Q52" s="231"/>
      <c r="R52" s="234"/>
      <c r="S52" s="231"/>
      <c r="T52" s="231"/>
      <c r="U52" s="236"/>
      <c r="V52" s="236"/>
      <c r="W52" s="231"/>
    </row>
    <row r="53" spans="1:25">
      <c r="N53" s="231" t="s">
        <v>957</v>
      </c>
      <c r="O53" s="231"/>
      <c r="P53" s="231"/>
      <c r="Q53" s="231"/>
      <c r="R53" s="234"/>
      <c r="S53" s="231"/>
      <c r="T53" s="231"/>
      <c r="U53" s="231"/>
      <c r="V53" s="231"/>
      <c r="W53" s="231"/>
    </row>
    <row r="54" spans="1:25">
      <c r="N54" s="231"/>
      <c r="O54" s="231"/>
      <c r="P54" s="231"/>
      <c r="Q54" s="231"/>
      <c r="R54" s="234"/>
      <c r="S54" s="231"/>
      <c r="T54" s="231"/>
      <c r="U54" s="231"/>
      <c r="V54" s="231"/>
      <c r="W54" s="231"/>
      <c r="X54" s="539"/>
    </row>
    <row r="55" spans="1:25">
      <c r="N55" s="236" t="s">
        <v>779</v>
      </c>
      <c r="O55" s="231"/>
      <c r="P55" s="231"/>
      <c r="Q55" s="231"/>
      <c r="R55" s="234"/>
      <c r="S55" s="231"/>
      <c r="T55" s="231"/>
      <c r="U55" s="231"/>
      <c r="V55" s="231"/>
      <c r="W55" s="231"/>
      <c r="X55" s="539"/>
      <c r="Y55" s="244"/>
    </row>
    <row r="56" spans="1:25" ht="11.25" customHeight="1">
      <c r="C56" s="540"/>
      <c r="D56" s="540"/>
      <c r="E56" s="540"/>
      <c r="F56" s="540"/>
      <c r="G56" s="540"/>
      <c r="H56" s="540"/>
      <c r="I56" s="540"/>
      <c r="J56" s="540"/>
      <c r="K56" s="540"/>
      <c r="L56" s="540"/>
      <c r="N56" s="236" t="s">
        <v>780</v>
      </c>
      <c r="O56" s="231"/>
      <c r="P56" s="231"/>
      <c r="Q56" s="231"/>
      <c r="R56" s="234"/>
      <c r="S56" s="231"/>
      <c r="T56" s="231"/>
      <c r="U56" s="231"/>
      <c r="V56" s="231"/>
      <c r="W56" s="231"/>
    </row>
    <row r="57" spans="1:25">
      <c r="A57" s="541"/>
      <c r="B57" s="539"/>
      <c r="C57" s="540"/>
      <c r="D57" s="540"/>
      <c r="E57" s="540"/>
      <c r="F57" s="540"/>
      <c r="G57" s="540"/>
      <c r="H57" s="540"/>
      <c r="I57" s="540"/>
      <c r="J57" s="540"/>
      <c r="K57" s="540"/>
      <c r="L57" s="540"/>
      <c r="N57" s="236" t="s">
        <v>781</v>
      </c>
      <c r="O57" s="231"/>
      <c r="P57" s="231"/>
      <c r="Q57" s="231"/>
      <c r="R57" s="234"/>
      <c r="S57" s="231"/>
      <c r="T57" s="231"/>
      <c r="U57" s="231"/>
      <c r="V57" s="231"/>
      <c r="W57" s="231"/>
    </row>
    <row r="58" spans="1:25">
      <c r="A58" s="541"/>
      <c r="B58" s="542"/>
      <c r="N58" s="236" t="s">
        <v>782</v>
      </c>
      <c r="O58" s="231"/>
      <c r="P58" s="231"/>
      <c r="Q58" s="231"/>
      <c r="R58" s="234"/>
      <c r="S58" s="231"/>
      <c r="T58" s="231"/>
      <c r="U58" s="231"/>
      <c r="V58" s="231"/>
      <c r="W58" s="231"/>
    </row>
    <row r="59" spans="1:25" ht="12.75" customHeight="1">
      <c r="A59" s="541"/>
      <c r="B59" s="542"/>
      <c r="O59" s="231"/>
      <c r="P59" s="231"/>
      <c r="Q59" s="231"/>
      <c r="R59" s="234"/>
      <c r="S59" s="231"/>
      <c r="T59" s="231"/>
      <c r="U59" s="231"/>
      <c r="V59" s="231"/>
      <c r="W59" s="231"/>
    </row>
    <row r="60" spans="1:25">
      <c r="A60" s="541"/>
      <c r="B60" s="542"/>
      <c r="M60" s="231"/>
      <c r="O60" s="231"/>
      <c r="P60" s="231"/>
      <c r="Q60" s="231"/>
      <c r="R60" s="234"/>
      <c r="S60" s="231"/>
      <c r="T60" s="231"/>
      <c r="U60" s="231"/>
      <c r="V60" s="231"/>
      <c r="W60" s="231"/>
    </row>
    <row r="61" spans="1:25">
      <c r="A61" s="541"/>
      <c r="B61" s="542"/>
      <c r="M61" s="231"/>
      <c r="N61" s="231"/>
      <c r="O61" s="231"/>
      <c r="P61" s="231"/>
      <c r="Q61" s="231"/>
      <c r="R61" s="234"/>
      <c r="S61" s="231"/>
      <c r="T61" s="231"/>
      <c r="U61" s="231"/>
      <c r="V61" s="231"/>
      <c r="W61" s="231"/>
    </row>
    <row r="62" spans="1:25">
      <c r="A62" s="541"/>
      <c r="B62" s="542"/>
      <c r="M62" s="540"/>
      <c r="N62" s="540"/>
      <c r="O62" s="540"/>
      <c r="P62" s="540"/>
      <c r="Q62" s="540"/>
      <c r="R62" s="540"/>
      <c r="S62" s="540"/>
      <c r="T62" s="540"/>
      <c r="U62" s="540"/>
      <c r="V62" s="540"/>
      <c r="W62" s="540"/>
    </row>
    <row r="63" spans="1:25">
      <c r="A63" s="541"/>
      <c r="B63" s="542"/>
      <c r="M63" s="540"/>
      <c r="N63" s="540"/>
      <c r="O63" s="540"/>
      <c r="P63" s="540"/>
      <c r="Q63" s="540"/>
      <c r="R63" s="540"/>
      <c r="S63" s="540"/>
      <c r="T63" s="540"/>
      <c r="U63" s="540"/>
      <c r="V63" s="540"/>
      <c r="W63" s="540"/>
    </row>
    <row r="64" spans="1:25">
      <c r="A64" s="541"/>
      <c r="B64" s="542"/>
      <c r="M64" s="231"/>
      <c r="O64" s="231"/>
      <c r="P64" s="231"/>
      <c r="Q64" s="231"/>
      <c r="R64" s="234"/>
      <c r="S64" s="231"/>
      <c r="T64" s="231"/>
      <c r="U64" s="241"/>
      <c r="V64" s="241"/>
      <c r="W64" s="231"/>
    </row>
    <row r="65" spans="1:24">
      <c r="A65" s="541"/>
      <c r="B65" s="542"/>
      <c r="M65" s="231"/>
      <c r="U65" s="231"/>
      <c r="V65" s="231"/>
      <c r="W65" s="231"/>
      <c r="X65" s="662"/>
    </row>
    <row r="66" spans="1:24">
      <c r="A66" s="541"/>
      <c r="B66" s="542"/>
      <c r="M66" s="231"/>
      <c r="U66" s="231"/>
      <c r="V66" s="231"/>
      <c r="W66" s="231"/>
    </row>
    <row r="67" spans="1:24">
      <c r="A67" s="541"/>
      <c r="M67" s="241"/>
      <c r="N67" s="241"/>
      <c r="O67" s="241"/>
      <c r="P67" s="241"/>
      <c r="Q67" s="241"/>
      <c r="R67" s="241"/>
      <c r="S67" s="241"/>
      <c r="T67" s="241"/>
      <c r="U67" s="231"/>
      <c r="V67" s="231"/>
      <c r="W67" s="231"/>
    </row>
    <row r="68" spans="1:24">
      <c r="A68" s="541"/>
      <c r="B68" s="236"/>
      <c r="M68" s="231"/>
      <c r="U68" s="231"/>
      <c r="V68" s="231"/>
      <c r="W68" s="231"/>
    </row>
    <row r="69" spans="1:24">
      <c r="B69" s="431"/>
      <c r="C69" s="431"/>
      <c r="D69" s="431"/>
      <c r="E69" s="431"/>
      <c r="F69" s="431"/>
      <c r="G69" s="431"/>
      <c r="H69" s="431"/>
      <c r="I69" s="431"/>
      <c r="U69" s="231"/>
      <c r="V69" s="231"/>
      <c r="W69" s="231"/>
    </row>
    <row r="70" spans="1:24">
      <c r="U70" s="231"/>
      <c r="V70" s="231"/>
      <c r="W70" s="231"/>
    </row>
    <row r="71" spans="1:24">
      <c r="U71" s="231"/>
      <c r="V71" s="231"/>
      <c r="W71" s="231"/>
    </row>
    <row r="72" spans="1:24">
      <c r="U72" s="231"/>
      <c r="V72" s="231"/>
      <c r="W72" s="231"/>
    </row>
    <row r="73" spans="1:24">
      <c r="U73" s="231"/>
      <c r="V73" s="231"/>
      <c r="W73" s="231"/>
    </row>
    <row r="74" spans="1:24">
      <c r="U74" s="231"/>
      <c r="V74" s="231"/>
      <c r="W74" s="231"/>
    </row>
    <row r="75" spans="1:24">
      <c r="U75" s="231"/>
      <c r="V75" s="231"/>
      <c r="W75" s="231"/>
    </row>
    <row r="76" spans="1:24">
      <c r="U76" s="231"/>
      <c r="V76" s="231"/>
      <c r="W76" s="231"/>
    </row>
    <row r="77" spans="1:24">
      <c r="U77" s="231"/>
      <c r="V77" s="231"/>
      <c r="W77" s="231"/>
    </row>
    <row r="78" spans="1:24">
      <c r="U78" s="231"/>
      <c r="V78" s="231"/>
      <c r="W78" s="231"/>
    </row>
    <row r="79" spans="1:24">
      <c r="U79" s="231"/>
      <c r="V79" s="231"/>
      <c r="W79" s="231"/>
    </row>
    <row r="80" spans="1:24">
      <c r="W80" s="231"/>
    </row>
    <row r="81" spans="23:23">
      <c r="W81" s="231"/>
    </row>
    <row r="82" spans="23:23">
      <c r="W82" s="231"/>
    </row>
    <row r="83" spans="23:23">
      <c r="W83" s="231"/>
    </row>
  </sheetData>
  <sheetProtection algorithmName="SHA-512" hashValue="O8RIdiExSsK7SZur5mtq1X8XeALZ3JV/aczpYwFA0jvoIxoGY2E1QkOfyjayMzFGY7uzDimQn6UhPXjAzNLQ0w==" saltValue="0l4CITy17iH4vGRKQEpQGg==" spinCount="100000" sheet="1" objects="1" scenarios="1"/>
  <mergeCells count="5">
    <mergeCell ref="A3:W3"/>
    <mergeCell ref="A5:W5"/>
    <mergeCell ref="A7:W7"/>
    <mergeCell ref="A11:W11"/>
    <mergeCell ref="T12:W12"/>
  </mergeCells>
  <printOptions horizontalCentered="1"/>
  <pageMargins left="0.15748031496062992" right="0.15748031496062992" top="0.23" bottom="0.15748031496062992" header="0.15748031496062992" footer="0.15748031496062992"/>
  <pageSetup paperSize="8" scale="83" firstPageNumber="13"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8">
    <tabColor theme="9" tint="-0.249977111117893"/>
    <pageSetUpPr fitToPage="1"/>
  </sheetPr>
  <dimension ref="A1:AQ95"/>
  <sheetViews>
    <sheetView zoomScale="80" zoomScaleNormal="80" workbookViewId="0">
      <selection activeCell="A5" sqref="A5:AI5"/>
    </sheetView>
  </sheetViews>
  <sheetFormatPr defaultColWidth="9.140625" defaultRowHeight="12.75" outlineLevelCol="1"/>
  <cols>
    <col min="1" max="1" width="3" style="231" customWidth="1"/>
    <col min="2" max="2" width="27.140625" style="231" customWidth="1"/>
    <col min="3" max="3" width="8.42578125" style="231" customWidth="1"/>
    <col min="4" max="4" width="10.85546875" style="231" customWidth="1"/>
    <col min="5" max="5" width="9.42578125" style="361" bestFit="1" customWidth="1"/>
    <col min="6" max="6" width="18" style="327" hidden="1" customWidth="1" outlineLevel="1"/>
    <col min="7" max="7" width="4.42578125" style="328" hidden="1" customWidth="1" outlineLevel="1"/>
    <col min="8" max="8" width="9.42578125" style="432" hidden="1" customWidth="1" collapsed="1"/>
    <col min="9" max="9" width="5" style="231" hidden="1" customWidth="1"/>
    <col min="10" max="10" width="10" style="231" hidden="1" customWidth="1"/>
    <col min="11" max="11" width="5" style="231" hidden="1" customWidth="1"/>
    <col min="12" max="12" width="9.85546875" style="231" customWidth="1"/>
    <col min="13" max="13" width="6.28515625" style="231" customWidth="1"/>
    <col min="14" max="14" width="2.7109375" style="231" customWidth="1"/>
    <col min="15" max="15" width="3.42578125" style="231" customWidth="1"/>
    <col min="16" max="20" width="9.140625" style="231"/>
    <col min="21" max="21" width="11.5703125" style="231" customWidth="1" outlineLevel="1"/>
    <col min="22" max="22" width="4.42578125" style="231" customWidth="1" outlineLevel="1"/>
    <col min="23" max="23" width="9.140625" style="231" hidden="1" customWidth="1"/>
    <col min="24" max="24" width="6.42578125" style="231" hidden="1" customWidth="1"/>
    <col min="25" max="25" width="8.140625" style="231" hidden="1" customWidth="1"/>
    <col min="26" max="26" width="6.42578125" style="231" hidden="1" customWidth="1"/>
    <col min="27" max="27" width="10.140625" style="231" customWidth="1"/>
    <col min="28" max="28" width="6.42578125" style="231" customWidth="1"/>
    <col min="29" max="29" width="9.28515625" style="231" customWidth="1"/>
    <col min="30" max="30" width="3.42578125" style="231" customWidth="1"/>
    <col min="31" max="31" width="5.42578125" style="231" customWidth="1"/>
    <col min="32" max="32" width="9" style="231" customWidth="1"/>
    <col min="33" max="33" width="10" style="231" bestFit="1" customWidth="1"/>
    <col min="34" max="35" width="9.140625" style="231"/>
    <col min="36" max="36" width="11.5703125" style="231" hidden="1" customWidth="1" outlineLevel="1"/>
    <col min="37" max="37" width="4.42578125" style="231" hidden="1" customWidth="1" outlineLevel="1"/>
    <col min="38" max="38" width="0" style="231" hidden="1" customWidth="1" collapsed="1"/>
    <col min="39" max="39" width="6.28515625" style="231" hidden="1" customWidth="1"/>
    <col min="40" max="41" width="0" style="231" hidden="1" customWidth="1"/>
    <col min="42" max="16384" width="9.140625" style="231"/>
  </cols>
  <sheetData>
    <row r="1" spans="1:39" s="217" customFormat="1" ht="6.75" customHeight="1" thickBot="1">
      <c r="B1" s="218"/>
    </row>
    <row r="2" spans="1:39" s="217" customFormat="1" ht="6" customHeight="1">
      <c r="A2" s="219"/>
      <c r="B2" s="220"/>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G2" s="219"/>
      <c r="AH2" s="219"/>
      <c r="AI2" s="219"/>
      <c r="AL2" s="219"/>
      <c r="AM2" s="219"/>
    </row>
    <row r="3" spans="1:39" s="217" customFormat="1" ht="15" customHeight="1">
      <c r="A3" s="1820" t="str">
        <f>[5]Cover!$A$5</f>
        <v>AIRPORT DEVELOPMENT COST</v>
      </c>
      <c r="B3" s="1820"/>
      <c r="C3" s="1820"/>
      <c r="D3" s="1820"/>
      <c r="E3" s="1820"/>
      <c r="F3" s="1820"/>
      <c r="G3" s="1820"/>
      <c r="H3" s="1820"/>
      <c r="I3" s="1820"/>
      <c r="J3" s="1820"/>
      <c r="K3" s="1820"/>
      <c r="L3" s="1820"/>
      <c r="M3" s="1820"/>
      <c r="N3" s="1820"/>
      <c r="O3" s="1820"/>
      <c r="P3" s="1820"/>
      <c r="Q3" s="1820"/>
      <c r="R3" s="1820"/>
      <c r="S3" s="1820"/>
      <c r="T3" s="1820"/>
      <c r="U3" s="1820"/>
      <c r="V3" s="1820"/>
      <c r="W3" s="1820"/>
      <c r="X3" s="1820"/>
      <c r="Y3" s="1820"/>
      <c r="Z3" s="1820"/>
      <c r="AA3" s="1820"/>
      <c r="AB3" s="1820"/>
      <c r="AC3" s="1820"/>
      <c r="AD3" s="1820"/>
      <c r="AE3" s="1820"/>
      <c r="AF3" s="1820"/>
      <c r="AG3" s="1820"/>
      <c r="AH3" s="1820"/>
      <c r="AI3" s="1820"/>
    </row>
    <row r="4" spans="1:39" s="217" customFormat="1" ht="4.5" customHeight="1">
      <c r="A4" s="221"/>
      <c r="B4" s="222"/>
      <c r="C4" s="222"/>
      <c r="D4" s="222"/>
      <c r="N4" s="222"/>
      <c r="O4" s="222"/>
      <c r="P4" s="222"/>
      <c r="Q4" s="222"/>
      <c r="S4" s="222"/>
      <c r="T4" s="222"/>
      <c r="U4" s="223"/>
      <c r="V4" s="224"/>
      <c r="W4" s="225"/>
    </row>
    <row r="5" spans="1:39" s="217" customFormat="1" ht="22.5">
      <c r="A5" s="1821" t="str">
        <f>'Master Runways'!A5:W5</f>
        <v>4.  RUNWAYS</v>
      </c>
      <c r="B5" s="1821"/>
      <c r="C5" s="1821"/>
      <c r="D5" s="1821"/>
      <c r="E5" s="1821"/>
      <c r="F5" s="1821"/>
      <c r="G5" s="1821"/>
      <c r="H5" s="1821"/>
      <c r="I5" s="1821"/>
      <c r="J5" s="1821"/>
      <c r="K5" s="1821"/>
      <c r="L5" s="1821"/>
      <c r="M5" s="1821"/>
      <c r="N5" s="1821"/>
      <c r="O5" s="1821"/>
      <c r="P5" s="1821"/>
      <c r="Q5" s="1821"/>
      <c r="R5" s="1821"/>
      <c r="S5" s="1821"/>
      <c r="T5" s="1821"/>
      <c r="U5" s="1821"/>
      <c r="V5" s="1821"/>
      <c r="W5" s="1821"/>
      <c r="X5" s="1821"/>
      <c r="Y5" s="1821"/>
      <c r="Z5" s="1821"/>
      <c r="AA5" s="1821"/>
      <c r="AB5" s="1821"/>
      <c r="AC5" s="1821"/>
      <c r="AD5" s="1821"/>
      <c r="AE5" s="1821"/>
      <c r="AF5" s="1821"/>
      <c r="AG5" s="1821"/>
      <c r="AH5" s="1821"/>
      <c r="AI5" s="1821"/>
    </row>
    <row r="6" spans="1:39" s="217" customFormat="1" ht="7.5" customHeight="1">
      <c r="A6" s="221"/>
      <c r="B6" s="222"/>
      <c r="C6" s="222"/>
      <c r="D6" s="222"/>
      <c r="N6" s="222"/>
      <c r="O6" s="222"/>
      <c r="P6" s="222"/>
      <c r="Q6" s="222"/>
      <c r="S6" s="222"/>
      <c r="T6" s="222"/>
      <c r="U6" s="223"/>
      <c r="V6" s="224"/>
      <c r="W6" s="225"/>
    </row>
    <row r="7" spans="1:39" s="217" customFormat="1" hidden="1">
      <c r="A7" s="1822">
        <f>'Master Apron stands'!A7</f>
        <v>43040</v>
      </c>
      <c r="B7" s="1822"/>
      <c r="C7" s="1822"/>
      <c r="D7" s="1822"/>
      <c r="E7" s="1822"/>
      <c r="F7" s="1822"/>
      <c r="G7" s="1822"/>
      <c r="H7" s="1822"/>
      <c r="I7" s="1822"/>
      <c r="J7" s="1822"/>
      <c r="K7" s="1822"/>
      <c r="L7" s="1822"/>
      <c r="M7" s="1822"/>
      <c r="N7" s="1822"/>
      <c r="O7" s="1822"/>
      <c r="P7" s="1822"/>
      <c r="Q7" s="1822"/>
      <c r="R7" s="1822"/>
      <c r="S7" s="1822"/>
      <c r="T7" s="1822"/>
      <c r="U7" s="1822"/>
      <c r="V7" s="1822"/>
      <c r="W7" s="1822"/>
      <c r="X7" s="1822"/>
      <c r="Y7" s="1822"/>
      <c r="Z7" s="1822"/>
      <c r="AA7" s="1822"/>
      <c r="AB7" s="1822"/>
      <c r="AC7" s="1822"/>
      <c r="AD7" s="1822"/>
      <c r="AE7" s="1822"/>
      <c r="AF7" s="1822"/>
      <c r="AG7" s="1822"/>
      <c r="AH7" s="1822"/>
      <c r="AI7" s="1822"/>
    </row>
    <row r="8" spans="1:39" s="217" customFormat="1" ht="4.5" customHeight="1" thickBot="1">
      <c r="A8" s="226"/>
      <c r="B8" s="227"/>
      <c r="C8" s="226"/>
      <c r="D8" s="226"/>
      <c r="E8" s="226"/>
      <c r="F8" s="226"/>
      <c r="G8" s="226"/>
      <c r="H8" s="226"/>
      <c r="I8" s="226"/>
      <c r="J8" s="226"/>
      <c r="K8" s="226"/>
      <c r="L8" s="226"/>
      <c r="M8" s="226"/>
      <c r="N8" s="226"/>
      <c r="O8" s="226"/>
      <c r="P8" s="226"/>
      <c r="Q8" s="226"/>
      <c r="R8" s="226"/>
      <c r="S8" s="226"/>
      <c r="T8" s="226"/>
      <c r="U8" s="226"/>
      <c r="V8" s="226"/>
      <c r="W8" s="226"/>
      <c r="X8" s="226"/>
      <c r="Y8" s="226"/>
      <c r="Z8" s="226"/>
      <c r="AA8" s="226"/>
      <c r="AB8" s="226"/>
      <c r="AC8" s="226"/>
      <c r="AD8" s="226"/>
      <c r="AE8" s="226"/>
      <c r="AH8" s="226"/>
      <c r="AI8" s="226"/>
      <c r="AL8" s="226"/>
      <c r="AM8" s="226"/>
    </row>
    <row r="9" spans="1:39" s="217" customFormat="1" ht="8.25" customHeight="1">
      <c r="A9" s="228"/>
      <c r="B9" s="229"/>
      <c r="C9" s="229"/>
      <c r="D9" s="229"/>
      <c r="E9" s="229"/>
      <c r="F9" s="229"/>
      <c r="G9" s="229"/>
      <c r="H9" s="229"/>
      <c r="I9" s="229"/>
      <c r="J9" s="229"/>
      <c r="K9" s="229"/>
      <c r="L9" s="229"/>
      <c r="M9" s="229"/>
      <c r="N9" s="229"/>
      <c r="O9" s="229"/>
      <c r="P9" s="230"/>
      <c r="Q9" s="229"/>
      <c r="R9" s="229"/>
      <c r="S9" s="229"/>
      <c r="T9" s="229"/>
      <c r="U9" s="229"/>
      <c r="V9" s="229"/>
      <c r="W9" s="229"/>
      <c r="X9" s="229"/>
      <c r="Y9" s="229"/>
      <c r="Z9" s="229"/>
      <c r="AA9" s="229"/>
      <c r="AB9" s="229"/>
      <c r="AC9" s="229"/>
      <c r="AD9" s="229"/>
      <c r="AE9" s="229"/>
      <c r="AF9" s="219"/>
      <c r="AG9" s="219"/>
      <c r="AH9" s="229"/>
      <c r="AI9" s="229"/>
      <c r="AL9" s="229"/>
      <c r="AM9" s="229"/>
    </row>
    <row r="10" spans="1:39" s="217" customFormat="1" ht="15">
      <c r="A10" s="228"/>
      <c r="B10" s="229"/>
      <c r="C10" s="229"/>
      <c r="D10" s="229"/>
      <c r="E10" s="229"/>
      <c r="F10" s="229"/>
      <c r="G10" s="229"/>
      <c r="H10" s="229"/>
      <c r="I10" s="229"/>
      <c r="J10" s="229"/>
      <c r="K10" s="229"/>
      <c r="L10" s="229"/>
      <c r="M10" s="229"/>
      <c r="N10" s="229"/>
      <c r="O10" s="229"/>
      <c r="P10" s="230"/>
      <c r="Q10" s="229"/>
      <c r="R10" s="229"/>
      <c r="S10" s="229"/>
      <c r="T10" s="229"/>
      <c r="U10" s="229"/>
      <c r="V10" s="229"/>
      <c r="W10" s="229"/>
      <c r="X10" s="229"/>
      <c r="Y10" s="229"/>
      <c r="Z10" s="229"/>
      <c r="AA10" s="229"/>
      <c r="AB10" s="229"/>
      <c r="AC10" s="229"/>
      <c r="AD10" s="229"/>
      <c r="AE10" s="229"/>
    </row>
    <row r="11" spans="1:39" s="217" customFormat="1" ht="18">
      <c r="A11" s="1823" t="s">
        <v>786</v>
      </c>
      <c r="B11" s="1823"/>
      <c r="C11" s="1823"/>
      <c r="D11" s="1823"/>
      <c r="E11" s="1823"/>
      <c r="F11" s="1823"/>
      <c r="G11" s="1823"/>
      <c r="H11" s="1823"/>
      <c r="I11" s="1823"/>
      <c r="J11" s="1823"/>
      <c r="K11" s="1823"/>
      <c r="L11" s="1823"/>
      <c r="M11" s="1823"/>
      <c r="N11" s="1823"/>
      <c r="O11" s="1823"/>
      <c r="P11" s="1823"/>
      <c r="Q11" s="1823"/>
      <c r="R11" s="1823"/>
      <c r="S11" s="1823"/>
      <c r="T11" s="1823"/>
      <c r="U11" s="1823"/>
      <c r="V11" s="1823"/>
      <c r="W11" s="1823"/>
      <c r="X11" s="1823"/>
      <c r="Y11" s="1823"/>
      <c r="Z11" s="1823"/>
      <c r="AA11" s="1823"/>
      <c r="AB11" s="1823"/>
      <c r="AC11" s="1823"/>
      <c r="AD11" s="1823"/>
      <c r="AE11" s="1823"/>
      <c r="AF11" s="1823"/>
      <c r="AG11" s="1823"/>
      <c r="AH11" s="1823"/>
      <c r="AI11" s="1823"/>
      <c r="AJ11" s="1823"/>
      <c r="AK11" s="1823"/>
      <c r="AL11" s="1823"/>
      <c r="AM11" s="1823"/>
    </row>
    <row r="12" spans="1:39" s="217" customFormat="1" ht="18">
      <c r="A12" s="671"/>
      <c r="B12" s="671"/>
      <c r="C12" s="671"/>
      <c r="D12" s="671"/>
      <c r="E12" s="671"/>
      <c r="F12" s="671"/>
      <c r="G12" s="671"/>
      <c r="H12" s="671"/>
      <c r="I12" s="671"/>
      <c r="J12" s="671"/>
      <c r="K12" s="671"/>
      <c r="L12" s="671"/>
      <c r="M12" s="671"/>
      <c r="N12" s="671"/>
      <c r="O12" s="671"/>
      <c r="P12" s="671"/>
      <c r="Q12" s="671"/>
      <c r="R12" s="671"/>
      <c r="S12" s="671"/>
      <c r="T12" s="671"/>
      <c r="U12" s="671"/>
      <c r="V12" s="671"/>
      <c r="W12" s="671"/>
      <c r="X12" s="671"/>
      <c r="Y12" s="671"/>
      <c r="Z12" s="671"/>
      <c r="AA12" s="671"/>
      <c r="AB12" s="671"/>
      <c r="AC12" s="671"/>
      <c r="AD12" s="671"/>
      <c r="AE12" s="671"/>
      <c r="AF12" s="671"/>
      <c r="AG12" s="671"/>
      <c r="AH12" s="671"/>
      <c r="AI12" s="671"/>
      <c r="AJ12" s="671"/>
      <c r="AK12" s="671"/>
      <c r="AL12" s="671"/>
      <c r="AM12" s="671"/>
    </row>
    <row r="13" spans="1:39" s="217" customFormat="1" ht="18.75" hidden="1" thickBot="1">
      <c r="A13" s="671"/>
      <c r="B13" s="1834" t="s">
        <v>185</v>
      </c>
      <c r="C13" s="1835"/>
      <c r="D13" s="1835"/>
      <c r="E13" s="552"/>
      <c r="F13" s="555"/>
      <c r="G13"/>
      <c r="H13"/>
      <c r="I13"/>
      <c r="J13"/>
      <c r="K13"/>
      <c r="L13"/>
      <c r="M13"/>
      <c r="N13"/>
      <c r="O13"/>
      <c r="P13"/>
      <c r="Q13"/>
      <c r="R13" s="671"/>
      <c r="S13" s="671"/>
      <c r="T13" s="671"/>
      <c r="U13" s="671"/>
      <c r="V13" s="671"/>
      <c r="W13" s="671"/>
      <c r="X13" s="671"/>
      <c r="Y13" s="671"/>
      <c r="Z13" s="671"/>
      <c r="AA13" s="671"/>
      <c r="AB13" s="671"/>
      <c r="AC13" s="671"/>
      <c r="AD13" s="671"/>
      <c r="AE13" s="671"/>
      <c r="AF13" s="671"/>
      <c r="AG13" s="671"/>
      <c r="AH13" s="671"/>
      <c r="AI13" s="671"/>
      <c r="AJ13" s="671"/>
      <c r="AK13" s="671"/>
      <c r="AL13" s="671"/>
      <c r="AM13" s="671"/>
    </row>
    <row r="14" spans="1:39" s="217" customFormat="1" ht="18" hidden="1">
      <c r="A14" s="671"/>
      <c r="B14" s="549" t="s">
        <v>186</v>
      </c>
      <c r="C14" s="547">
        <v>43040</v>
      </c>
      <c r="D14" s="553">
        <v>217.6</v>
      </c>
      <c r="E14" s="1836" t="str">
        <f>'New Bldg Rates'!M4</f>
        <v>Reference 2021 Q4 Table 2 - BER Building Cost Index</v>
      </c>
      <c r="F14" s="1837"/>
      <c r="G14" s="1837"/>
      <c r="H14" s="1837"/>
      <c r="I14" s="1837"/>
      <c r="J14" s="1837"/>
      <c r="K14" s="1837"/>
      <c r="L14" s="1837"/>
      <c r="M14" s="1837"/>
      <c r="N14" s="1837"/>
      <c r="O14" s="1837"/>
      <c r="P14" s="602"/>
      <c r="Q14" s="551"/>
      <c r="R14" s="551"/>
      <c r="S14" s="671"/>
      <c r="T14" s="671"/>
      <c r="U14" s="671"/>
      <c r="V14" s="671"/>
      <c r="W14" s="671"/>
      <c r="X14" s="671"/>
      <c r="Y14" s="671"/>
      <c r="Z14" s="671"/>
      <c r="AA14" s="671"/>
      <c r="AB14" s="671"/>
      <c r="AC14" s="671"/>
      <c r="AD14" s="671"/>
      <c r="AE14" s="671"/>
      <c r="AF14" s="671"/>
      <c r="AG14" s="671"/>
      <c r="AH14" s="671"/>
      <c r="AI14" s="671"/>
      <c r="AJ14" s="671"/>
      <c r="AK14" s="671"/>
      <c r="AL14" s="671"/>
      <c r="AM14" s="671"/>
    </row>
    <row r="15" spans="1:39" ht="18.75" hidden="1" thickBot="1">
      <c r="B15" s="550" t="s">
        <v>187</v>
      </c>
      <c r="C15" s="548">
        <f>'Code F Taxiway &amp; SH'!C15</f>
        <v>44621</v>
      </c>
      <c r="D15" s="554">
        <f>'New Bldg Rates'!L5</f>
        <v>267.26587999999998</v>
      </c>
      <c r="E15" s="1839"/>
      <c r="F15" s="1840"/>
      <c r="G15" s="1840"/>
      <c r="H15" s="1840"/>
      <c r="I15" s="1840"/>
      <c r="J15" s="1840"/>
      <c r="K15" s="1840"/>
      <c r="L15" s="1840"/>
      <c r="M15" s="1840"/>
      <c r="N15" s="1840"/>
      <c r="O15" s="1840"/>
      <c r="P15" s="602"/>
      <c r="Q15" s="551"/>
      <c r="R15" s="551"/>
      <c r="AD15" s="671"/>
      <c r="AE15" s="671"/>
      <c r="AF15" s="671"/>
      <c r="AG15" s="671"/>
      <c r="AH15" s="671"/>
      <c r="AI15" s="671"/>
      <c r="AJ15" s="217"/>
      <c r="AK15" s="217"/>
      <c r="AL15" s="217"/>
      <c r="AM15" s="217"/>
    </row>
    <row r="17" spans="1:43" ht="14.45" customHeight="1">
      <c r="A17" s="247"/>
      <c r="B17" s="248"/>
      <c r="C17" s="248"/>
      <c r="D17" s="248"/>
      <c r="E17" s="249"/>
      <c r="F17" s="250" t="s">
        <v>787</v>
      </c>
      <c r="G17" s="251"/>
      <c r="H17" s="1842" t="str">
        <f>'Code C,E &amp; F stands'!$H$16</f>
        <v>Estimated Rates</v>
      </c>
      <c r="I17" s="1843"/>
      <c r="J17" s="1843"/>
      <c r="K17" s="1843"/>
      <c r="L17" s="1843"/>
      <c r="M17" s="1844"/>
      <c r="O17" s="247"/>
      <c r="P17" s="248"/>
      <c r="Q17" s="248"/>
      <c r="R17" s="248"/>
      <c r="S17" s="380"/>
      <c r="T17" s="249"/>
      <c r="U17" s="250" t="s">
        <v>787</v>
      </c>
      <c r="V17" s="251"/>
      <c r="W17" s="1842" t="str">
        <f>'Code C,E &amp; F stands'!$H$16</f>
        <v>Estimated Rates</v>
      </c>
      <c r="X17" s="1843"/>
      <c r="Y17" s="1843"/>
      <c r="Z17" s="1843"/>
      <c r="AA17" s="1843"/>
      <c r="AB17" s="1844"/>
      <c r="AD17" s="247"/>
      <c r="AE17" s="248"/>
      <c r="AF17" s="248"/>
      <c r="AG17" s="248"/>
      <c r="AH17" s="380"/>
      <c r="AI17" s="249"/>
      <c r="AJ17" s="250" t="s">
        <v>787</v>
      </c>
      <c r="AK17" s="251"/>
      <c r="AL17" s="1842" t="str">
        <f>'Code C,E &amp; F stands'!$H$16</f>
        <v>Estimated Rates</v>
      </c>
      <c r="AM17" s="1843"/>
      <c r="AN17" s="1843"/>
      <c r="AO17" s="1843"/>
      <c r="AP17" s="1843"/>
      <c r="AQ17" s="1844"/>
    </row>
    <row r="18" spans="1:43" ht="18.75" customHeight="1">
      <c r="A18" s="1985" t="s">
        <v>788</v>
      </c>
      <c r="B18" s="1986"/>
      <c r="C18" s="1986"/>
      <c r="D18" s="1986"/>
      <c r="E18" s="1987"/>
      <c r="F18" s="255"/>
      <c r="G18" s="256"/>
      <c r="H18" s="1845"/>
      <c r="I18" s="1846"/>
      <c r="J18" s="1846"/>
      <c r="K18" s="1846"/>
      <c r="L18" s="1846"/>
      <c r="M18" s="1847"/>
      <c r="O18" s="1985" t="s">
        <v>789</v>
      </c>
      <c r="P18" s="1986"/>
      <c r="Q18" s="1986"/>
      <c r="R18" s="1986"/>
      <c r="S18" s="1986"/>
      <c r="T18" s="1987"/>
      <c r="U18" s="255"/>
      <c r="V18" s="256"/>
      <c r="W18" s="1845"/>
      <c r="X18" s="1846"/>
      <c r="Y18" s="1846"/>
      <c r="Z18" s="1846"/>
      <c r="AA18" s="1846"/>
      <c r="AB18" s="1847"/>
      <c r="AD18" s="1985" t="s">
        <v>790</v>
      </c>
      <c r="AE18" s="1986"/>
      <c r="AF18" s="1986"/>
      <c r="AG18" s="1986"/>
      <c r="AH18" s="1986"/>
      <c r="AI18" s="1987"/>
      <c r="AJ18" s="255"/>
      <c r="AK18" s="256"/>
      <c r="AL18" s="1845"/>
      <c r="AM18" s="1846"/>
      <c r="AN18" s="1846"/>
      <c r="AO18" s="1846"/>
      <c r="AP18" s="1846"/>
      <c r="AQ18" s="1847"/>
    </row>
    <row r="19" spans="1:43">
      <c r="A19" s="1985"/>
      <c r="B19" s="1986"/>
      <c r="C19" s="1986"/>
      <c r="D19" s="1986"/>
      <c r="E19" s="1987"/>
      <c r="F19" s="255"/>
      <c r="G19" s="256"/>
      <c r="H19" s="1826" t="str">
        <f>'Code C,E &amp; F stands'!$H$18</f>
        <v>Base Date Jan '09</v>
      </c>
      <c r="I19" s="1827"/>
      <c r="J19" s="1828" t="s">
        <v>571</v>
      </c>
      <c r="K19" s="1827"/>
      <c r="L19" s="1829">
        <f>'Code F Taxiway &amp; SH'!M20</f>
        <v>44621</v>
      </c>
      <c r="M19" s="1830"/>
      <c r="O19" s="1985"/>
      <c r="P19" s="1986"/>
      <c r="Q19" s="1986"/>
      <c r="R19" s="1986"/>
      <c r="S19" s="1986"/>
      <c r="T19" s="1987"/>
      <c r="U19" s="255"/>
      <c r="V19" s="256"/>
      <c r="W19" s="1826" t="str">
        <f>'Code C,E &amp; F stands'!$H$18</f>
        <v>Base Date Jan '09</v>
      </c>
      <c r="X19" s="1827"/>
      <c r="Y19" s="1828" t="s">
        <v>571</v>
      </c>
      <c r="Z19" s="1827"/>
      <c r="AA19" s="1829">
        <f>L19</f>
        <v>44621</v>
      </c>
      <c r="AB19" s="1830"/>
      <c r="AD19" s="1985"/>
      <c r="AE19" s="1986"/>
      <c r="AF19" s="1986"/>
      <c r="AG19" s="1986"/>
      <c r="AH19" s="1986"/>
      <c r="AI19" s="1987"/>
      <c r="AJ19" s="255"/>
      <c r="AK19" s="256"/>
      <c r="AL19" s="1826" t="str">
        <f>'Code C,E &amp; F stands'!$H$18</f>
        <v>Base Date Jan '09</v>
      </c>
      <c r="AM19" s="1827"/>
      <c r="AN19" s="1828" t="s">
        <v>571</v>
      </c>
      <c r="AO19" s="1827"/>
      <c r="AP19" s="1829">
        <f>L19</f>
        <v>44621</v>
      </c>
      <c r="AQ19" s="1830"/>
    </row>
    <row r="20" spans="1:43">
      <c r="A20" s="261"/>
      <c r="B20" s="262"/>
      <c r="C20" s="263"/>
      <c r="D20" s="263"/>
      <c r="E20" s="264"/>
      <c r="F20" s="265"/>
      <c r="G20" s="266"/>
      <c r="H20" s="433"/>
      <c r="I20" s="268"/>
      <c r="J20" s="1828"/>
      <c r="K20" s="1827"/>
      <c r="L20" s="1828"/>
      <c r="M20" s="1827"/>
      <c r="O20" s="261"/>
      <c r="P20" s="262"/>
      <c r="Q20" s="263"/>
      <c r="R20" s="263"/>
      <c r="S20" s="434"/>
      <c r="T20" s="264"/>
      <c r="U20" s="265"/>
      <c r="V20" s="266"/>
      <c r="W20" s="433"/>
      <c r="X20" s="268"/>
      <c r="Y20" s="1828"/>
      <c r="Z20" s="1827"/>
      <c r="AA20" s="1828"/>
      <c r="AB20" s="1827"/>
      <c r="AD20" s="261"/>
      <c r="AE20" s="262"/>
      <c r="AF20" s="263"/>
      <c r="AG20" s="263"/>
      <c r="AH20" s="434"/>
      <c r="AI20" s="264"/>
      <c r="AJ20" s="265"/>
      <c r="AK20" s="266"/>
      <c r="AL20" s="433"/>
      <c r="AM20" s="268"/>
      <c r="AN20" s="1828"/>
      <c r="AO20" s="1827"/>
      <c r="AP20" s="1828"/>
      <c r="AQ20" s="1827"/>
    </row>
    <row r="21" spans="1:43">
      <c r="A21" s="336"/>
      <c r="C21" s="231">
        <v>60</v>
      </c>
      <c r="D21" s="363" t="s">
        <v>791</v>
      </c>
      <c r="E21" s="337"/>
      <c r="F21" s="272"/>
      <c r="G21" s="273"/>
      <c r="H21" s="435"/>
      <c r="I21" s="275"/>
      <c r="J21" s="362"/>
      <c r="K21" s="371"/>
      <c r="L21" s="363"/>
      <c r="M21" s="371"/>
      <c r="O21" s="336"/>
      <c r="Q21" s="237"/>
      <c r="R21" s="231">
        <v>7.5</v>
      </c>
      <c r="S21" s="231" t="s">
        <v>792</v>
      </c>
      <c r="T21" s="337"/>
      <c r="U21" s="272"/>
      <c r="V21" s="273"/>
      <c r="W21" s="276"/>
      <c r="X21" s="275"/>
      <c r="Y21" s="362"/>
      <c r="Z21" s="371"/>
      <c r="AA21" s="363"/>
      <c r="AB21" s="371"/>
      <c r="AD21" s="336"/>
      <c r="AF21" s="237"/>
      <c r="AG21" s="231">
        <v>240</v>
      </c>
      <c r="AH21" s="231" t="s">
        <v>793</v>
      </c>
      <c r="AI21" s="337"/>
      <c r="AJ21" s="272"/>
      <c r="AK21" s="273"/>
      <c r="AL21" s="276"/>
      <c r="AM21" s="275"/>
      <c r="AN21" s="362"/>
      <c r="AO21" s="371"/>
      <c r="AP21" s="363"/>
      <c r="AQ21" s="371"/>
    </row>
    <row r="22" spans="1:43">
      <c r="A22" s="277" t="s">
        <v>794</v>
      </c>
      <c r="E22" s="339"/>
      <c r="F22" s="279"/>
      <c r="G22" s="280"/>
      <c r="H22" s="436"/>
      <c r="I22" s="275"/>
      <c r="J22" s="438"/>
      <c r="K22" s="275"/>
      <c r="M22" s="275"/>
      <c r="O22" s="277" t="s">
        <v>794</v>
      </c>
      <c r="S22" s="361"/>
      <c r="T22" s="339"/>
      <c r="U22" s="279"/>
      <c r="V22" s="280"/>
      <c r="W22" s="282"/>
      <c r="X22" s="275"/>
      <c r="Y22" s="438"/>
      <c r="Z22" s="275"/>
      <c r="AB22" s="275"/>
      <c r="AD22" s="336"/>
      <c r="AG22" s="231">
        <f>60*2</f>
        <v>120</v>
      </c>
      <c r="AH22" s="231" t="s">
        <v>792</v>
      </c>
      <c r="AI22" s="339"/>
      <c r="AJ22" s="279"/>
      <c r="AK22" s="280"/>
      <c r="AL22" s="282"/>
      <c r="AM22" s="275"/>
      <c r="AN22" s="438"/>
      <c r="AO22" s="275"/>
      <c r="AQ22" s="275"/>
    </row>
    <row r="23" spans="1:43" ht="15">
      <c r="A23" s="283" t="s">
        <v>574</v>
      </c>
      <c r="B23" s="231" t="s">
        <v>637</v>
      </c>
      <c r="E23" s="339"/>
      <c r="F23" s="279">
        <f>104.45+2.92</f>
        <v>107.37</v>
      </c>
      <c r="G23" s="280"/>
      <c r="H23" s="436">
        <f>+F23</f>
        <v>107.37</v>
      </c>
      <c r="I23" s="275"/>
      <c r="J23" s="572">
        <f>(H23*(217/145-1))+H23</f>
        <v>160.68475862068968</v>
      </c>
      <c r="K23" s="575"/>
      <c r="L23" s="573">
        <f>(J23*($D$15/$D$14-1))+J23</f>
        <v>197.36008003376017</v>
      </c>
      <c r="M23" s="275"/>
      <c r="O23" s="283" t="s">
        <v>574</v>
      </c>
      <c r="P23" s="231" t="s">
        <v>795</v>
      </c>
      <c r="T23" s="341"/>
      <c r="U23" s="342"/>
      <c r="V23" s="342"/>
      <c r="W23" s="437"/>
      <c r="X23" s="275"/>
      <c r="Y23" s="572"/>
      <c r="Z23" s="575"/>
      <c r="AA23" s="573"/>
      <c r="AB23" s="275"/>
      <c r="AD23" s="277" t="s">
        <v>794</v>
      </c>
      <c r="AH23" s="361"/>
      <c r="AI23" s="339"/>
      <c r="AJ23" s="279"/>
      <c r="AK23" s="280"/>
      <c r="AL23" s="282"/>
      <c r="AM23" s="275"/>
      <c r="AN23" s="572"/>
      <c r="AO23" s="575"/>
      <c r="AP23" s="573"/>
      <c r="AQ23" s="275"/>
    </row>
    <row r="24" spans="1:43" ht="15">
      <c r="A24" s="283" t="s">
        <v>574</v>
      </c>
      <c r="B24" s="231" t="s">
        <v>796</v>
      </c>
      <c r="E24" s="339"/>
      <c r="F24" s="279">
        <f>166.39+6.11+2.92</f>
        <v>175.42</v>
      </c>
      <c r="G24" s="280"/>
      <c r="H24" s="436">
        <f>+F24/80*90</f>
        <v>197.34749999999997</v>
      </c>
      <c r="I24" s="275"/>
      <c r="J24" s="572">
        <f>(H24*(217/145-1))+H24</f>
        <v>295.34074137931032</v>
      </c>
      <c r="K24" s="575"/>
      <c r="L24" s="573">
        <f t="shared" ref="L24:L33" si="0">(J24*($D$15/$D$14-1))+J24</f>
        <v>362.75047401008169</v>
      </c>
      <c r="M24" s="562"/>
      <c r="O24" s="438"/>
      <c r="P24" s="439" t="s">
        <v>797</v>
      </c>
      <c r="Q24" s="440"/>
      <c r="R24" s="440"/>
      <c r="S24" s="440"/>
      <c r="T24" s="441"/>
      <c r="U24" s="442">
        <v>208.17</v>
      </c>
      <c r="V24" s="280"/>
      <c r="W24" s="436">
        <f>+U24*1.05</f>
        <v>218.57849999999999</v>
      </c>
      <c r="X24" s="275"/>
      <c r="Y24" s="572">
        <f>(W24*(217/145-1))+W24</f>
        <v>327.11403103448276</v>
      </c>
      <c r="Z24" s="575"/>
      <c r="AA24" s="573">
        <f>(Y24*($D$15/$D$14-1))+Y24</f>
        <v>401.77582428666517</v>
      </c>
      <c r="AB24" s="562"/>
      <c r="AD24" s="283" t="s">
        <v>574</v>
      </c>
      <c r="AE24" s="231" t="s">
        <v>798</v>
      </c>
      <c r="AH24" s="361"/>
      <c r="AI24" s="339"/>
      <c r="AJ24" s="279"/>
      <c r="AK24" s="280"/>
      <c r="AL24" s="282">
        <f>'Code F Taxiway &amp; SH'!AM25</f>
        <v>35</v>
      </c>
      <c r="AM24" s="275"/>
      <c r="AN24" s="572">
        <f>(AL24*(217/145-1))+AL24</f>
        <v>52.379310344827587</v>
      </c>
      <c r="AO24" s="575"/>
      <c r="AP24" s="573">
        <f>(AN24*($D$15/$D$14-1))+AN24</f>
        <v>64.334570188894517</v>
      </c>
      <c r="AQ24" s="562"/>
    </row>
    <row r="25" spans="1:43" ht="15">
      <c r="A25" s="283" t="s">
        <v>574</v>
      </c>
      <c r="B25" s="231" t="s">
        <v>799</v>
      </c>
      <c r="E25" s="285">
        <f>'Code F,C Taxilane &amp; Serv Roads'!AF26</f>
        <v>350</v>
      </c>
      <c r="F25" s="279">
        <f>345.66*0.15</f>
        <v>51.849000000000004</v>
      </c>
      <c r="G25" s="280"/>
      <c r="H25" s="436">
        <f>E25*0.125</f>
        <v>43.75</v>
      </c>
      <c r="I25" s="275"/>
      <c r="J25" s="572">
        <f t="shared" ref="J25:J33" si="1">(H25*(217/145-1))+H25</f>
        <v>65.474137931034491</v>
      </c>
      <c r="K25" s="575"/>
      <c r="L25" s="573">
        <f t="shared" si="0"/>
        <v>80.418212736118164</v>
      </c>
      <c r="M25" s="562"/>
      <c r="O25" s="283" t="s">
        <v>574</v>
      </c>
      <c r="P25" s="231" t="s">
        <v>799</v>
      </c>
      <c r="S25" s="361"/>
      <c r="T25" s="285">
        <f>E25</f>
        <v>350</v>
      </c>
      <c r="U25" s="279">
        <f>345.66*0.15</f>
        <v>51.849000000000004</v>
      </c>
      <c r="V25" s="280"/>
      <c r="W25" s="436">
        <f>T25*0.125</f>
        <v>43.75</v>
      </c>
      <c r="X25" s="275"/>
      <c r="Y25" s="572">
        <f t="shared" ref="Y25:Y33" si="2">(W25*(217/145-1))+W25</f>
        <v>65.474137931034491</v>
      </c>
      <c r="Z25" s="575"/>
      <c r="AA25" s="573">
        <f t="shared" ref="AA25:AA33" si="3">(Y25*($D$15/$D$14-1))+Y25</f>
        <v>80.418212736118164</v>
      </c>
      <c r="AB25" s="562"/>
      <c r="AD25" s="283" t="s">
        <v>574</v>
      </c>
      <c r="AE25" s="231" t="s">
        <v>800</v>
      </c>
      <c r="AH25" s="361"/>
      <c r="AI25" s="285">
        <f>T28</f>
        <v>190</v>
      </c>
      <c r="AJ25" s="279">
        <f>170.66*0.15</f>
        <v>25.599</v>
      </c>
      <c r="AK25" s="280"/>
      <c r="AL25" s="436">
        <f>AI25*0.15</f>
        <v>28.5</v>
      </c>
      <c r="AM25" s="275"/>
      <c r="AN25" s="572">
        <f t="shared" ref="AN25:AN27" si="4">(AL25*(217/145-1))+AL25</f>
        <v>42.651724137931041</v>
      </c>
      <c r="AO25" s="575"/>
      <c r="AP25" s="573">
        <f t="shared" ref="AP25:AP27" si="5">(AN25*($D$15/$D$14-1))+AN25</f>
        <v>52.386721439528401</v>
      </c>
      <c r="AQ25" s="562"/>
    </row>
    <row r="26" spans="1:43" ht="15">
      <c r="A26" s="283" t="s">
        <v>574</v>
      </c>
      <c r="B26" s="231" t="s">
        <v>801</v>
      </c>
      <c r="E26" s="285">
        <f>'Code C,E &amp; F stands'!E27</f>
        <v>375</v>
      </c>
      <c r="F26" s="279">
        <f>146.85*0.15+265.11*0.15</f>
        <v>61.793999999999997</v>
      </c>
      <c r="G26" s="280"/>
      <c r="H26" s="436">
        <f>E26*0.175</f>
        <v>65.625</v>
      </c>
      <c r="I26" s="275"/>
      <c r="J26" s="572">
        <f t="shared" si="1"/>
        <v>98.21120689655173</v>
      </c>
      <c r="K26" s="575"/>
      <c r="L26" s="573">
        <f t="shared" si="0"/>
        <v>120.62731910417723</v>
      </c>
      <c r="M26" s="562"/>
      <c r="O26" s="283" t="s">
        <v>574</v>
      </c>
      <c r="P26" s="231" t="s">
        <v>802</v>
      </c>
      <c r="S26" s="361"/>
      <c r="T26" s="285">
        <f>'Code F Taxiway &amp; SH'!U28</f>
        <v>360</v>
      </c>
      <c r="U26" s="279">
        <f>146.85*0.2+265.11*0.2</f>
        <v>82.39200000000001</v>
      </c>
      <c r="V26" s="280"/>
      <c r="W26" s="436">
        <f>T26*0.125</f>
        <v>45</v>
      </c>
      <c r="X26" s="275"/>
      <c r="Y26" s="572">
        <f t="shared" si="2"/>
        <v>67.344827586206904</v>
      </c>
      <c r="Z26" s="575"/>
      <c r="AA26" s="573">
        <f t="shared" si="3"/>
        <v>82.715875957150104</v>
      </c>
      <c r="AB26" s="562"/>
      <c r="AD26" s="283" t="s">
        <v>574</v>
      </c>
      <c r="AE26" s="231" t="s">
        <v>800</v>
      </c>
      <c r="AH26" s="361"/>
      <c r="AI26" s="285">
        <f>T28</f>
        <v>190</v>
      </c>
      <c r="AJ26" s="279">
        <f>170.66*0.15</f>
        <v>25.599</v>
      </c>
      <c r="AK26" s="280"/>
      <c r="AL26" s="436">
        <f>AI26*0.15</f>
        <v>28.5</v>
      </c>
      <c r="AM26" s="275"/>
      <c r="AN26" s="572">
        <f t="shared" si="4"/>
        <v>42.651724137931041</v>
      </c>
      <c r="AO26" s="575"/>
      <c r="AP26" s="573">
        <f t="shared" si="5"/>
        <v>52.386721439528401</v>
      </c>
      <c r="AQ26" s="562"/>
    </row>
    <row r="27" spans="1:43" ht="15">
      <c r="A27" s="283" t="s">
        <v>574</v>
      </c>
      <c r="B27" s="231" t="s">
        <v>803</v>
      </c>
      <c r="E27" s="285">
        <f>E26</f>
        <v>375</v>
      </c>
      <c r="F27" s="279">
        <f>146.85*0.15+265.11*0.15</f>
        <v>61.793999999999997</v>
      </c>
      <c r="G27" s="280"/>
      <c r="H27" s="436">
        <f>E27*0.2</f>
        <v>75</v>
      </c>
      <c r="I27" s="275"/>
      <c r="J27" s="572">
        <f t="shared" si="1"/>
        <v>112.24137931034483</v>
      </c>
      <c r="K27" s="575"/>
      <c r="L27" s="573">
        <f t="shared" si="0"/>
        <v>137.85979326191682</v>
      </c>
      <c r="M27" s="562"/>
      <c r="O27" s="283" t="s">
        <v>574</v>
      </c>
      <c r="P27" s="231" t="s">
        <v>804</v>
      </c>
      <c r="S27" s="361"/>
      <c r="T27" s="285">
        <v>220</v>
      </c>
      <c r="U27" s="279">
        <f>+U29</f>
        <v>25.599</v>
      </c>
      <c r="V27" s="280"/>
      <c r="W27" s="436">
        <f>T27*0.15</f>
        <v>33</v>
      </c>
      <c r="X27" s="275"/>
      <c r="Y27" s="572">
        <f t="shared" si="2"/>
        <v>49.386206896551727</v>
      </c>
      <c r="Z27" s="575"/>
      <c r="AA27" s="573">
        <f t="shared" si="3"/>
        <v>60.658309035243406</v>
      </c>
      <c r="AB27" s="562"/>
      <c r="AD27" s="283" t="s">
        <v>574</v>
      </c>
      <c r="AE27" s="231" t="s">
        <v>587</v>
      </c>
      <c r="AH27" s="361"/>
      <c r="AI27" s="285"/>
      <c r="AJ27" s="279"/>
      <c r="AK27" s="280"/>
      <c r="AL27" s="282">
        <f>'Code C,E &amp; F stands'!$H$31</f>
        <v>10</v>
      </c>
      <c r="AM27" s="275"/>
      <c r="AN27" s="572">
        <f t="shared" si="4"/>
        <v>14.965517241379311</v>
      </c>
      <c r="AO27" s="575"/>
      <c r="AP27" s="573">
        <f t="shared" si="5"/>
        <v>18.381305768255579</v>
      </c>
      <c r="AQ27" s="562"/>
    </row>
    <row r="28" spans="1:43" ht="15">
      <c r="A28" s="283" t="s">
        <v>574</v>
      </c>
      <c r="B28" s="231" t="s">
        <v>805</v>
      </c>
      <c r="E28" s="285">
        <f>'Code C,E &amp; F stands'!E29</f>
        <v>190</v>
      </c>
      <c r="F28" s="279">
        <f>+F29</f>
        <v>27</v>
      </c>
      <c r="G28" s="280"/>
      <c r="H28" s="436">
        <f>E28*0.15</f>
        <v>28.5</v>
      </c>
      <c r="I28" s="275"/>
      <c r="J28" s="572">
        <f t="shared" si="1"/>
        <v>42.651724137931041</v>
      </c>
      <c r="K28" s="575"/>
      <c r="L28" s="573">
        <f t="shared" si="0"/>
        <v>52.386721439528401</v>
      </c>
      <c r="M28" s="562"/>
      <c r="O28" s="283" t="s">
        <v>574</v>
      </c>
      <c r="P28" s="231" t="s">
        <v>806</v>
      </c>
      <c r="S28" s="361"/>
      <c r="T28" s="285">
        <f>E28</f>
        <v>190</v>
      </c>
      <c r="U28" s="279">
        <f>170.66*0.15</f>
        <v>25.599</v>
      </c>
      <c r="V28" s="280"/>
      <c r="W28" s="436">
        <f>T28*0.115</f>
        <v>21.85</v>
      </c>
      <c r="X28" s="275"/>
      <c r="Y28" s="572">
        <f t="shared" si="2"/>
        <v>32.699655172413799</v>
      </c>
      <c r="Z28" s="575"/>
      <c r="AA28" s="573">
        <f t="shared" si="3"/>
        <v>40.163153103638443</v>
      </c>
      <c r="AB28" s="562"/>
      <c r="AD28" s="283" t="s">
        <v>574</v>
      </c>
      <c r="AE28" s="231" t="s">
        <v>590</v>
      </c>
      <c r="AH28" s="361"/>
      <c r="AI28" s="339"/>
      <c r="AJ28" s="279">
        <f>11544.79/10000</f>
        <v>1.154479</v>
      </c>
      <c r="AK28" s="280"/>
      <c r="AL28" s="443">
        <f>+AJ28*1.1</f>
        <v>1.2699269000000002</v>
      </c>
      <c r="AM28" s="291"/>
      <c r="AN28" s="578">
        <f t="shared" ref="AN28" si="6">(AL28*(217/145-1))+AL28</f>
        <v>1.9005112917241385</v>
      </c>
      <c r="AO28" s="576"/>
      <c r="AP28" s="577">
        <f t="shared" ref="AP28" si="7">(AN28*($D$15/$D$14-1))+AN28</f>
        <v>2.3342914652232931</v>
      </c>
      <c r="AQ28" s="565"/>
    </row>
    <row r="29" spans="1:43" ht="15">
      <c r="A29" s="283" t="s">
        <v>574</v>
      </c>
      <c r="B29" s="231" t="s">
        <v>807</v>
      </c>
      <c r="E29" s="285">
        <f>E28</f>
        <v>190</v>
      </c>
      <c r="F29" s="279">
        <f>180*0.15</f>
        <v>27</v>
      </c>
      <c r="G29" s="280"/>
      <c r="H29" s="436">
        <f>E29*0.3</f>
        <v>57</v>
      </c>
      <c r="I29" s="275"/>
      <c r="J29" s="572">
        <f t="shared" si="1"/>
        <v>85.303448275862081</v>
      </c>
      <c r="K29" s="575"/>
      <c r="L29" s="573">
        <f t="shared" si="0"/>
        <v>104.7734428790568</v>
      </c>
      <c r="M29" s="562"/>
      <c r="O29" s="283" t="s">
        <v>574</v>
      </c>
      <c r="P29" s="231" t="s">
        <v>808</v>
      </c>
      <c r="S29" s="361"/>
      <c r="T29" s="285">
        <f>'Code F Taxiway &amp; SH'!U31</f>
        <v>190</v>
      </c>
      <c r="U29" s="279">
        <f>170.66*0.15</f>
        <v>25.599</v>
      </c>
      <c r="V29" s="280"/>
      <c r="W29" s="436">
        <f>T29*0.2</f>
        <v>38</v>
      </c>
      <c r="X29" s="275"/>
      <c r="Y29" s="572">
        <f t="shared" si="2"/>
        <v>56.868965517241385</v>
      </c>
      <c r="Z29" s="575"/>
      <c r="AA29" s="573">
        <f t="shared" si="3"/>
        <v>69.848961919371206</v>
      </c>
      <c r="AB29" s="562"/>
      <c r="AD29" s="438"/>
      <c r="AG29" s="235" t="s">
        <v>591</v>
      </c>
      <c r="AH29" s="361"/>
      <c r="AI29" s="339"/>
      <c r="AJ29" s="293" t="e">
        <f>SUM(#REF!)</f>
        <v>#REF!</v>
      </c>
      <c r="AK29" s="294" t="s">
        <v>272</v>
      </c>
      <c r="AL29" s="444">
        <f>SUM(AL22:AL28)</f>
        <v>103.2699269</v>
      </c>
      <c r="AM29" s="296" t="s">
        <v>592</v>
      </c>
      <c r="AN29" s="444">
        <f t="shared" ref="AN29" si="8">SUM(AN22:AN28)</f>
        <v>154.54878715379311</v>
      </c>
      <c r="AO29" s="296" t="s">
        <v>592</v>
      </c>
      <c r="AP29" s="444">
        <f t="shared" ref="AP29" si="9">SUM(AP22:AP28)</f>
        <v>189.82361030143019</v>
      </c>
      <c r="AQ29" s="296" t="s">
        <v>592</v>
      </c>
    </row>
    <row r="30" spans="1:43" ht="15">
      <c r="A30" s="283" t="s">
        <v>574</v>
      </c>
      <c r="B30" s="231" t="s">
        <v>587</v>
      </c>
      <c r="E30" s="285"/>
      <c r="F30" s="279"/>
      <c r="G30" s="280"/>
      <c r="H30" s="282">
        <f>'Code C,E &amp; F stands'!$H$31</f>
        <v>10</v>
      </c>
      <c r="I30" s="275"/>
      <c r="J30" s="572">
        <f t="shared" si="1"/>
        <v>14.965517241379311</v>
      </c>
      <c r="K30" s="575"/>
      <c r="L30" s="573">
        <f t="shared" si="0"/>
        <v>18.381305768255579</v>
      </c>
      <c r="M30" s="562"/>
      <c r="O30" s="283" t="s">
        <v>574</v>
      </c>
      <c r="P30" s="231" t="s">
        <v>807</v>
      </c>
      <c r="T30" s="285">
        <f>E29</f>
        <v>190</v>
      </c>
      <c r="U30" s="280"/>
      <c r="V30" s="445">
        <f>T30*0.3</f>
        <v>57</v>
      </c>
      <c r="W30" s="282">
        <f>T30*0.3</f>
        <v>57</v>
      </c>
      <c r="X30" s="275"/>
      <c r="Y30" s="572">
        <f t="shared" si="2"/>
        <v>85.303448275862081</v>
      </c>
      <c r="Z30" s="575"/>
      <c r="AA30" s="573">
        <f t="shared" si="3"/>
        <v>104.7734428790568</v>
      </c>
      <c r="AB30" s="562"/>
      <c r="AD30" s="438"/>
      <c r="AH30" s="361"/>
      <c r="AI30" s="446"/>
      <c r="AJ30" s="288"/>
      <c r="AK30" s="289"/>
      <c r="AL30" s="447"/>
      <c r="AM30" s="275"/>
      <c r="AN30" s="447"/>
      <c r="AO30" s="275"/>
      <c r="AP30" s="447"/>
      <c r="AQ30" s="275"/>
    </row>
    <row r="31" spans="1:43" ht="15">
      <c r="A31" s="283" t="s">
        <v>574</v>
      </c>
      <c r="B31" s="231" t="s">
        <v>588</v>
      </c>
      <c r="E31" s="339"/>
      <c r="F31" s="279">
        <f>2158863/(19774+48298+60941)</f>
        <v>16.733685752598575</v>
      </c>
      <c r="G31" s="280"/>
      <c r="H31" s="436">
        <f>'Code C,E &amp; F stands'!H32</f>
        <v>17.570370040228504</v>
      </c>
      <c r="I31" s="275"/>
      <c r="J31" s="572">
        <f t="shared" si="1"/>
        <v>26.294967577445419</v>
      </c>
      <c r="K31" s="575"/>
      <c r="L31" s="573">
        <f t="shared" si="0"/>
        <v>32.296634417083723</v>
      </c>
      <c r="M31" s="562"/>
      <c r="O31" s="283" t="s">
        <v>574</v>
      </c>
      <c r="P31" s="231" t="s">
        <v>589</v>
      </c>
      <c r="S31" s="361"/>
      <c r="T31" s="285">
        <f>E32</f>
        <v>55</v>
      </c>
      <c r="U31" s="279">
        <f>(1*45)*(0.65)</f>
        <v>29.25</v>
      </c>
      <c r="V31" s="280"/>
      <c r="W31" s="436">
        <f>T31*(0.05+0.125+0.15+0.15+0.115)</f>
        <v>32.449999999999996</v>
      </c>
      <c r="X31" s="275"/>
      <c r="Y31" s="572">
        <f t="shared" si="2"/>
        <v>48.563103448275861</v>
      </c>
      <c r="Z31" s="575"/>
      <c r="AA31" s="573">
        <f t="shared" si="3"/>
        <v>59.647337217989346</v>
      </c>
      <c r="AB31" s="562"/>
      <c r="AD31" s="247"/>
      <c r="AE31" s="248"/>
      <c r="AF31" s="248"/>
      <c r="AG31" s="248"/>
      <c r="AH31" s="448"/>
      <c r="AI31" s="449"/>
      <c r="AJ31" s="310"/>
      <c r="AK31" s="311"/>
      <c r="AL31" s="312"/>
      <c r="AM31" s="252"/>
      <c r="AN31" s="312"/>
      <c r="AO31" s="252"/>
      <c r="AP31" s="312"/>
      <c r="AQ31" s="252"/>
    </row>
    <row r="32" spans="1:43" ht="15">
      <c r="A32" s="283" t="s">
        <v>574</v>
      </c>
      <c r="B32" s="231" t="s">
        <v>589</v>
      </c>
      <c r="E32" s="285">
        <f>'Code C,E &amp; F stands'!E33</f>
        <v>55</v>
      </c>
      <c r="F32" s="279">
        <f>(1*45)*(0.65+0.08+0.04)</f>
        <v>34.65</v>
      </c>
      <c r="G32" s="280"/>
      <c r="H32" s="436">
        <f>(0.04+0.09+0.125+0.175+0.2+0.15+0.3)*E32</f>
        <v>59.400000000000006</v>
      </c>
      <c r="I32" s="275"/>
      <c r="J32" s="572">
        <f t="shared" si="1"/>
        <v>88.895172413793119</v>
      </c>
      <c r="K32" s="575"/>
      <c r="L32" s="573">
        <f t="shared" si="0"/>
        <v>109.18495626343815</v>
      </c>
      <c r="M32" s="562"/>
      <c r="O32" s="283" t="s">
        <v>574</v>
      </c>
      <c r="P32" s="231" t="s">
        <v>587</v>
      </c>
      <c r="S32" s="361"/>
      <c r="T32" s="285"/>
      <c r="U32" s="279"/>
      <c r="V32" s="280"/>
      <c r="W32" s="282">
        <f>'Code C,E &amp; F stands'!$H$31</f>
        <v>10</v>
      </c>
      <c r="X32" s="275"/>
      <c r="Y32" s="572">
        <f t="shared" si="2"/>
        <v>14.965517241379311</v>
      </c>
      <c r="Z32" s="575"/>
      <c r="AA32" s="573">
        <f t="shared" si="3"/>
        <v>18.381305768255579</v>
      </c>
      <c r="AB32" s="562"/>
      <c r="AD32" s="349"/>
      <c r="AE32" s="450" t="s">
        <v>438</v>
      </c>
      <c r="AF32" s="450"/>
      <c r="AG32" s="450"/>
      <c r="AH32" s="451"/>
      <c r="AI32" s="452"/>
      <c r="AJ32" s="453" t="e">
        <f>SUM(AJ29:AJ31)</f>
        <v>#REF!</v>
      </c>
      <c r="AK32" s="454" t="s">
        <v>272</v>
      </c>
      <c r="AL32" s="455">
        <f>ROUND(SUM(AL29:AL31),-1)</f>
        <v>100</v>
      </c>
      <c r="AM32" s="456" t="s">
        <v>272</v>
      </c>
      <c r="AN32" s="455">
        <f t="shared" ref="AN32" si="10">ROUND(SUM(AN29:AN31),-1)</f>
        <v>150</v>
      </c>
      <c r="AO32" s="456" t="s">
        <v>272</v>
      </c>
      <c r="AP32" s="455">
        <f t="shared" ref="AP32" si="11">ROUND(SUM(AP29:AP31),-1)</f>
        <v>190</v>
      </c>
      <c r="AQ32" s="456" t="s">
        <v>272</v>
      </c>
    </row>
    <row r="33" spans="1:43" ht="15">
      <c r="A33" s="283" t="s">
        <v>574</v>
      </c>
      <c r="B33" s="231" t="s">
        <v>590</v>
      </c>
      <c r="E33" s="339"/>
      <c r="F33" s="288">
        <f>11544.79/10000</f>
        <v>1.154479</v>
      </c>
      <c r="G33" s="289"/>
      <c r="H33" s="443">
        <f>+F33*1.1</f>
        <v>1.2699269000000002</v>
      </c>
      <c r="I33" s="291"/>
      <c r="J33" s="578">
        <f t="shared" si="1"/>
        <v>1.9005112917241385</v>
      </c>
      <c r="K33" s="576"/>
      <c r="L33" s="573">
        <f t="shared" si="0"/>
        <v>2.3342914652232931</v>
      </c>
      <c r="M33" s="565"/>
      <c r="O33" s="283" t="s">
        <v>574</v>
      </c>
      <c r="P33" s="231" t="s">
        <v>590</v>
      </c>
      <c r="S33" s="361"/>
      <c r="T33" s="339"/>
      <c r="U33" s="288">
        <f>11544.79/10000</f>
        <v>1.154479</v>
      </c>
      <c r="V33" s="289"/>
      <c r="W33" s="443">
        <f>+U33*1.1</f>
        <v>1.2699269000000002</v>
      </c>
      <c r="X33" s="291"/>
      <c r="Y33" s="578">
        <f t="shared" si="2"/>
        <v>1.9005112917241385</v>
      </c>
      <c r="Z33" s="576"/>
      <c r="AA33" s="577">
        <f t="shared" si="3"/>
        <v>2.3342914652232931</v>
      </c>
      <c r="AB33" s="565"/>
      <c r="AD33" s="457"/>
      <c r="AE33" s="262"/>
      <c r="AF33" s="262"/>
      <c r="AG33" s="262"/>
      <c r="AH33" s="458"/>
      <c r="AI33" s="459"/>
      <c r="AJ33" s="265"/>
      <c r="AK33" s="266"/>
      <c r="AL33" s="325"/>
      <c r="AM33" s="268"/>
      <c r="AN33" s="325"/>
      <c r="AO33" s="268"/>
      <c r="AP33" s="325"/>
      <c r="AQ33" s="268"/>
    </row>
    <row r="34" spans="1:43">
      <c r="A34" s="438"/>
      <c r="B34" s="235" t="s">
        <v>591</v>
      </c>
      <c r="E34" s="339"/>
      <c r="F34" s="293">
        <f>SUM(F32:F32)</f>
        <v>34.65</v>
      </c>
      <c r="G34" s="294" t="s">
        <v>272</v>
      </c>
      <c r="H34" s="444">
        <f>SUM(H23:H33)</f>
        <v>662.83279694022838</v>
      </c>
      <c r="I34" s="296" t="s">
        <v>592</v>
      </c>
      <c r="J34" s="444">
        <f t="shared" ref="J34" si="12">SUM(J22:J33)</f>
        <v>991.96356507606629</v>
      </c>
      <c r="K34" s="603" t="s">
        <v>592</v>
      </c>
      <c r="L34" s="604">
        <f t="shared" ref="L34" si="13">SUM(L22:L33)</f>
        <v>1218.37323137864</v>
      </c>
      <c r="M34" s="603" t="s">
        <v>592</v>
      </c>
      <c r="O34" s="438"/>
      <c r="R34" s="235" t="s">
        <v>591</v>
      </c>
      <c r="S34" s="361"/>
      <c r="T34" s="339"/>
      <c r="U34" s="293">
        <f>SUM(U31:U31)</f>
        <v>29.25</v>
      </c>
      <c r="V34" s="294" t="s">
        <v>272</v>
      </c>
      <c r="W34" s="444">
        <f>SUM(W22:W33)</f>
        <v>500.89842689999995</v>
      </c>
      <c r="X34" s="296" t="s">
        <v>592</v>
      </c>
      <c r="Y34" s="444">
        <f t="shared" ref="Y34" si="14">SUM(Y22:Y33)</f>
        <v>749.62040439517239</v>
      </c>
      <c r="Z34" s="296" t="s">
        <v>592</v>
      </c>
      <c r="AA34" s="444">
        <f t="shared" ref="AA34" si="15">SUM(AA22:AA33)</f>
        <v>920.71671436871156</v>
      </c>
      <c r="AB34" s="296" t="s">
        <v>592</v>
      </c>
    </row>
    <row r="35" spans="1:43" ht="15">
      <c r="A35" s="438"/>
      <c r="D35" s="328"/>
      <c r="E35" s="339"/>
      <c r="F35" s="293"/>
      <c r="G35" s="294"/>
      <c r="H35" s="460"/>
      <c r="I35" s="296"/>
      <c r="J35" s="544"/>
      <c r="K35" s="296"/>
      <c r="L35" s="559"/>
      <c r="M35" s="296"/>
      <c r="O35" s="438"/>
      <c r="S35" s="361"/>
      <c r="T35" s="339"/>
      <c r="U35" s="279"/>
      <c r="V35" s="280"/>
      <c r="W35" s="461"/>
      <c r="X35" s="275"/>
      <c r="Y35" s="578"/>
      <c r="Z35" s="291"/>
      <c r="AA35" s="578"/>
      <c r="AB35" s="291"/>
      <c r="AD35" s="247"/>
      <c r="AE35" s="248"/>
      <c r="AF35" s="248"/>
      <c r="AG35" s="248"/>
      <c r="AH35" s="380"/>
      <c r="AI35" s="249"/>
      <c r="AJ35" s="250" t="s">
        <v>787</v>
      </c>
      <c r="AK35" s="251"/>
      <c r="AL35" s="1842" t="str">
        <f>'Code C,E &amp; F stands'!$H$16</f>
        <v>Estimated Rates</v>
      </c>
      <c r="AM35" s="1843"/>
      <c r="AN35" s="1843"/>
      <c r="AO35" s="1843"/>
      <c r="AP35" s="1843"/>
      <c r="AQ35" s="1844"/>
    </row>
    <row r="36" spans="1:43" ht="18.75" customHeight="1">
      <c r="A36" s="277" t="s">
        <v>809</v>
      </c>
      <c r="D36" s="1983">
        <f>7910203*1.05</f>
        <v>8305713.1500000004</v>
      </c>
      <c r="E36" s="1984"/>
      <c r="F36" s="279"/>
      <c r="G36" s="280"/>
      <c r="H36" s="444">
        <f>D36/$E$56</f>
        <v>37.616454483695655</v>
      </c>
      <c r="I36" s="275"/>
      <c r="J36" s="572">
        <f t="shared" ref="J36" si="16">(H36*(217/145-1))+H36</f>
        <v>56.294969813530741</v>
      </c>
      <c r="K36" s="575"/>
      <c r="L36" s="572">
        <f>(J36*($D$15/$D$14-1))+J36</f>
        <v>69.143955178247836</v>
      </c>
      <c r="M36" s="275"/>
      <c r="O36" s="247"/>
      <c r="P36" s="248"/>
      <c r="Q36" s="248"/>
      <c r="R36" s="248"/>
      <c r="S36" s="448"/>
      <c r="T36" s="449"/>
      <c r="U36" s="310"/>
      <c r="V36" s="311"/>
      <c r="W36" s="312"/>
      <c r="X36" s="252"/>
      <c r="Y36" s="312"/>
      <c r="Z36" s="252"/>
      <c r="AA36" s="312"/>
      <c r="AB36" s="252"/>
      <c r="AD36" s="1985" t="s">
        <v>810</v>
      </c>
      <c r="AE36" s="1986"/>
      <c r="AF36" s="1986"/>
      <c r="AG36" s="1986"/>
      <c r="AH36" s="1986"/>
      <c r="AI36" s="1987"/>
      <c r="AJ36" s="255"/>
      <c r="AK36" s="256"/>
      <c r="AL36" s="1845"/>
      <c r="AM36" s="1846"/>
      <c r="AN36" s="1846"/>
      <c r="AO36" s="1846"/>
      <c r="AP36" s="1846"/>
      <c r="AQ36" s="1847"/>
    </row>
    <row r="37" spans="1:43" ht="15">
      <c r="A37" s="277"/>
      <c r="D37" s="328"/>
      <c r="E37" s="339"/>
      <c r="F37" s="279"/>
      <c r="G37" s="280"/>
      <c r="H37" s="444"/>
      <c r="I37" s="275"/>
      <c r="K37" s="275"/>
      <c r="L37" s="572"/>
      <c r="M37" s="275"/>
      <c r="O37" s="349"/>
      <c r="P37" s="450" t="s">
        <v>438</v>
      </c>
      <c r="Q37" s="450"/>
      <c r="R37" s="450"/>
      <c r="S37" s="451"/>
      <c r="T37" s="452"/>
      <c r="U37" s="453">
        <f>SUM(U34:U36)</f>
        <v>29.25</v>
      </c>
      <c r="V37" s="454" t="s">
        <v>272</v>
      </c>
      <c r="W37" s="455">
        <f>ROUND(SUM(W34:W36),-1)</f>
        <v>500</v>
      </c>
      <c r="X37" s="456" t="s">
        <v>272</v>
      </c>
      <c r="Y37" s="455">
        <f t="shared" ref="Y37" si="17">ROUND(SUM(Y34:Y36),-1)</f>
        <v>750</v>
      </c>
      <c r="Z37" s="456" t="s">
        <v>272</v>
      </c>
      <c r="AA37" s="455">
        <f t="shared" ref="AA37" si="18">ROUND(SUM(AA34:AA36),-1)</f>
        <v>920</v>
      </c>
      <c r="AB37" s="456" t="s">
        <v>272</v>
      </c>
      <c r="AD37" s="1985"/>
      <c r="AE37" s="1986"/>
      <c r="AF37" s="1986"/>
      <c r="AG37" s="1986"/>
      <c r="AH37" s="1986"/>
      <c r="AI37" s="1987"/>
      <c r="AJ37" s="255"/>
      <c r="AK37" s="256"/>
      <c r="AL37" s="1826" t="str">
        <f>'Code C,E &amp; F stands'!$H$18</f>
        <v>Base Date Jan '09</v>
      </c>
      <c r="AM37" s="1827"/>
      <c r="AN37" s="1828" t="s">
        <v>571</v>
      </c>
      <c r="AO37" s="1827"/>
      <c r="AP37" s="1828" t="s">
        <v>572</v>
      </c>
      <c r="AQ37" s="1827"/>
    </row>
    <row r="38" spans="1:43" ht="15">
      <c r="A38" s="277" t="s">
        <v>575</v>
      </c>
      <c r="D38" s="1983">
        <f>(21600+172800+5876+240000+162000+630000+180900+10838+6885+17000+160000)*1.05</f>
        <v>1688293.9500000002</v>
      </c>
      <c r="E38" s="1984"/>
      <c r="F38" s="279"/>
      <c r="G38" s="280"/>
      <c r="H38" s="444">
        <f>D38/$E$56</f>
        <v>7.6462588315217399</v>
      </c>
      <c r="I38" s="275"/>
      <c r="J38" s="572">
        <f t="shared" ref="J38" si="19">(H38*(217/145-1))+H38</f>
        <v>11.443021837518742</v>
      </c>
      <c r="K38" s="575"/>
      <c r="L38" s="572">
        <f t="shared" ref="L38:L50" si="20">(J38*($D$15/$D$14-1))+J38</f>
        <v>14.054822156542571</v>
      </c>
      <c r="M38" s="275"/>
      <c r="O38" s="457"/>
      <c r="P38" s="262"/>
      <c r="Q38" s="262"/>
      <c r="R38" s="262"/>
      <c r="S38" s="458"/>
      <c r="T38" s="459"/>
      <c r="U38" s="265"/>
      <c r="V38" s="266"/>
      <c r="W38" s="325"/>
      <c r="X38" s="268"/>
      <c r="Y38" s="325"/>
      <c r="Z38" s="268"/>
      <c r="AA38" s="325"/>
      <c r="AB38" s="268"/>
      <c r="AD38" s="261"/>
      <c r="AE38" s="262"/>
      <c r="AF38" s="263"/>
      <c r="AG38" s="263"/>
      <c r="AH38" s="434"/>
      <c r="AI38" s="264"/>
      <c r="AJ38" s="265"/>
      <c r="AK38" s="266"/>
      <c r="AL38" s="433"/>
      <c r="AM38" s="268"/>
      <c r="AN38" s="1828"/>
      <c r="AO38" s="1827"/>
      <c r="AP38" s="1828"/>
      <c r="AQ38" s="1827"/>
    </row>
    <row r="39" spans="1:43" ht="15">
      <c r="A39" s="277"/>
      <c r="D39" s="328"/>
      <c r="E39" s="339"/>
      <c r="F39" s="279"/>
      <c r="G39" s="280"/>
      <c r="H39" s="444"/>
      <c r="I39" s="275"/>
      <c r="K39" s="275"/>
      <c r="L39" s="572"/>
      <c r="M39" s="275"/>
      <c r="AD39" s="336"/>
      <c r="AF39" s="237"/>
      <c r="AG39" s="231">
        <v>37.5</v>
      </c>
      <c r="AH39" s="231" t="s">
        <v>792</v>
      </c>
      <c r="AI39" s="337"/>
      <c r="AJ39" s="272"/>
      <c r="AK39" s="273"/>
      <c r="AL39" s="276"/>
      <c r="AM39" s="275"/>
      <c r="AN39" s="362"/>
      <c r="AO39" s="371"/>
      <c r="AP39" s="363"/>
      <c r="AQ39" s="371"/>
    </row>
    <row r="40" spans="1:43" ht="15">
      <c r="A40" s="277" t="s">
        <v>811</v>
      </c>
      <c r="D40" s="1983">
        <f>1283646*1.05</f>
        <v>1347828.3</v>
      </c>
      <c r="E40" s="1984"/>
      <c r="F40" s="279"/>
      <c r="G40" s="280"/>
      <c r="H40" s="444">
        <f>D40/$E$56</f>
        <v>6.1042948369565222</v>
      </c>
      <c r="I40" s="275"/>
      <c r="J40" s="572">
        <f t="shared" ref="J40" si="21">(H40*(217/145-1))+H40</f>
        <v>9.1353929628935546</v>
      </c>
      <c r="K40" s="575"/>
      <c r="L40" s="572">
        <f t="shared" si="20"/>
        <v>11.220490989768166</v>
      </c>
      <c r="M40" s="275"/>
      <c r="O40" s="236" t="s">
        <v>812</v>
      </c>
      <c r="AD40" s="277" t="s">
        <v>794</v>
      </c>
      <c r="AH40" s="361"/>
      <c r="AI40" s="339"/>
      <c r="AJ40" s="279"/>
      <c r="AK40" s="280"/>
      <c r="AL40" s="282"/>
      <c r="AM40" s="275"/>
      <c r="AN40" s="438"/>
      <c r="AO40" s="275"/>
      <c r="AQ40" s="275"/>
    </row>
    <row r="41" spans="1:43" ht="15">
      <c r="A41" s="277"/>
      <c r="D41" s="328"/>
      <c r="E41" s="339"/>
      <c r="F41" s="279"/>
      <c r="G41" s="280"/>
      <c r="H41" s="444"/>
      <c r="I41" s="275"/>
      <c r="K41" s="275"/>
      <c r="L41" s="572"/>
      <c r="M41" s="275"/>
      <c r="O41" s="237" t="s">
        <v>574</v>
      </c>
      <c r="P41" s="231" t="s">
        <v>813</v>
      </c>
      <c r="AD41" s="283" t="s">
        <v>574</v>
      </c>
      <c r="AE41" s="231" t="s">
        <v>798</v>
      </c>
      <c r="AH41" s="361"/>
      <c r="AI41" s="339"/>
      <c r="AJ41" s="279"/>
      <c r="AK41" s="280"/>
      <c r="AL41" s="282">
        <f>AL24</f>
        <v>35</v>
      </c>
      <c r="AM41" s="275"/>
      <c r="AN41" s="572">
        <f>(AL41*(217/145-1))+AL41</f>
        <v>52.379310344827587</v>
      </c>
      <c r="AO41" s="575"/>
      <c r="AP41" s="573">
        <f>(AN41*($D$15/$D$14-1))+AN41</f>
        <v>64.334570188894517</v>
      </c>
      <c r="AQ41" s="275"/>
    </row>
    <row r="42" spans="1:43" ht="15">
      <c r="A42" s="277" t="s">
        <v>814</v>
      </c>
      <c r="D42" s="1983">
        <f>2170850*1.05</f>
        <v>2279392.5</v>
      </c>
      <c r="E42" s="1984"/>
      <c r="F42" s="279"/>
      <c r="G42" s="280"/>
      <c r="H42" s="444">
        <f>D42/$E$56</f>
        <v>10.323335597826087</v>
      </c>
      <c r="I42" s="275"/>
      <c r="J42" s="572">
        <f t="shared" ref="J42" si="22">(H42*(217/145-1))+H42</f>
        <v>15.449405687781113</v>
      </c>
      <c r="K42" s="575"/>
      <c r="L42" s="572">
        <f t="shared" si="20"/>
        <v>18.975638817195883</v>
      </c>
      <c r="M42" s="275"/>
      <c r="O42" s="237" t="s">
        <v>574</v>
      </c>
      <c r="P42" s="231" t="s">
        <v>815</v>
      </c>
      <c r="AD42" s="283" t="s">
        <v>574</v>
      </c>
      <c r="AE42" s="231" t="s">
        <v>816</v>
      </c>
      <c r="AH42" s="361"/>
      <c r="AI42" s="285">
        <f>T28</f>
        <v>190</v>
      </c>
      <c r="AJ42" s="279">
        <f>170.66*0.15</f>
        <v>25.599</v>
      </c>
      <c r="AK42" s="280"/>
      <c r="AL42" s="436">
        <f>AI42*0.11</f>
        <v>20.9</v>
      </c>
      <c r="AM42" s="275"/>
      <c r="AN42" s="572">
        <f>(AL42*(217/145-1))+AL42</f>
        <v>31.277931034482759</v>
      </c>
      <c r="AO42" s="575"/>
      <c r="AP42" s="573">
        <f>(AN42*($D$15/$D$14-1))+AN42</f>
        <v>38.416929055654158</v>
      </c>
      <c r="AQ42" s="562"/>
    </row>
    <row r="43" spans="1:43" ht="15">
      <c r="A43" s="277"/>
      <c r="D43" s="328"/>
      <c r="E43" s="339"/>
      <c r="F43" s="279"/>
      <c r="G43" s="280"/>
      <c r="H43" s="444"/>
      <c r="I43" s="275"/>
      <c r="K43" s="275"/>
      <c r="L43" s="572"/>
      <c r="M43" s="275"/>
      <c r="O43" s="237" t="s">
        <v>574</v>
      </c>
      <c r="P43" s="231" t="s">
        <v>817</v>
      </c>
      <c r="AD43" s="283" t="s">
        <v>574</v>
      </c>
      <c r="AE43" s="231" t="s">
        <v>800</v>
      </c>
      <c r="AH43" s="361"/>
      <c r="AI43" s="285">
        <f>T29</f>
        <v>190</v>
      </c>
      <c r="AJ43" s="279">
        <f>170.66*0.15</f>
        <v>25.599</v>
      </c>
      <c r="AK43" s="280"/>
      <c r="AL43" s="436">
        <f>AI43*0.15</f>
        <v>28.5</v>
      </c>
      <c r="AM43" s="275"/>
      <c r="AN43" s="572">
        <f t="shared" ref="AN43:AN45" si="23">(AL43*(217/145-1))+AL43</f>
        <v>42.651724137931041</v>
      </c>
      <c r="AO43" s="575"/>
      <c r="AP43" s="573">
        <f t="shared" ref="AP43:AP45" si="24">(AN43*($D$15/$D$14-1))+AN43</f>
        <v>52.386721439528401</v>
      </c>
      <c r="AQ43" s="562"/>
    </row>
    <row r="44" spans="1:43" ht="15">
      <c r="A44" s="277" t="s">
        <v>615</v>
      </c>
      <c r="D44" s="1983">
        <f>(3429692+2169420+1743426+245054+2740017)*1.05</f>
        <v>10843989.450000001</v>
      </c>
      <c r="E44" s="1984"/>
      <c r="F44" s="279"/>
      <c r="G44" s="280"/>
      <c r="H44" s="444">
        <f>D44/$E$56</f>
        <v>49.112271059782614</v>
      </c>
      <c r="I44" s="275"/>
      <c r="J44" s="572">
        <f t="shared" ref="J44" si="25">(H44*(217/145-1))+H44</f>
        <v>73.499053930847083</v>
      </c>
      <c r="K44" s="575"/>
      <c r="L44" s="572">
        <f t="shared" si="20"/>
        <v>90.274767132331363</v>
      </c>
      <c r="M44" s="275"/>
      <c r="O44" s="237" t="s">
        <v>574</v>
      </c>
      <c r="P44" s="231" t="s">
        <v>818</v>
      </c>
      <c r="AD44" s="283" t="s">
        <v>574</v>
      </c>
      <c r="AE44" s="231" t="s">
        <v>587</v>
      </c>
      <c r="AH44" s="361"/>
      <c r="AI44" s="285"/>
      <c r="AJ44" s="279"/>
      <c r="AK44" s="280"/>
      <c r="AL44" s="282">
        <f>'Code C,E &amp; F stands'!$H$31</f>
        <v>10</v>
      </c>
      <c r="AM44" s="275"/>
      <c r="AN44" s="572">
        <f t="shared" si="23"/>
        <v>14.965517241379311</v>
      </c>
      <c r="AO44" s="575"/>
      <c r="AP44" s="573">
        <f t="shared" si="24"/>
        <v>18.381305768255579</v>
      </c>
      <c r="AQ44" s="562"/>
    </row>
    <row r="45" spans="1:43" ht="15">
      <c r="A45" s="277"/>
      <c r="D45" s="328"/>
      <c r="E45" s="339"/>
      <c r="F45" s="279"/>
      <c r="G45" s="280"/>
      <c r="H45" s="444"/>
      <c r="I45" s="275"/>
      <c r="K45" s="275"/>
      <c r="L45" s="572"/>
      <c r="M45" s="275"/>
      <c r="O45" s="237" t="s">
        <v>574</v>
      </c>
      <c r="P45" s="231" t="s">
        <v>819</v>
      </c>
      <c r="AD45" s="283" t="s">
        <v>574</v>
      </c>
      <c r="AE45" s="231" t="s">
        <v>590</v>
      </c>
      <c r="AH45" s="361"/>
      <c r="AI45" s="339"/>
      <c r="AJ45" s="279">
        <f>11544.79/10000</f>
        <v>1.154479</v>
      </c>
      <c r="AK45" s="280"/>
      <c r="AL45" s="443">
        <f>+AJ45*1.1</f>
        <v>1.2699269000000002</v>
      </c>
      <c r="AM45" s="291"/>
      <c r="AN45" s="578">
        <f t="shared" si="23"/>
        <v>1.9005112917241385</v>
      </c>
      <c r="AO45" s="576"/>
      <c r="AP45" s="577">
        <f t="shared" si="24"/>
        <v>2.3342914652232931</v>
      </c>
      <c r="AQ45" s="565"/>
    </row>
    <row r="46" spans="1:43" ht="15">
      <c r="A46" s="277" t="s">
        <v>820</v>
      </c>
      <c r="D46" s="1983">
        <f>2258700*1.05</f>
        <v>2371635</v>
      </c>
      <c r="E46" s="1984"/>
      <c r="F46" s="279">
        <f>+E52/32.5</f>
        <v>0</v>
      </c>
      <c r="G46" s="280"/>
      <c r="H46" s="444">
        <f>D46/$E$56</f>
        <v>10.741100543478261</v>
      </c>
      <c r="I46" s="275"/>
      <c r="J46" s="572">
        <f t="shared" ref="J46" si="26">(H46*(217/145-1))+H46</f>
        <v>16.074612537481261</v>
      </c>
      <c r="K46" s="575"/>
      <c r="L46" s="572">
        <f t="shared" si="20"/>
        <v>19.74354533772501</v>
      </c>
      <c r="M46" s="275"/>
      <c r="O46" s="237" t="s">
        <v>574</v>
      </c>
      <c r="P46" s="231" t="s">
        <v>821</v>
      </c>
      <c r="AD46" s="438"/>
      <c r="AG46" s="235" t="s">
        <v>591</v>
      </c>
      <c r="AH46" s="361"/>
      <c r="AI46" s="339"/>
      <c r="AJ46" s="293" t="e">
        <f>SUM(#REF!)</f>
        <v>#REF!</v>
      </c>
      <c r="AK46" s="294" t="s">
        <v>272</v>
      </c>
      <c r="AL46" s="444">
        <f>SUM(AL40:AL45)</f>
        <v>95.669926900000007</v>
      </c>
      <c r="AM46" s="296" t="s">
        <v>592</v>
      </c>
      <c r="AN46" s="444">
        <f t="shared" ref="AN46" si="27">SUM(AN40:AN45)</f>
        <v>143.17499405034485</v>
      </c>
      <c r="AO46" s="296" t="s">
        <v>592</v>
      </c>
      <c r="AP46" s="444">
        <f t="shared" ref="AP46" si="28">SUM(AP40:AP45)</f>
        <v>175.85381791755594</v>
      </c>
      <c r="AQ46" s="296" t="s">
        <v>592</v>
      </c>
    </row>
    <row r="47" spans="1:43" ht="15">
      <c r="A47" s="277"/>
      <c r="D47" s="328"/>
      <c r="E47" s="339"/>
      <c r="F47" s="279"/>
      <c r="G47" s="280"/>
      <c r="H47" s="444"/>
      <c r="I47" s="275"/>
      <c r="K47" s="275"/>
      <c r="L47" s="572"/>
      <c r="M47" s="275"/>
      <c r="O47" s="237" t="s">
        <v>574</v>
      </c>
      <c r="P47" s="231" t="s">
        <v>822</v>
      </c>
      <c r="AD47" s="438"/>
      <c r="AH47" s="361"/>
      <c r="AI47" s="446"/>
      <c r="AJ47" s="288"/>
      <c r="AK47" s="289"/>
      <c r="AL47" s="447"/>
      <c r="AM47" s="275"/>
      <c r="AN47" s="447"/>
      <c r="AO47" s="275"/>
      <c r="AP47" s="447"/>
      <c r="AQ47" s="275"/>
    </row>
    <row r="48" spans="1:43" ht="15">
      <c r="A48" s="277" t="s">
        <v>823</v>
      </c>
      <c r="D48" s="1983">
        <f>'[5]CT Runway'!J28*1.05</f>
        <v>111748916.16000001</v>
      </c>
      <c r="E48" s="1984"/>
      <c r="F48" s="279">
        <f>+E54/32.5</f>
        <v>0</v>
      </c>
      <c r="G48" s="280"/>
      <c r="H48" s="444">
        <f>D48/$E$56</f>
        <v>506.10922173913048</v>
      </c>
      <c r="I48" s="275"/>
      <c r="J48" s="572">
        <f t="shared" ref="J48" si="29">(H48*(217/145-1))+H48</f>
        <v>757.41862839580222</v>
      </c>
      <c r="K48" s="575"/>
      <c r="L48" s="572">
        <f t="shared" si="20"/>
        <v>930.29483569208207</v>
      </c>
      <c r="M48" s="275"/>
      <c r="AD48" s="247"/>
      <c r="AE48" s="248"/>
      <c r="AF48" s="248"/>
      <c r="AG48" s="248"/>
      <c r="AH48" s="448"/>
      <c r="AI48" s="449"/>
      <c r="AJ48" s="310"/>
      <c r="AK48" s="311"/>
      <c r="AL48" s="312"/>
      <c r="AM48" s="252"/>
      <c r="AN48" s="312"/>
      <c r="AO48" s="252"/>
      <c r="AP48" s="312"/>
      <c r="AQ48" s="252"/>
    </row>
    <row r="49" spans="1:43" ht="15">
      <c r="A49" s="277"/>
      <c r="D49" s="328"/>
      <c r="E49" s="339"/>
      <c r="F49" s="279"/>
      <c r="G49" s="280"/>
      <c r="H49" s="444"/>
      <c r="I49" s="275"/>
      <c r="K49" s="275"/>
      <c r="L49" s="572"/>
      <c r="M49" s="275"/>
      <c r="O49" s="236" t="s">
        <v>824</v>
      </c>
      <c r="AD49" s="349"/>
      <c r="AE49" s="450" t="s">
        <v>438</v>
      </c>
      <c r="AF49" s="450"/>
      <c r="AG49" s="450"/>
      <c r="AH49" s="451"/>
      <c r="AI49" s="452"/>
      <c r="AJ49" s="453" t="e">
        <f>SUM(AJ46:AJ48)</f>
        <v>#REF!</v>
      </c>
      <c r="AK49" s="454" t="s">
        <v>272</v>
      </c>
      <c r="AL49" s="455">
        <f>ROUND(SUM(AL46:AL48),-1)</f>
        <v>100</v>
      </c>
      <c r="AM49" s="456" t="s">
        <v>272</v>
      </c>
      <c r="AN49" s="455">
        <f t="shared" ref="AN49" si="30">ROUND(SUM(AN46:AN48),-1)</f>
        <v>140</v>
      </c>
      <c r="AO49" s="456" t="s">
        <v>272</v>
      </c>
      <c r="AP49" s="455">
        <f t="shared" ref="AP49" si="31">ROUND(SUM(AP46:AP48),-1)</f>
        <v>180</v>
      </c>
      <c r="AQ49" s="456" t="s">
        <v>272</v>
      </c>
    </row>
    <row r="50" spans="1:43" ht="15">
      <c r="A50" s="277" t="s">
        <v>825</v>
      </c>
      <c r="D50" s="1983">
        <f>'[5]CT Runway'!J29*1.05</f>
        <v>31778372.850000001</v>
      </c>
      <c r="E50" s="1984"/>
      <c r="F50" s="279">
        <f>+E56/32.5</f>
        <v>6793.8461538461543</v>
      </c>
      <c r="G50" s="280"/>
      <c r="H50" s="444">
        <f>D50/$E$56</f>
        <v>143.92379008152176</v>
      </c>
      <c r="I50" s="275"/>
      <c r="J50" s="572">
        <f t="shared" ref="J50" si="32">(H50*(217/145-1))+H50</f>
        <v>215.38939619096706</v>
      </c>
      <c r="K50" s="575"/>
      <c r="L50" s="572">
        <f t="shared" si="20"/>
        <v>264.5507192814681</v>
      </c>
      <c r="M50" s="275"/>
      <c r="O50" s="237" t="s">
        <v>574</v>
      </c>
      <c r="P50" s="231" t="s">
        <v>826</v>
      </c>
      <c r="AD50" s="457"/>
      <c r="AE50" s="262"/>
      <c r="AF50" s="262"/>
      <c r="AG50" s="262"/>
      <c r="AH50" s="458"/>
      <c r="AI50" s="459"/>
      <c r="AJ50" s="265"/>
      <c r="AK50" s="266"/>
      <c r="AL50" s="325"/>
      <c r="AM50" s="268"/>
      <c r="AN50" s="325"/>
      <c r="AO50" s="268"/>
      <c r="AP50" s="325"/>
      <c r="AQ50" s="268"/>
    </row>
    <row r="51" spans="1:43" ht="12.75" customHeight="1">
      <c r="A51" s="462"/>
      <c r="B51" s="347"/>
      <c r="C51" s="347"/>
      <c r="D51" s="347"/>
      <c r="E51" s="446"/>
      <c r="F51" s="288"/>
      <c r="G51" s="289"/>
      <c r="H51" s="463"/>
      <c r="I51" s="291"/>
      <c r="J51" s="462"/>
      <c r="K51" s="291"/>
      <c r="L51" s="462"/>
      <c r="M51" s="291"/>
      <c r="O51" s="237" t="s">
        <v>574</v>
      </c>
      <c r="P51" s="231" t="s">
        <v>827</v>
      </c>
    </row>
    <row r="52" spans="1:43" ht="14.45" customHeight="1">
      <c r="A52" s="464"/>
      <c r="B52" s="260"/>
      <c r="C52" s="260"/>
      <c r="D52" s="260"/>
      <c r="E52" s="465"/>
      <c r="F52" s="255"/>
      <c r="G52" s="256"/>
      <c r="H52" s="466"/>
      <c r="I52" s="352"/>
      <c r="J52" s="466"/>
      <c r="K52" s="352"/>
      <c r="L52" s="466"/>
      <c r="M52" s="352"/>
      <c r="O52" s="237" t="s">
        <v>574</v>
      </c>
      <c r="P52" s="231" t="s">
        <v>828</v>
      </c>
      <c r="AD52" s="247"/>
      <c r="AE52" s="248"/>
      <c r="AF52" s="248"/>
      <c r="AG52" s="248"/>
      <c r="AH52" s="380"/>
      <c r="AI52" s="249"/>
      <c r="AJ52" s="250" t="s">
        <v>787</v>
      </c>
      <c r="AK52" s="251"/>
      <c r="AL52" s="1842" t="str">
        <f>'Code C,E &amp; F stands'!$H$16</f>
        <v>Estimated Rates</v>
      </c>
      <c r="AM52" s="1843"/>
      <c r="AN52" s="1843"/>
      <c r="AO52" s="1843"/>
      <c r="AP52" s="1843"/>
      <c r="AQ52" s="1844"/>
    </row>
    <row r="53" spans="1:43">
      <c r="A53" s="349"/>
      <c r="B53" s="450" t="s">
        <v>829</v>
      </c>
      <c r="C53" s="450"/>
      <c r="D53" s="450"/>
      <c r="E53" s="452"/>
      <c r="F53" s="453">
        <f>SUM(F34:F52)</f>
        <v>6828.4961538461539</v>
      </c>
      <c r="G53" s="454" t="s">
        <v>272</v>
      </c>
      <c r="H53" s="467">
        <f>ROUND(SUM(H34:H52),-1)</f>
        <v>1430</v>
      </c>
      <c r="I53" s="456" t="s">
        <v>592</v>
      </c>
      <c r="J53" s="467">
        <f>ROUND(SUM(J34:J52),-1)</f>
        <v>2150</v>
      </c>
      <c r="K53" s="456" t="s">
        <v>592</v>
      </c>
      <c r="L53" s="467">
        <f>ROUND(SUM(L34:L52),0)</f>
        <v>2637</v>
      </c>
      <c r="M53" s="456" t="s">
        <v>592</v>
      </c>
      <c r="O53" s="237" t="s">
        <v>574</v>
      </c>
      <c r="P53" s="231" t="s">
        <v>830</v>
      </c>
      <c r="AD53" s="1985" t="s">
        <v>831</v>
      </c>
      <c r="AE53" s="1986"/>
      <c r="AF53" s="1986"/>
      <c r="AG53" s="1986"/>
      <c r="AH53" s="1986"/>
      <c r="AI53" s="1987"/>
      <c r="AJ53" s="255"/>
      <c r="AK53" s="256"/>
      <c r="AL53" s="1845"/>
      <c r="AM53" s="1846"/>
      <c r="AN53" s="1846"/>
      <c r="AO53" s="1846"/>
      <c r="AP53" s="1846"/>
      <c r="AQ53" s="1847"/>
    </row>
    <row r="54" spans="1:43" s="236" customFormat="1">
      <c r="A54" s="457"/>
      <c r="B54" s="262"/>
      <c r="C54" s="262"/>
      <c r="D54" s="262"/>
      <c r="E54" s="459"/>
      <c r="F54" s="265"/>
      <c r="G54" s="266"/>
      <c r="H54" s="468"/>
      <c r="I54" s="268"/>
      <c r="J54" s="468"/>
      <c r="K54" s="268"/>
      <c r="L54" s="468"/>
      <c r="M54" s="268"/>
      <c r="N54" s="231"/>
      <c r="O54" s="237" t="s">
        <v>574</v>
      </c>
      <c r="P54" s="231" t="s">
        <v>832</v>
      </c>
      <c r="Q54" s="231"/>
      <c r="R54" s="231"/>
      <c r="S54" s="231"/>
      <c r="T54" s="231"/>
      <c r="U54" s="231"/>
      <c r="V54" s="231"/>
      <c r="W54" s="231"/>
      <c r="X54" s="231"/>
      <c r="Y54" s="231"/>
      <c r="Z54" s="231"/>
      <c r="AA54" s="231"/>
      <c r="AB54" s="231"/>
      <c r="AC54" s="231"/>
      <c r="AD54" s="1985"/>
      <c r="AE54" s="1986"/>
      <c r="AF54" s="1986"/>
      <c r="AG54" s="1986"/>
      <c r="AH54" s="1986"/>
      <c r="AI54" s="1987"/>
      <c r="AJ54" s="255"/>
      <c r="AK54" s="256"/>
      <c r="AL54" s="1826" t="str">
        <f>'Code C,E &amp; F stands'!$H$18</f>
        <v>Base Date Jan '09</v>
      </c>
      <c r="AM54" s="1827"/>
      <c r="AN54" s="1828" t="s">
        <v>571</v>
      </c>
      <c r="AO54" s="1827"/>
      <c r="AP54" s="1828">
        <f>L19</f>
        <v>44621</v>
      </c>
      <c r="AQ54" s="1827"/>
    </row>
    <row r="55" spans="1:43">
      <c r="O55" s="237" t="s">
        <v>574</v>
      </c>
      <c r="P55" s="231" t="s">
        <v>833</v>
      </c>
      <c r="AD55" s="261"/>
      <c r="AE55" s="262"/>
      <c r="AF55" s="263"/>
      <c r="AG55" s="263"/>
      <c r="AH55" s="434"/>
      <c r="AI55" s="264"/>
      <c r="AJ55" s="265"/>
      <c r="AK55" s="266"/>
      <c r="AL55" s="433"/>
      <c r="AM55" s="268"/>
      <c r="AN55" s="1828"/>
      <c r="AO55" s="1827"/>
      <c r="AP55" s="1828"/>
      <c r="AQ55" s="1827"/>
    </row>
    <row r="56" spans="1:43" ht="15">
      <c r="A56" s="235"/>
      <c r="B56" s="231" t="s">
        <v>834</v>
      </c>
      <c r="C56" s="242">
        <f>3500+90*2</f>
        <v>3680</v>
      </c>
      <c r="D56" s="469">
        <v>60</v>
      </c>
      <c r="E56" s="243">
        <f>C56*D56</f>
        <v>220800</v>
      </c>
      <c r="F56" s="432">
        <f>(L53*C21+W37*R21*2+AL49*AG39*2)/C21+(AL49)/('Master Runways'!Q19*'Master Runways'!P15)</f>
        <v>2887.0003968253968</v>
      </c>
      <c r="H56" s="470"/>
      <c r="J56" s="573">
        <f>(E56*($D$15/$D$14-1))+E56</f>
        <v>271196.26058823528</v>
      </c>
      <c r="L56" s="573">
        <f>(E56*($D$15/$D$14-1))+J56</f>
        <v>321592.52117647056</v>
      </c>
      <c r="O56" s="237" t="s">
        <v>574</v>
      </c>
      <c r="P56" s="231" t="s">
        <v>835</v>
      </c>
      <c r="AD56" s="336"/>
      <c r="AF56" s="237"/>
      <c r="AG56" s="231">
        <v>75</v>
      </c>
      <c r="AH56" s="231" t="s">
        <v>792</v>
      </c>
      <c r="AI56" s="337"/>
      <c r="AJ56" s="272"/>
      <c r="AK56" s="273"/>
      <c r="AL56" s="276"/>
      <c r="AM56" s="275"/>
      <c r="AN56" s="362"/>
      <c r="AO56" s="371"/>
      <c r="AP56" s="363"/>
      <c r="AQ56" s="371"/>
    </row>
    <row r="57" spans="1:43">
      <c r="A57" s="235"/>
      <c r="B57" s="432"/>
      <c r="O57" s="237" t="s">
        <v>574</v>
      </c>
      <c r="P57" s="231" t="s">
        <v>836</v>
      </c>
      <c r="AD57" s="277" t="s">
        <v>794</v>
      </c>
      <c r="AH57" s="361"/>
      <c r="AI57" s="339"/>
      <c r="AJ57" s="279"/>
      <c r="AK57" s="280"/>
      <c r="AL57" s="282"/>
      <c r="AM57" s="275"/>
      <c r="AN57" s="438"/>
      <c r="AO57" s="275"/>
      <c r="AQ57" s="275"/>
    </row>
    <row r="58" spans="1:43" ht="15">
      <c r="AD58" s="283" t="s">
        <v>574</v>
      </c>
      <c r="AE58" s="231" t="s">
        <v>798</v>
      </c>
      <c r="AH58" s="361"/>
      <c r="AI58" s="339"/>
      <c r="AJ58" s="279"/>
      <c r="AK58" s="280"/>
      <c r="AL58" s="282">
        <f>'Code F Taxiway &amp; SH'!AM25</f>
        <v>35</v>
      </c>
      <c r="AM58" s="275"/>
      <c r="AN58" s="572">
        <f>(AL58*(217/145-1))+AL58</f>
        <v>52.379310344827587</v>
      </c>
      <c r="AO58" s="575"/>
      <c r="AP58" s="573">
        <f>(AN58*($D$15/$D$14-1))+AN58</f>
        <v>64.334570188894517</v>
      </c>
      <c r="AQ58" s="275"/>
    </row>
    <row r="59" spans="1:43" ht="15">
      <c r="E59" s="231"/>
      <c r="F59" s="231"/>
      <c r="G59" s="231"/>
      <c r="H59" s="231"/>
      <c r="AD59" s="283" t="s">
        <v>574</v>
      </c>
      <c r="AE59" s="231" t="s">
        <v>587</v>
      </c>
      <c r="AH59" s="361"/>
      <c r="AI59" s="285"/>
      <c r="AJ59" s="279"/>
      <c r="AK59" s="280"/>
      <c r="AL59" s="282">
        <f>'Code F Taxiway &amp; SH'!AM26</f>
        <v>10</v>
      </c>
      <c r="AM59" s="275"/>
      <c r="AN59" s="572">
        <f>(AL59*(217/145-1))+AL59</f>
        <v>14.965517241379311</v>
      </c>
      <c r="AO59" s="575"/>
      <c r="AP59" s="573">
        <f>(AN59*($D$15/$D$14-1))+AN59</f>
        <v>18.381305768255579</v>
      </c>
      <c r="AQ59" s="562"/>
    </row>
    <row r="60" spans="1:43" ht="15">
      <c r="AD60" s="283" t="s">
        <v>574</v>
      </c>
      <c r="AE60" s="231" t="s">
        <v>590</v>
      </c>
      <c r="AH60" s="361"/>
      <c r="AI60" s="339"/>
      <c r="AJ60" s="288">
        <f>11544.79/10000</f>
        <v>1.154479</v>
      </c>
      <c r="AK60" s="289"/>
      <c r="AL60" s="290">
        <f>'Code F Taxiway &amp; SH'!AM27</f>
        <v>1.2699269000000002</v>
      </c>
      <c r="AM60" s="291"/>
      <c r="AN60" s="578">
        <f t="shared" ref="AN60" si="33">(AL60*(217/145-1))+AL60</f>
        <v>1.9005112917241385</v>
      </c>
      <c r="AO60" s="576"/>
      <c r="AP60" s="577">
        <f t="shared" ref="AP60" si="34">(AN60*($D$15/$D$14-1))+AN60</f>
        <v>2.3342914652232931</v>
      </c>
      <c r="AQ60" s="565"/>
    </row>
    <row r="61" spans="1:43">
      <c r="AD61" s="438"/>
      <c r="AG61" s="235" t="s">
        <v>591</v>
      </c>
      <c r="AH61" s="361"/>
      <c r="AI61" s="339"/>
      <c r="AJ61" s="293" t="e">
        <f>SUM(#REF!)</f>
        <v>#REF!</v>
      </c>
      <c r="AK61" s="294" t="s">
        <v>272</v>
      </c>
      <c r="AL61" s="444">
        <f>SUM(AL57:AL60)</f>
        <v>46.269926900000002</v>
      </c>
      <c r="AM61" s="296" t="s">
        <v>592</v>
      </c>
      <c r="AN61" s="444">
        <f t="shared" ref="AN61" si="35">SUM(AN57:AN60)</f>
        <v>69.245338877931047</v>
      </c>
      <c r="AO61" s="296" t="s">
        <v>592</v>
      </c>
      <c r="AP61" s="444">
        <f t="shared" ref="AP61" si="36">SUM(AP57:AP60)</f>
        <v>85.050167422373391</v>
      </c>
      <c r="AQ61" s="296" t="s">
        <v>592</v>
      </c>
    </row>
    <row r="62" spans="1:43">
      <c r="AD62" s="438"/>
      <c r="AH62" s="361"/>
      <c r="AI62" s="446"/>
      <c r="AJ62" s="288"/>
      <c r="AK62" s="289"/>
      <c r="AL62" s="447"/>
      <c r="AM62" s="275"/>
      <c r="AN62" s="447"/>
      <c r="AO62" s="275"/>
      <c r="AP62" s="447"/>
      <c r="AQ62" s="275"/>
    </row>
    <row r="63" spans="1:43">
      <c r="AD63" s="247"/>
      <c r="AE63" s="248"/>
      <c r="AF63" s="248"/>
      <c r="AG63" s="248"/>
      <c r="AH63" s="448"/>
      <c r="AI63" s="449"/>
      <c r="AJ63" s="310"/>
      <c r="AK63" s="311"/>
      <c r="AL63" s="312"/>
      <c r="AM63" s="252"/>
      <c r="AN63" s="312"/>
      <c r="AO63" s="252"/>
      <c r="AP63" s="312"/>
      <c r="AQ63" s="252"/>
    </row>
    <row r="64" spans="1:43">
      <c r="AD64" s="349"/>
      <c r="AE64" s="450" t="s">
        <v>438</v>
      </c>
      <c r="AF64" s="450"/>
      <c r="AG64" s="450"/>
      <c r="AH64" s="451"/>
      <c r="AI64" s="452"/>
      <c r="AJ64" s="453">
        <f>SUM(AJ62:AJ63)</f>
        <v>0</v>
      </c>
      <c r="AK64" s="454" t="s">
        <v>272</v>
      </c>
      <c r="AL64" s="455">
        <f>ROUND(SUM(AL61:AL63),-1)</f>
        <v>50</v>
      </c>
      <c r="AM64" s="456" t="s">
        <v>272</v>
      </c>
      <c r="AN64" s="455">
        <f t="shared" ref="AN64" si="37">ROUND(SUM(AN61:AN63),-1)</f>
        <v>70</v>
      </c>
      <c r="AO64" s="456" t="s">
        <v>272</v>
      </c>
      <c r="AP64" s="455">
        <f t="shared" ref="AP64" si="38">ROUND(SUM(AP61:AP63),-1)</f>
        <v>90</v>
      </c>
      <c r="AQ64" s="456" t="s">
        <v>272</v>
      </c>
    </row>
    <row r="65" spans="14:43">
      <c r="AD65" s="457"/>
      <c r="AE65" s="262"/>
      <c r="AF65" s="262"/>
      <c r="AG65" s="262"/>
      <c r="AH65" s="458"/>
      <c r="AI65" s="459"/>
      <c r="AJ65" s="265"/>
      <c r="AK65" s="266"/>
      <c r="AL65" s="325"/>
      <c r="AM65" s="268"/>
      <c r="AN65" s="325"/>
      <c r="AO65" s="268"/>
      <c r="AP65" s="325"/>
      <c r="AQ65" s="268"/>
    </row>
    <row r="66" spans="14:43">
      <c r="O66" s="236"/>
      <c r="P66" s="236"/>
      <c r="Q66" s="236"/>
      <c r="R66" s="236"/>
      <c r="S66" s="236"/>
      <c r="T66" s="236"/>
      <c r="U66" s="236"/>
      <c r="V66" s="236"/>
      <c r="W66" s="236"/>
      <c r="X66" s="236"/>
      <c r="Y66" s="236"/>
      <c r="Z66" s="236"/>
      <c r="AA66" s="236"/>
      <c r="AB66" s="236"/>
    </row>
    <row r="70" spans="14:43">
      <c r="AJ70" s="231" t="s">
        <v>61</v>
      </c>
      <c r="AP70" s="664"/>
    </row>
    <row r="76" spans="14:43">
      <c r="O76" s="237"/>
    </row>
    <row r="77" spans="14:43">
      <c r="O77" s="237"/>
    </row>
    <row r="78" spans="14:43">
      <c r="N78" s="236"/>
      <c r="AC78" s="236"/>
      <c r="AN78" s="236"/>
    </row>
    <row r="95" spans="32:32">
      <c r="AF95" s="236"/>
    </row>
  </sheetData>
  <sheetProtection algorithmName="SHA-512" hashValue="tXBh+TsyRM/92Kbygf+pJtzev+64WIUOQmA+c+IQmfl+UYdiluZWXgOpZV7eRwSaOCuUQDlDkcIeaNOGMCKsFg==" saltValue="1Psr6fvxEolL7ygtp6Q2VA==" spinCount="100000" sheet="1" objects="1" scenarios="1"/>
  <mergeCells count="49">
    <mergeCell ref="AN54:AO54"/>
    <mergeCell ref="AP54:AQ54"/>
    <mergeCell ref="AN55:AO55"/>
    <mergeCell ref="AP55:AQ55"/>
    <mergeCell ref="AL52:AQ53"/>
    <mergeCell ref="AN37:AO37"/>
    <mergeCell ref="AP37:AQ37"/>
    <mergeCell ref="AN38:AO38"/>
    <mergeCell ref="AP38:AQ38"/>
    <mergeCell ref="AL35:AQ36"/>
    <mergeCell ref="J19:K19"/>
    <mergeCell ref="L19:M19"/>
    <mergeCell ref="J20:K20"/>
    <mergeCell ref="L20:M20"/>
    <mergeCell ref="AL17:AQ18"/>
    <mergeCell ref="AN19:AO19"/>
    <mergeCell ref="AP19:AQ19"/>
    <mergeCell ref="AN20:AO20"/>
    <mergeCell ref="AP20:AQ20"/>
    <mergeCell ref="A3:AI3"/>
    <mergeCell ref="A5:AI5"/>
    <mergeCell ref="A7:AI7"/>
    <mergeCell ref="A11:AM11"/>
    <mergeCell ref="A18:E19"/>
    <mergeCell ref="O18:T19"/>
    <mergeCell ref="AD18:AI19"/>
    <mergeCell ref="W17:AB18"/>
    <mergeCell ref="Y19:Z19"/>
    <mergeCell ref="AA19:AB19"/>
    <mergeCell ref="B13:D13"/>
    <mergeCell ref="E14:O15"/>
    <mergeCell ref="H19:I19"/>
    <mergeCell ref="W19:X19"/>
    <mergeCell ref="AL19:AM19"/>
    <mergeCell ref="H17:M18"/>
    <mergeCell ref="D36:E36"/>
    <mergeCell ref="AD36:AI37"/>
    <mergeCell ref="AL37:AM37"/>
    <mergeCell ref="Y20:Z20"/>
    <mergeCell ref="AA20:AB20"/>
    <mergeCell ref="D50:E50"/>
    <mergeCell ref="AD53:AI54"/>
    <mergeCell ref="AL54:AM54"/>
    <mergeCell ref="D38:E38"/>
    <mergeCell ref="D40:E40"/>
    <mergeCell ref="D42:E42"/>
    <mergeCell ref="D44:E44"/>
    <mergeCell ref="D46:E46"/>
    <mergeCell ref="D48:E48"/>
  </mergeCells>
  <pageMargins left="0.39370078740157483" right="0.31496062992125984" top="0.28999999999999998" bottom="0.54" header="0.51181102362204722" footer="0.27"/>
  <pageSetup paperSize="8" scale="86" firstPageNumber="14"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39">
    <tabColor theme="9" tint="-0.249977111117893"/>
    <pageSetUpPr fitToPage="1"/>
  </sheetPr>
  <dimension ref="A1:R100"/>
  <sheetViews>
    <sheetView zoomScale="80" zoomScaleNormal="80" workbookViewId="0">
      <selection activeCell="J38" sqref="J38"/>
    </sheetView>
  </sheetViews>
  <sheetFormatPr defaultColWidth="9.140625" defaultRowHeight="12.75"/>
  <cols>
    <col min="1" max="1" width="6.28515625" style="231" customWidth="1"/>
    <col min="2" max="2" width="27.140625" style="231" customWidth="1"/>
    <col min="3" max="3" width="15.42578125" style="231" customWidth="1"/>
    <col min="4" max="4" width="8.85546875" style="231" bestFit="1" customWidth="1"/>
    <col min="5" max="5" width="10.85546875" style="231" customWidth="1"/>
    <col min="6" max="6" width="20.42578125" style="361" customWidth="1"/>
    <col min="7" max="7" width="2.5703125" style="361" customWidth="1"/>
    <col min="8" max="8" width="17.42578125" style="328" customWidth="1"/>
    <col min="9" max="9" width="2.85546875" style="328" customWidth="1"/>
    <col min="10" max="10" width="19.140625" style="330" bestFit="1" customWidth="1"/>
    <col min="11" max="11" width="5.7109375" style="231" customWidth="1"/>
    <col min="12" max="12" width="3" style="231" customWidth="1"/>
    <col min="13" max="13" width="17" style="231" bestFit="1" customWidth="1"/>
    <col min="14" max="16" width="9.140625" style="231"/>
    <col min="17" max="17" width="11.28515625" style="231" bestFit="1" customWidth="1"/>
    <col min="18" max="18" width="10" style="231" bestFit="1" customWidth="1"/>
    <col min="19" max="16384" width="9.140625" style="231"/>
  </cols>
  <sheetData>
    <row r="1" spans="1:17" s="217" customFormat="1" ht="6.75" customHeight="1" thickBot="1">
      <c r="B1" s="218"/>
      <c r="C1" s="218"/>
    </row>
    <row r="2" spans="1:17" s="217" customFormat="1" ht="6" customHeight="1">
      <c r="A2" s="219"/>
      <c r="B2" s="220"/>
      <c r="C2" s="220"/>
      <c r="D2" s="219"/>
      <c r="E2" s="219"/>
      <c r="F2" s="219"/>
      <c r="G2" s="219"/>
      <c r="H2" s="219"/>
      <c r="I2" s="219"/>
      <c r="J2" s="219"/>
      <c r="K2" s="219"/>
    </row>
    <row r="3" spans="1:17" s="217" customFormat="1" ht="15" customHeight="1">
      <c r="A3" s="1820" t="str">
        <f>[5]Cover!$A$5</f>
        <v>AIRPORT DEVELOPMENT COST</v>
      </c>
      <c r="B3" s="1820"/>
      <c r="C3" s="1820"/>
      <c r="D3" s="1820"/>
      <c r="E3" s="1820"/>
      <c r="F3" s="1820"/>
      <c r="G3" s="1820"/>
      <c r="H3" s="1820"/>
      <c r="I3" s="1820"/>
      <c r="J3" s="1820"/>
      <c r="K3" s="1820"/>
    </row>
    <row r="4" spans="1:17" s="217" customFormat="1" ht="4.5" customHeight="1">
      <c r="A4" s="221"/>
      <c r="B4" s="222"/>
      <c r="C4" s="222"/>
      <c r="D4" s="222"/>
      <c r="E4" s="222"/>
    </row>
    <row r="5" spans="1:17" s="217" customFormat="1" ht="22.5">
      <c r="A5" s="1821" t="str">
        <f>'ICAO Tables'!A5:AQ5</f>
        <v>4.  RUNWAYS</v>
      </c>
      <c r="B5" s="1821"/>
      <c r="C5" s="1821"/>
      <c r="D5" s="1821"/>
      <c r="E5" s="1821"/>
      <c r="F5" s="1821"/>
      <c r="G5" s="1821"/>
      <c r="H5" s="1821"/>
      <c r="I5" s="1821"/>
      <c r="J5" s="1821"/>
      <c r="K5" s="1821"/>
    </row>
    <row r="6" spans="1:17" s="217" customFormat="1" ht="7.5" customHeight="1">
      <c r="A6" s="221"/>
      <c r="B6" s="222"/>
      <c r="C6" s="222"/>
      <c r="D6" s="222"/>
      <c r="E6" s="222"/>
    </row>
    <row r="7" spans="1:17" s="217" customFormat="1" hidden="1">
      <c r="A7" s="1822">
        <f>'Master Apron stands'!A7</f>
        <v>43040</v>
      </c>
      <c r="B7" s="1822"/>
      <c r="C7" s="1822"/>
      <c r="D7" s="1822"/>
      <c r="E7" s="1822"/>
      <c r="F7" s="1822"/>
      <c r="G7" s="1822"/>
      <c r="H7" s="1822"/>
      <c r="I7" s="1822"/>
      <c r="J7" s="1822"/>
      <c r="K7" s="1822"/>
    </row>
    <row r="8" spans="1:17" s="217" customFormat="1" ht="4.5" customHeight="1" thickBot="1">
      <c r="A8" s="226"/>
      <c r="B8" s="227"/>
      <c r="C8" s="227"/>
      <c r="D8" s="226"/>
      <c r="E8" s="226"/>
      <c r="F8" s="226"/>
      <c r="G8" s="226"/>
      <c r="H8" s="226"/>
      <c r="I8" s="226"/>
      <c r="J8" s="226"/>
      <c r="K8" s="226"/>
    </row>
    <row r="9" spans="1:17" s="217" customFormat="1" ht="8.25" customHeight="1">
      <c r="A9" s="228"/>
      <c r="B9" s="229"/>
      <c r="C9" s="229"/>
      <c r="D9" s="229"/>
      <c r="E9" s="229"/>
      <c r="F9" s="229"/>
      <c r="G9" s="229"/>
      <c r="H9" s="229"/>
      <c r="I9" s="229"/>
      <c r="J9" s="229"/>
      <c r="K9" s="229"/>
    </row>
    <row r="10" spans="1:17" s="217" customFormat="1" ht="15">
      <c r="A10" s="228"/>
      <c r="B10" s="229"/>
      <c r="C10" s="229"/>
      <c r="D10" s="229"/>
      <c r="E10" s="229"/>
      <c r="F10" s="229"/>
      <c r="G10" s="229"/>
      <c r="H10" s="229"/>
      <c r="I10" s="229"/>
      <c r="J10" s="229"/>
      <c r="K10" s="229"/>
    </row>
    <row r="11" spans="1:17" s="217" customFormat="1" ht="18">
      <c r="A11" s="1823" t="s">
        <v>958</v>
      </c>
      <c r="B11" s="1823"/>
      <c r="C11" s="1823"/>
      <c r="D11" s="1823"/>
      <c r="E11" s="1823"/>
      <c r="F11" s="1823"/>
      <c r="G11" s="1823"/>
      <c r="H11" s="1823"/>
      <c r="I11" s="1823"/>
      <c r="J11" s="1823"/>
      <c r="K11" s="1823"/>
    </row>
    <row r="12" spans="1:17" s="217" customFormat="1" ht="15">
      <c r="A12" s="228"/>
      <c r="B12" s="229"/>
      <c r="C12" s="229"/>
      <c r="D12" s="229"/>
      <c r="E12" s="229"/>
      <c r="F12" s="229"/>
      <c r="G12" s="229"/>
      <c r="H12" s="229"/>
      <c r="I12" s="229"/>
      <c r="J12" s="229"/>
      <c r="K12" s="229"/>
    </row>
    <row r="13" spans="1:17">
      <c r="F13" s="326"/>
      <c r="G13" s="326"/>
      <c r="J13" s="329"/>
    </row>
    <row r="14" spans="1:17">
      <c r="A14" s="247"/>
      <c r="B14" s="248"/>
      <c r="C14" s="248"/>
      <c r="D14" s="248"/>
      <c r="E14" s="248"/>
      <c r="F14" s="380"/>
      <c r="G14" s="380"/>
      <c r="H14" s="381"/>
      <c r="I14" s="381"/>
      <c r="J14" s="248"/>
      <c r="K14" s="252"/>
    </row>
    <row r="15" spans="1:17" ht="18.75">
      <c r="A15" s="1832" t="s">
        <v>959</v>
      </c>
      <c r="B15" s="1833"/>
      <c r="C15" s="1833"/>
      <c r="D15" s="1833"/>
      <c r="E15" s="1833"/>
      <c r="F15" s="1833"/>
      <c r="G15" s="673"/>
      <c r="H15" s="1855" t="s">
        <v>655</v>
      </c>
      <c r="I15" s="1855"/>
      <c r="J15" s="1855"/>
      <c r="K15" s="1856"/>
      <c r="N15" s="234" t="s">
        <v>656</v>
      </c>
      <c r="O15" s="234" t="s">
        <v>657</v>
      </c>
      <c r="P15" s="234" t="s">
        <v>217</v>
      </c>
      <c r="Q15" s="234" t="s">
        <v>438</v>
      </c>
    </row>
    <row r="16" spans="1:17" ht="18.75">
      <c r="A16" s="1832"/>
      <c r="B16" s="1833"/>
      <c r="C16" s="1833"/>
      <c r="D16" s="1833"/>
      <c r="E16" s="1833"/>
      <c r="F16" s="1833"/>
      <c r="G16" s="673"/>
      <c r="H16" s="382"/>
      <c r="I16" s="382"/>
      <c r="J16" s="383"/>
      <c r="K16" s="384"/>
      <c r="M16" s="231" t="s">
        <v>960</v>
      </c>
      <c r="N16" s="231">
        <v>60</v>
      </c>
      <c r="O16" s="231">
        <v>4200</v>
      </c>
      <c r="P16" s="231">
        <v>1</v>
      </c>
      <c r="Q16" s="473">
        <f t="shared" ref="Q16:Q22" si="0">N16*O16*P16</f>
        <v>252000</v>
      </c>
    </row>
    <row r="17" spans="1:18" ht="18.75">
      <c r="A17" s="1832" t="s">
        <v>961</v>
      </c>
      <c r="B17" s="1833"/>
      <c r="C17" s="1833"/>
      <c r="D17" s="1833"/>
      <c r="E17" s="1833"/>
      <c r="F17" s="1833"/>
      <c r="G17" s="673"/>
      <c r="H17" s="382"/>
      <c r="I17" s="382"/>
      <c r="J17" s="383"/>
      <c r="K17" s="672"/>
      <c r="M17" s="231" t="s">
        <v>789</v>
      </c>
      <c r="N17" s="231">
        <v>7.5</v>
      </c>
      <c r="O17" s="231">
        <f>$O$16</f>
        <v>4200</v>
      </c>
      <c r="P17" s="231">
        <v>2</v>
      </c>
      <c r="Q17" s="473">
        <f t="shared" si="0"/>
        <v>63000</v>
      </c>
    </row>
    <row r="18" spans="1:18" ht="18.75">
      <c r="A18" s="354"/>
      <c r="B18" s="385"/>
      <c r="C18" s="385"/>
      <c r="D18" s="385"/>
      <c r="E18" s="257" t="s">
        <v>438</v>
      </c>
      <c r="F18" s="257">
        <f>Q24</f>
        <v>1353600</v>
      </c>
      <c r="G18" s="673"/>
      <c r="H18" s="382"/>
      <c r="I18" s="382"/>
      <c r="J18" s="676"/>
      <c r="K18" s="672"/>
      <c r="M18" s="231" t="s">
        <v>962</v>
      </c>
      <c r="N18" s="231">
        <v>37.5</v>
      </c>
      <c r="O18" s="231">
        <f>$O$16</f>
        <v>4200</v>
      </c>
      <c r="P18" s="231">
        <v>2</v>
      </c>
      <c r="Q18" s="473">
        <f t="shared" si="0"/>
        <v>315000</v>
      </c>
      <c r="R18" s="2030">
        <f>Q18+Q19</f>
        <v>333000</v>
      </c>
    </row>
    <row r="19" spans="1:18" ht="15.75" customHeight="1">
      <c r="A19" s="261"/>
      <c r="B19" s="262"/>
      <c r="C19" s="262"/>
      <c r="D19" s="543"/>
      <c r="E19" s="476" t="s">
        <v>963</v>
      </c>
      <c r="F19" s="476">
        <f>Q16</f>
        <v>252000</v>
      </c>
      <c r="G19" s="386"/>
      <c r="H19" s="387"/>
      <c r="I19" s="387"/>
      <c r="J19" s="388"/>
      <c r="K19" s="268"/>
      <c r="M19" s="231" t="s">
        <v>964</v>
      </c>
      <c r="N19" s="231">
        <f>(N16/2+N17+N18)*2</f>
        <v>150</v>
      </c>
      <c r="O19" s="231">
        <v>60</v>
      </c>
      <c r="P19" s="231">
        <v>2</v>
      </c>
      <c r="Q19" s="473">
        <f t="shared" si="0"/>
        <v>18000</v>
      </c>
      <c r="R19" s="2031"/>
    </row>
    <row r="20" spans="1:18">
      <c r="A20" s="336"/>
      <c r="K20" s="275"/>
      <c r="M20" s="231" t="s">
        <v>965</v>
      </c>
      <c r="N20" s="231">
        <v>75</v>
      </c>
      <c r="O20" s="231">
        <f>$O$16</f>
        <v>4200</v>
      </c>
      <c r="P20" s="231">
        <v>2</v>
      </c>
      <c r="Q20" s="473">
        <f t="shared" si="0"/>
        <v>630000</v>
      </c>
      <c r="R20" s="2030">
        <f>Q20+Q21</f>
        <v>648000</v>
      </c>
    </row>
    <row r="21" spans="1:18">
      <c r="A21" s="389">
        <v>1</v>
      </c>
      <c r="B21" s="236" t="str">
        <f>M16</f>
        <v>Runway</v>
      </c>
      <c r="D21" s="390"/>
      <c r="E21" s="478">
        <f>Q16</f>
        <v>252000</v>
      </c>
      <c r="F21" s="391">
        <f>'Master Runways'!V15</f>
        <v>2637</v>
      </c>
      <c r="G21" s="243"/>
      <c r="J21" s="392">
        <f>E21*F21</f>
        <v>664524000</v>
      </c>
      <c r="K21" s="275"/>
      <c r="M21" s="231" t="s">
        <v>966</v>
      </c>
      <c r="N21" s="231">
        <f>N16/2+N17+N18+N20</f>
        <v>150</v>
      </c>
      <c r="O21" s="231">
        <v>60</v>
      </c>
      <c r="P21" s="231">
        <v>2</v>
      </c>
      <c r="Q21" s="473">
        <f t="shared" si="0"/>
        <v>18000</v>
      </c>
      <c r="R21" s="2031"/>
    </row>
    <row r="22" spans="1:18">
      <c r="A22" s="336"/>
      <c r="F22" s="391"/>
      <c r="K22" s="275"/>
      <c r="M22" s="231" t="s">
        <v>967</v>
      </c>
      <c r="N22" s="231">
        <f>2*N16</f>
        <v>120</v>
      </c>
      <c r="O22" s="231">
        <v>240</v>
      </c>
      <c r="P22" s="231">
        <v>2</v>
      </c>
      <c r="Q22" s="473">
        <f t="shared" si="0"/>
        <v>57600</v>
      </c>
    </row>
    <row r="23" spans="1:18">
      <c r="A23" s="389">
        <f>A21+1</f>
        <v>2</v>
      </c>
      <c r="B23" s="236" t="str">
        <f>M17</f>
        <v>Shoulders</v>
      </c>
      <c r="E23" s="478">
        <f>Q17</f>
        <v>63000</v>
      </c>
      <c r="F23" s="391">
        <f>'Master Runways'!V17</f>
        <v>920</v>
      </c>
      <c r="J23" s="392">
        <f>E23*F23</f>
        <v>57960000</v>
      </c>
      <c r="K23" s="275"/>
      <c r="Q23" s="475"/>
    </row>
    <row r="24" spans="1:18">
      <c r="A24" s="336"/>
      <c r="F24" s="391"/>
      <c r="K24" s="275"/>
      <c r="Q24" s="477">
        <f>SUM(Q16:Q23)</f>
        <v>1353600</v>
      </c>
    </row>
    <row r="25" spans="1:18">
      <c r="A25" s="389">
        <f>A23+1</f>
        <v>3</v>
      </c>
      <c r="B25" s="236" t="s">
        <v>929</v>
      </c>
      <c r="E25" s="478">
        <f>R18</f>
        <v>333000</v>
      </c>
      <c r="F25" s="391">
        <f>'Master Runways'!V19</f>
        <v>180</v>
      </c>
      <c r="J25" s="392">
        <f>E25*F25</f>
        <v>59940000</v>
      </c>
      <c r="K25" s="275"/>
    </row>
    <row r="26" spans="1:18">
      <c r="A26" s="389"/>
      <c r="B26" s="236"/>
      <c r="E26" s="478"/>
      <c r="F26" s="391"/>
      <c r="J26" s="392"/>
      <c r="K26" s="275"/>
    </row>
    <row r="27" spans="1:18">
      <c r="A27" s="389">
        <f>A25+1</f>
        <v>4</v>
      </c>
      <c r="B27" s="236" t="s">
        <v>839</v>
      </c>
      <c r="E27" s="478">
        <f>R20</f>
        <v>648000</v>
      </c>
      <c r="F27" s="391">
        <f>'Master Runways'!V25</f>
        <v>90</v>
      </c>
      <c r="J27" s="392">
        <f>E27*F27</f>
        <v>58320000</v>
      </c>
      <c r="K27" s="275"/>
    </row>
    <row r="28" spans="1:18">
      <c r="A28" s="389"/>
      <c r="B28" s="236"/>
      <c r="E28" s="478"/>
      <c r="F28" s="391"/>
      <c r="J28" s="392"/>
      <c r="K28" s="275"/>
    </row>
    <row r="29" spans="1:18">
      <c r="A29" s="389">
        <f>A27+1</f>
        <v>5</v>
      </c>
      <c r="B29" s="236" t="s">
        <v>932</v>
      </c>
      <c r="E29" s="478">
        <f>Q22</f>
        <v>57600</v>
      </c>
      <c r="F29" s="391">
        <f>'Master Runways'!V32</f>
        <v>190</v>
      </c>
      <c r="J29" s="392">
        <f>E29*F29</f>
        <v>10944000</v>
      </c>
      <c r="K29" s="275"/>
    </row>
    <row r="30" spans="1:18">
      <c r="A30" s="336"/>
      <c r="H30" s="238"/>
      <c r="K30" s="275"/>
    </row>
    <row r="31" spans="1:18">
      <c r="A31" s="389">
        <f>A29+1</f>
        <v>6</v>
      </c>
      <c r="B31" s="236" t="s">
        <v>968</v>
      </c>
      <c r="E31" s="478"/>
      <c r="F31" s="391" t="s">
        <v>497</v>
      </c>
      <c r="J31" s="392">
        <v>500000</v>
      </c>
      <c r="K31" s="275"/>
    </row>
    <row r="32" spans="1:18">
      <c r="A32" s="336"/>
      <c r="H32" s="238"/>
      <c r="K32" s="275"/>
    </row>
    <row r="33" spans="1:13">
      <c r="A33" s="389">
        <f>A31+1</f>
        <v>7</v>
      </c>
      <c r="B33" s="236" t="s">
        <v>969</v>
      </c>
      <c r="E33" s="478"/>
      <c r="F33" s="391" t="s">
        <v>497</v>
      </c>
      <c r="J33" s="392">
        <v>2000000</v>
      </c>
      <c r="K33" s="275"/>
    </row>
    <row r="34" spans="1:13">
      <c r="A34" s="336"/>
      <c r="H34" s="238"/>
      <c r="K34" s="275"/>
    </row>
    <row r="35" spans="1:13">
      <c r="A35" s="389">
        <f>A33+1</f>
        <v>8</v>
      </c>
      <c r="B35" s="236" t="s">
        <v>680</v>
      </c>
      <c r="H35" s="238"/>
      <c r="K35" s="275"/>
    </row>
    <row r="36" spans="1:13">
      <c r="A36" s="336"/>
      <c r="B36" s="231" t="s">
        <v>681</v>
      </c>
      <c r="D36" s="390" t="s">
        <v>666</v>
      </c>
      <c r="H36" s="479">
        <f>'New Bldg Rates'!H54</f>
        <v>5973.7053118661261</v>
      </c>
      <c r="J36" s="396">
        <v>0</v>
      </c>
      <c r="K36" s="275"/>
    </row>
    <row r="37" spans="1:13">
      <c r="A37" s="336"/>
      <c r="D37" s="390"/>
      <c r="H37" s="332"/>
      <c r="J37" s="299"/>
      <c r="K37" s="275"/>
    </row>
    <row r="38" spans="1:13">
      <c r="A38" s="277"/>
      <c r="B38" s="231" t="s">
        <v>684</v>
      </c>
      <c r="F38" s="326"/>
      <c r="G38" s="326"/>
      <c r="H38" s="238">
        <f>J38/F19</f>
        <v>3389.6349206349205</v>
      </c>
      <c r="J38" s="330">
        <f>SUM(J21:J36)</f>
        <v>854188000</v>
      </c>
      <c r="K38" s="275"/>
    </row>
    <row r="39" spans="1:13">
      <c r="A39" s="277"/>
      <c r="F39" s="326"/>
      <c r="G39" s="326"/>
      <c r="H39" s="238"/>
      <c r="K39" s="275"/>
    </row>
    <row r="40" spans="1:13">
      <c r="A40" s="277"/>
      <c r="F40" s="326"/>
      <c r="G40" s="326"/>
      <c r="H40" s="238"/>
      <c r="K40" s="275"/>
    </row>
    <row r="41" spans="1:13" ht="8.25" customHeight="1">
      <c r="A41" s="480"/>
      <c r="B41" s="481"/>
      <c r="C41" s="481"/>
      <c r="D41" s="481"/>
      <c r="E41" s="481"/>
      <c r="F41" s="482"/>
      <c r="G41" s="482"/>
      <c r="H41" s="483"/>
      <c r="I41" s="483"/>
      <c r="J41" s="484"/>
      <c r="K41" s="485"/>
    </row>
    <row r="42" spans="1:13" ht="18.75">
      <c r="A42" s="486"/>
      <c r="B42" s="487" t="s">
        <v>850</v>
      </c>
      <c r="C42" s="487"/>
      <c r="D42" s="487"/>
      <c r="E42" s="488" t="s">
        <v>851</v>
      </c>
      <c r="F42" s="489">
        <f>F18</f>
        <v>1353600</v>
      </c>
      <c r="G42" s="490"/>
      <c r="H42" s="491">
        <f>J42/F42</f>
        <v>631.04905437352249</v>
      </c>
      <c r="I42" s="492"/>
      <c r="J42" s="493">
        <f>J38</f>
        <v>854188000</v>
      </c>
      <c r="K42" s="494"/>
      <c r="M42" s="299"/>
    </row>
    <row r="43" spans="1:13" ht="18.75">
      <c r="A43" s="486"/>
      <c r="B43" s="487"/>
      <c r="C43" s="487"/>
      <c r="D43" s="487"/>
      <c r="E43" s="488" t="s">
        <v>970</v>
      </c>
      <c r="F43" s="489">
        <f>F19</f>
        <v>252000</v>
      </c>
      <c r="G43" s="488"/>
      <c r="H43" s="491">
        <f>J43/F43</f>
        <v>3389.6349206349205</v>
      </c>
      <c r="I43" s="492"/>
      <c r="J43" s="493">
        <f>J42</f>
        <v>854188000</v>
      </c>
      <c r="K43" s="494"/>
    </row>
    <row r="44" spans="1:13" ht="18.75">
      <c r="A44" s="486"/>
      <c r="B44" s="487"/>
      <c r="C44" s="487"/>
      <c r="D44" s="487"/>
      <c r="E44" s="488" t="s">
        <v>971</v>
      </c>
      <c r="F44" s="495">
        <f>O17</f>
        <v>4200</v>
      </c>
      <c r="G44" s="488"/>
      <c r="H44" s="496">
        <f>J44/F44</f>
        <v>203378.09523809524</v>
      </c>
      <c r="I44" s="492"/>
      <c r="J44" s="493">
        <f>J43</f>
        <v>854188000</v>
      </c>
      <c r="K44" s="494"/>
    </row>
    <row r="45" spans="1:13" ht="6" customHeight="1">
      <c r="A45" s="497"/>
      <c r="B45" s="498"/>
      <c r="C45" s="498"/>
      <c r="D45" s="498"/>
      <c r="E45" s="498"/>
      <c r="F45" s="499"/>
      <c r="G45" s="500"/>
      <c r="H45" s="501"/>
      <c r="I45" s="501"/>
      <c r="J45" s="502"/>
      <c r="K45" s="503"/>
    </row>
    <row r="46" spans="1:13">
      <c r="A46" s="277"/>
      <c r="F46" s="326"/>
      <c r="G46" s="326"/>
      <c r="K46" s="275"/>
    </row>
    <row r="47" spans="1:13">
      <c r="A47" s="277"/>
      <c r="B47" s="231" t="s">
        <v>682</v>
      </c>
      <c r="F47" s="326"/>
      <c r="G47" s="326"/>
      <c r="K47" s="275"/>
    </row>
    <row r="48" spans="1:13">
      <c r="A48" s="277"/>
      <c r="B48" s="231" t="s">
        <v>683</v>
      </c>
      <c r="F48" s="326"/>
      <c r="G48" s="326"/>
      <c r="H48" s="397">
        <f>'New Bldg Rates'!L33</f>
        <v>0.15</v>
      </c>
      <c r="J48" s="299">
        <f>J38*H48</f>
        <v>128128200</v>
      </c>
      <c r="K48" s="275"/>
    </row>
    <row r="49" spans="1:13">
      <c r="A49" s="277"/>
      <c r="F49" s="326"/>
      <c r="G49" s="326"/>
      <c r="H49" s="397"/>
      <c r="J49" s="377"/>
      <c r="K49" s="275"/>
    </row>
    <row r="50" spans="1:13">
      <c r="A50" s="277"/>
      <c r="F50" s="326"/>
      <c r="G50" s="326"/>
      <c r="H50" s="397"/>
      <c r="K50" s="275"/>
    </row>
    <row r="51" spans="1:13">
      <c r="A51" s="277"/>
      <c r="E51" s="231" t="s">
        <v>684</v>
      </c>
      <c r="F51" s="326"/>
      <c r="G51" s="326"/>
      <c r="H51" s="238"/>
      <c r="J51" s="392">
        <f>J48+J38</f>
        <v>982316200</v>
      </c>
      <c r="K51" s="275"/>
    </row>
    <row r="52" spans="1:13">
      <c r="A52" s="277"/>
      <c r="F52" s="326"/>
      <c r="G52" s="326"/>
      <c r="H52" s="238"/>
      <c r="J52" s="392"/>
      <c r="K52" s="275"/>
    </row>
    <row r="53" spans="1:13">
      <c r="A53" s="277"/>
      <c r="B53" s="231" t="s">
        <v>685</v>
      </c>
      <c r="F53" s="326"/>
      <c r="G53" s="326"/>
      <c r="H53" s="397">
        <f>'New Bldg Rates'!M33</f>
        <v>0.02</v>
      </c>
      <c r="J53" s="299">
        <f>(J51)*H53</f>
        <v>19646324</v>
      </c>
      <c r="K53" s="275"/>
    </row>
    <row r="54" spans="1:13">
      <c r="A54" s="277"/>
      <c r="F54" s="326"/>
      <c r="G54" s="326"/>
      <c r="H54" s="398"/>
      <c r="J54" s="299"/>
      <c r="K54" s="275"/>
    </row>
    <row r="55" spans="1:13">
      <c r="A55" s="277"/>
      <c r="B55" s="231" t="s">
        <v>686</v>
      </c>
      <c r="F55" s="326"/>
      <c r="G55" s="326"/>
      <c r="H55" s="397">
        <f>'New Bldg Rates'!N33</f>
        <v>0.1</v>
      </c>
      <c r="J55" s="299">
        <f>SUM(J51:J54)*H55</f>
        <v>100196252.40000001</v>
      </c>
      <c r="K55" s="275"/>
    </row>
    <row r="56" spans="1:13">
      <c r="A56" s="277"/>
      <c r="F56" s="326"/>
      <c r="G56" s="326"/>
      <c r="H56" s="397"/>
      <c r="J56" s="299"/>
      <c r="K56" s="275"/>
    </row>
    <row r="57" spans="1:13">
      <c r="A57" s="277"/>
      <c r="B57" s="231" t="s">
        <v>682</v>
      </c>
      <c r="F57" s="326"/>
      <c r="G57" s="326"/>
      <c r="H57" s="397"/>
      <c r="K57" s="275"/>
    </row>
    <row r="58" spans="1:13">
      <c r="A58" s="277"/>
      <c r="B58" s="231" t="s">
        <v>687</v>
      </c>
      <c r="F58" s="326"/>
      <c r="G58" s="326"/>
      <c r="H58" s="397"/>
      <c r="K58" s="275"/>
    </row>
    <row r="59" spans="1:13">
      <c r="A59" s="277"/>
      <c r="B59" s="237" t="s">
        <v>688</v>
      </c>
      <c r="C59" s="399">
        <f>'Master Apron stands'!A7</f>
        <v>43040</v>
      </c>
      <c r="F59" s="231"/>
      <c r="G59" s="326"/>
      <c r="H59" s="397"/>
      <c r="K59" s="275"/>
    </row>
    <row r="60" spans="1:13">
      <c r="A60" s="277"/>
      <c r="B60" s="237" t="s">
        <v>689</v>
      </c>
      <c r="C60" s="399">
        <f>'Sample Estimate (2)'!C54</f>
        <v>43525</v>
      </c>
      <c r="D60" s="400">
        <f>(C60-C59)/(365/12)</f>
        <v>15.945205479452055</v>
      </c>
      <c r="E60" s="401">
        <v>7.0000000000000007E-2</v>
      </c>
      <c r="F60" s="231" t="s">
        <v>690</v>
      </c>
      <c r="G60" s="326"/>
      <c r="H60" s="397"/>
      <c r="J60" s="299">
        <f>J51*(E60/12)*D60</f>
        <v>91368862.986301377</v>
      </c>
      <c r="K60" s="275"/>
    </row>
    <row r="61" spans="1:13">
      <c r="A61" s="277"/>
      <c r="B61" s="237" t="s">
        <v>691</v>
      </c>
      <c r="C61" s="399">
        <f>'Sample Estimate (2)'!C55</f>
        <v>43678</v>
      </c>
      <c r="D61" s="400">
        <f>(C61-C60)/(365/12)</f>
        <v>5.0301369863013701</v>
      </c>
      <c r="E61" s="401">
        <v>7.0000000000000007E-2</v>
      </c>
      <c r="F61" s="231" t="s">
        <v>692</v>
      </c>
      <c r="G61" s="326"/>
      <c r="H61" s="402">
        <v>0.6</v>
      </c>
      <c r="J61" s="299">
        <f>(J60+J51)*(E61/12*D61)*H61</f>
        <v>18902740.314383488</v>
      </c>
      <c r="K61" s="275"/>
    </row>
    <row r="62" spans="1:13">
      <c r="A62" s="277"/>
      <c r="B62" s="237"/>
      <c r="C62" s="399"/>
      <c r="F62" s="326"/>
      <c r="G62" s="326"/>
      <c r="H62" s="397"/>
      <c r="K62" s="275"/>
    </row>
    <row r="63" spans="1:13">
      <c r="A63" s="277"/>
      <c r="K63" s="275"/>
      <c r="M63" s="403"/>
    </row>
    <row r="64" spans="1:13">
      <c r="A64" s="277"/>
      <c r="B64" s="231" t="s">
        <v>693</v>
      </c>
      <c r="F64" s="326"/>
      <c r="G64" s="326"/>
      <c r="H64" s="397">
        <f>'New Bldg Rates'!O33</f>
        <v>0.18</v>
      </c>
      <c r="J64" s="396">
        <f>SUM(J50:J62)*H64</f>
        <v>218237468.34612331</v>
      </c>
      <c r="K64" s="275"/>
      <c r="M64" s="403"/>
    </row>
    <row r="65" spans="1:17">
      <c r="A65" s="277"/>
      <c r="K65" s="275"/>
    </row>
    <row r="66" spans="1:17">
      <c r="A66" s="277"/>
      <c r="B66" s="236" t="s">
        <v>438</v>
      </c>
      <c r="C66" s="236"/>
      <c r="D66" s="236"/>
      <c r="E66" s="236"/>
      <c r="F66" s="504"/>
      <c r="G66" s="504"/>
      <c r="H66" s="505"/>
      <c r="I66" s="506"/>
      <c r="J66" s="360">
        <f>SUM(J50:J64)</f>
        <v>1430667848.0468082</v>
      </c>
      <c r="K66" s="275"/>
    </row>
    <row r="67" spans="1:17">
      <c r="A67" s="277"/>
      <c r="F67" s="326"/>
      <c r="G67" s="326"/>
      <c r="K67" s="275"/>
    </row>
    <row r="68" spans="1:17" ht="6.75" customHeight="1">
      <c r="A68" s="308"/>
      <c r="B68" s="248"/>
      <c r="C68" s="248"/>
      <c r="D68" s="248"/>
      <c r="E68" s="248"/>
      <c r="F68" s="380"/>
      <c r="G68" s="380"/>
      <c r="H68" s="404"/>
      <c r="I68" s="404"/>
      <c r="J68" s="405"/>
      <c r="K68" s="252"/>
    </row>
    <row r="69" spans="1:17" ht="18.75">
      <c r="A69" s="354"/>
      <c r="B69" s="314" t="s">
        <v>438</v>
      </c>
      <c r="C69" s="314"/>
      <c r="D69" s="314"/>
      <c r="E69" s="407" t="s">
        <v>851</v>
      </c>
      <c r="F69" s="507">
        <f>F42</f>
        <v>1353600</v>
      </c>
      <c r="G69" s="406"/>
      <c r="H69" s="408">
        <f>J69/F69</f>
        <v>1056.9354669376539</v>
      </c>
      <c r="I69" s="409"/>
      <c r="J69" s="410">
        <f>J66</f>
        <v>1430667848.0468082</v>
      </c>
      <c r="K69" s="355"/>
    </row>
    <row r="70" spans="1:17" ht="18.75">
      <c r="A70" s="354"/>
      <c r="B70" s="314"/>
      <c r="C70" s="314"/>
      <c r="D70" s="314"/>
      <c r="E70" s="407" t="s">
        <v>970</v>
      </c>
      <c r="F70" s="507">
        <f>F43</f>
        <v>252000</v>
      </c>
      <c r="G70" s="407"/>
      <c r="H70" s="408">
        <f>J70/F70</f>
        <v>5677.2533652651118</v>
      </c>
      <c r="I70" s="409"/>
      <c r="J70" s="410">
        <f>J69</f>
        <v>1430667848.0468082</v>
      </c>
      <c r="K70" s="355"/>
      <c r="L70" s="358"/>
    </row>
    <row r="71" spans="1:17" ht="18.75">
      <c r="A71" s="354"/>
      <c r="B71" s="314"/>
      <c r="C71" s="314"/>
      <c r="D71" s="314"/>
      <c r="E71" s="407" t="s">
        <v>971</v>
      </c>
      <c r="F71" s="508">
        <f>F44</f>
        <v>4200</v>
      </c>
      <c r="G71" s="407"/>
      <c r="H71" s="509">
        <f>J71/F71</f>
        <v>340635.20191590674</v>
      </c>
      <c r="I71" s="409"/>
      <c r="J71" s="410">
        <f>J70</f>
        <v>1430667848.0468082</v>
      </c>
      <c r="K71" s="355"/>
    </row>
    <row r="72" spans="1:17" ht="6" customHeight="1">
      <c r="A72" s="322"/>
      <c r="B72" s="262"/>
      <c r="C72" s="262"/>
      <c r="D72" s="262"/>
      <c r="E72" s="262"/>
      <c r="F72" s="411"/>
      <c r="G72" s="412"/>
      <c r="H72" s="387"/>
      <c r="I72" s="387"/>
      <c r="J72" s="413"/>
      <c r="K72" s="268"/>
    </row>
    <row r="73" spans="1:17">
      <c r="A73" s="236"/>
      <c r="F73" s="326"/>
      <c r="G73" s="326"/>
    </row>
    <row r="74" spans="1:17">
      <c r="A74" s="235"/>
      <c r="F74" s="326"/>
      <c r="G74" s="326"/>
    </row>
    <row r="75" spans="1:17">
      <c r="A75" s="235"/>
      <c r="F75" s="326"/>
      <c r="G75" s="326"/>
    </row>
    <row r="76" spans="1:17">
      <c r="A76" s="235"/>
      <c r="F76" s="326"/>
      <c r="G76" s="326"/>
      <c r="M76" s="236"/>
      <c r="N76" s="236"/>
      <c r="O76" s="236"/>
      <c r="P76" s="236"/>
      <c r="Q76" s="236"/>
    </row>
    <row r="77" spans="1:17" s="236" customFormat="1">
      <c r="A77" s="235"/>
      <c r="B77" s="231"/>
      <c r="C77" s="231"/>
      <c r="D77" s="231"/>
      <c r="E77" s="231"/>
      <c r="F77" s="326"/>
      <c r="G77" s="326"/>
      <c r="H77" s="328"/>
      <c r="I77" s="328"/>
      <c r="J77" s="330"/>
      <c r="K77" s="231"/>
      <c r="M77" s="231"/>
      <c r="N77" s="231"/>
      <c r="O77" s="231"/>
      <c r="P77" s="231"/>
      <c r="Q77" s="231"/>
    </row>
    <row r="78" spans="1:17">
      <c r="A78" s="235"/>
      <c r="F78" s="326"/>
      <c r="G78" s="326"/>
      <c r="N78" s="664"/>
    </row>
    <row r="79" spans="1:17">
      <c r="A79" s="235"/>
      <c r="F79" s="326"/>
      <c r="G79" s="326"/>
    </row>
    <row r="80" spans="1:17">
      <c r="A80" s="236"/>
      <c r="F80" s="326"/>
      <c r="G80" s="326"/>
    </row>
    <row r="81" spans="1:7">
      <c r="A81" s="236"/>
      <c r="F81" s="326"/>
      <c r="G81" s="326"/>
    </row>
    <row r="82" spans="1:7">
      <c r="A82" s="236"/>
    </row>
    <row r="83" spans="1:7">
      <c r="A83" s="236"/>
    </row>
    <row r="84" spans="1:7">
      <c r="A84" s="236"/>
    </row>
    <row r="85" spans="1:7">
      <c r="A85" s="236"/>
      <c r="E85" s="287"/>
      <c r="F85" s="326"/>
      <c r="G85" s="326"/>
    </row>
    <row r="86" spans="1:7">
      <c r="A86" s="236"/>
    </row>
    <row r="87" spans="1:7">
      <c r="A87" s="236"/>
    </row>
    <row r="88" spans="1:7">
      <c r="A88" s="236"/>
    </row>
    <row r="89" spans="1:7">
      <c r="A89" s="236"/>
    </row>
    <row r="90" spans="1:7">
      <c r="A90" s="236"/>
    </row>
    <row r="91" spans="1:7">
      <c r="A91" s="236"/>
    </row>
    <row r="92" spans="1:7">
      <c r="A92" s="236"/>
    </row>
    <row r="93" spans="1:7">
      <c r="A93" s="236"/>
    </row>
    <row r="94" spans="1:7">
      <c r="A94" s="236"/>
    </row>
    <row r="95" spans="1:7">
      <c r="A95" s="236"/>
    </row>
    <row r="96" spans="1:7">
      <c r="A96" s="236"/>
    </row>
    <row r="97" spans="1:1">
      <c r="A97" s="236"/>
    </row>
    <row r="98" spans="1:1">
      <c r="A98" s="236"/>
    </row>
    <row r="99" spans="1:1">
      <c r="A99" s="236"/>
    </row>
    <row r="100" spans="1:1">
      <c r="A100" s="236"/>
    </row>
  </sheetData>
  <mergeCells count="10">
    <mergeCell ref="A16:F16"/>
    <mergeCell ref="A17:F17"/>
    <mergeCell ref="R18:R19"/>
    <mergeCell ref="R20:R21"/>
    <mergeCell ref="A3:K3"/>
    <mergeCell ref="A5:K5"/>
    <mergeCell ref="A7:K7"/>
    <mergeCell ref="A11:K11"/>
    <mergeCell ref="A15:F15"/>
    <mergeCell ref="H15:K15"/>
  </mergeCells>
  <printOptions horizontalCentered="1"/>
  <pageMargins left="0.39370078740157483" right="0.31496062992125984" top="0.42" bottom="0.4" header="0.51181102362204722" footer="0.16"/>
  <pageSetup paperSize="8" scale="80" firstPageNumber="15" orientation="landscape" useFirstPageNumber="1" r:id="rId1"/>
  <headerFooter alignWithMargins="0">
    <oddHeader>&amp;C&amp;"Calibri"&amp;10&amp;K000000Confidential&amp;1#</oddHeader>
    <oddFooter>&amp;C- &amp;P -&amp;R&amp;1#&amp;"Calibri"&amp;10&amp;K000000Confidential</oddFooter>
  </headerFooter>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0">
    <tabColor rgb="FFFF0000"/>
  </sheetPr>
  <dimension ref="B1:L55"/>
  <sheetViews>
    <sheetView topLeftCell="A3" workbookViewId="0">
      <selection activeCell="M54" sqref="M54"/>
    </sheetView>
  </sheetViews>
  <sheetFormatPr defaultRowHeight="15"/>
  <cols>
    <col min="1" max="1" width="4.7109375" customWidth="1"/>
    <col min="6" max="6" width="36.7109375" customWidth="1"/>
    <col min="7" max="7" width="16.85546875" customWidth="1"/>
    <col min="8" max="8" width="22.5703125" customWidth="1"/>
    <col min="9" max="9" width="22" customWidth="1"/>
    <col min="10" max="10" width="22.42578125" customWidth="1"/>
    <col min="11" max="11" width="18" customWidth="1"/>
    <col min="12" max="12" width="10.42578125" bestFit="1" customWidth="1"/>
  </cols>
  <sheetData>
    <row r="1" spans="2:12">
      <c r="H1" s="27"/>
      <c r="I1" s="27"/>
    </row>
    <row r="2" spans="2:12" ht="45">
      <c r="B2" s="2032" t="s">
        <v>972</v>
      </c>
      <c r="C2" s="2033"/>
      <c r="D2" s="2033"/>
      <c r="E2" s="2033"/>
      <c r="F2" s="2033"/>
      <c r="G2" s="2033"/>
      <c r="H2" s="28" t="s">
        <v>973</v>
      </c>
      <c r="I2" s="28" t="s">
        <v>974</v>
      </c>
      <c r="J2" s="143" t="s">
        <v>975</v>
      </c>
      <c r="K2" s="144" t="s">
        <v>976</v>
      </c>
    </row>
    <row r="3" spans="2:12">
      <c r="B3" s="2040" t="s">
        <v>977</v>
      </c>
      <c r="C3" s="2041"/>
      <c r="D3" s="2041"/>
      <c r="E3" s="2041"/>
      <c r="F3" s="2041"/>
      <c r="G3" s="2041"/>
      <c r="H3" s="96"/>
      <c r="I3" s="97"/>
      <c r="J3" s="98"/>
      <c r="K3" s="145"/>
    </row>
    <row r="4" spans="2:12">
      <c r="B4" s="2038" t="s">
        <v>978</v>
      </c>
      <c r="C4" s="2039"/>
      <c r="D4" s="2039"/>
      <c r="E4" s="2039"/>
      <c r="F4" s="2039"/>
      <c r="G4" s="2039"/>
      <c r="H4" s="96"/>
      <c r="I4" s="97"/>
      <c r="J4" s="98"/>
      <c r="K4" s="145"/>
    </row>
    <row r="5" spans="2:12" ht="15" customHeight="1">
      <c r="B5" s="2034" t="s">
        <v>979</v>
      </c>
      <c r="C5" s="2035"/>
      <c r="D5" s="2035"/>
      <c r="E5" s="2035"/>
      <c r="F5" s="2035"/>
      <c r="G5" s="2035"/>
      <c r="H5" s="96"/>
      <c r="I5" s="97"/>
      <c r="J5" s="98"/>
      <c r="K5" s="145"/>
    </row>
    <row r="6" spans="2:12" ht="42" customHeight="1">
      <c r="B6" s="2036"/>
      <c r="C6" s="2037"/>
      <c r="D6" s="2037"/>
      <c r="E6" s="2037"/>
      <c r="F6" s="2037"/>
      <c r="G6" s="2037"/>
      <c r="H6" s="96"/>
      <c r="I6" s="97"/>
      <c r="J6" s="98"/>
      <c r="K6" s="145"/>
    </row>
    <row r="7" spans="2:12">
      <c r="B7" s="11" t="s">
        <v>980</v>
      </c>
      <c r="C7" s="11"/>
      <c r="D7" s="11"/>
      <c r="E7" s="11"/>
      <c r="F7" s="11"/>
      <c r="G7" s="11"/>
      <c r="H7" s="99"/>
      <c r="I7" s="100"/>
      <c r="J7" s="101"/>
      <c r="K7" s="146"/>
      <c r="L7" t="s">
        <v>190</v>
      </c>
    </row>
    <row r="8" spans="2:12">
      <c r="B8" s="84" t="s">
        <v>981</v>
      </c>
      <c r="C8" s="85"/>
      <c r="D8" s="85"/>
      <c r="E8" s="85"/>
      <c r="F8" s="85"/>
      <c r="G8" s="85"/>
      <c r="H8" s="96"/>
      <c r="I8" s="97"/>
      <c r="J8" s="98"/>
      <c r="K8" s="145"/>
    </row>
    <row r="9" spans="2:12">
      <c r="B9" s="86" t="s">
        <v>982</v>
      </c>
      <c r="G9" s="92">
        <v>3500</v>
      </c>
      <c r="H9" s="102">
        <v>1770</v>
      </c>
      <c r="I9" s="103">
        <f>H9*(167.2/145-1)+H9</f>
        <v>2040.9931034482756</v>
      </c>
      <c r="J9" s="104">
        <f>G9-I9</f>
        <v>1459.0068965517244</v>
      </c>
      <c r="K9" s="146">
        <f>H9*(173/145-1)+H9</f>
        <v>2111.7931034482758</v>
      </c>
    </row>
    <row r="10" spans="2:12">
      <c r="B10" s="86" t="s">
        <v>983</v>
      </c>
      <c r="G10" s="92">
        <v>3700</v>
      </c>
      <c r="H10" s="102">
        <v>1840</v>
      </c>
      <c r="I10" s="103">
        <f t="shared" ref="I10:I54" si="0">H10*(167.2/145-1)+H10</f>
        <v>2121.7103448275861</v>
      </c>
      <c r="J10" s="104">
        <f t="shared" ref="J10:J54" si="1">G10-I10</f>
        <v>1578.2896551724139</v>
      </c>
      <c r="K10" s="146">
        <f t="shared" ref="K10:K54" si="2">H10*(173/145-1)+H10</f>
        <v>2195.3103448275861</v>
      </c>
    </row>
    <row r="11" spans="2:12">
      <c r="B11" s="86" t="s">
        <v>984</v>
      </c>
      <c r="G11" s="92">
        <v>4600</v>
      </c>
      <c r="H11" s="102">
        <v>2090</v>
      </c>
      <c r="I11" s="103">
        <f t="shared" si="0"/>
        <v>2409.9862068965517</v>
      </c>
      <c r="J11" s="104">
        <f t="shared" si="1"/>
        <v>2190.0137931034483</v>
      </c>
      <c r="K11" s="146">
        <f t="shared" si="2"/>
        <v>2493.5862068965516</v>
      </c>
      <c r="L11" s="92">
        <f>SUM(K9:K11)</f>
        <v>6800.6896551724139</v>
      </c>
    </row>
    <row r="12" spans="2:12">
      <c r="B12" s="87"/>
      <c r="C12" s="88"/>
      <c r="D12" s="88"/>
      <c r="E12" s="88"/>
      <c r="F12" s="88"/>
      <c r="G12" s="93"/>
      <c r="H12" s="102"/>
      <c r="I12" s="103">
        <f t="shared" si="0"/>
        <v>0</v>
      </c>
      <c r="J12" s="104">
        <f t="shared" si="1"/>
        <v>0</v>
      </c>
      <c r="K12" s="146">
        <f t="shared" si="2"/>
        <v>0</v>
      </c>
      <c r="L12" s="92">
        <f>L11/3</f>
        <v>2266.8965517241381</v>
      </c>
    </row>
    <row r="13" spans="2:12">
      <c r="B13" s="11" t="s">
        <v>985</v>
      </c>
      <c r="C13" s="11"/>
      <c r="D13" s="11"/>
      <c r="E13" s="11"/>
      <c r="F13" s="11"/>
      <c r="G13" s="83"/>
      <c r="H13" s="105"/>
      <c r="I13" s="103">
        <f t="shared" si="0"/>
        <v>0</v>
      </c>
      <c r="J13" s="104">
        <f t="shared" si="1"/>
        <v>0</v>
      </c>
      <c r="K13" s="146">
        <f t="shared" si="2"/>
        <v>0</v>
      </c>
    </row>
    <row r="14" spans="2:12">
      <c r="B14" s="84" t="s">
        <v>986</v>
      </c>
      <c r="C14" s="85"/>
      <c r="D14" s="85"/>
      <c r="E14" s="85"/>
      <c r="F14" s="85"/>
      <c r="G14" s="94"/>
      <c r="H14" s="102"/>
      <c r="I14" s="103">
        <f t="shared" si="0"/>
        <v>0</v>
      </c>
      <c r="J14" s="104">
        <f t="shared" si="1"/>
        <v>0</v>
      </c>
      <c r="K14" s="146">
        <f t="shared" si="2"/>
        <v>0</v>
      </c>
    </row>
    <row r="15" spans="2:12">
      <c r="B15" s="86" t="s">
        <v>987</v>
      </c>
      <c r="G15" s="92">
        <v>115000</v>
      </c>
      <c r="H15" s="102">
        <f>660*(101*1)</f>
        <v>66660</v>
      </c>
      <c r="I15" s="103">
        <f t="shared" si="0"/>
        <v>76865.875862068962</v>
      </c>
      <c r="J15" s="104">
        <f t="shared" si="1"/>
        <v>38134.124137931038</v>
      </c>
      <c r="K15" s="146">
        <f t="shared" si="2"/>
        <v>79532.275862068956</v>
      </c>
    </row>
    <row r="16" spans="2:12">
      <c r="B16" s="89" t="s">
        <v>988</v>
      </c>
      <c r="G16" s="92">
        <v>97000</v>
      </c>
      <c r="H16" s="102">
        <f>660*(85*1)</f>
        <v>56100</v>
      </c>
      <c r="I16" s="103">
        <f t="shared" si="0"/>
        <v>64689.103448275855</v>
      </c>
      <c r="J16" s="104">
        <f t="shared" si="1"/>
        <v>32310.896551724145</v>
      </c>
      <c r="K16" s="146">
        <f t="shared" si="2"/>
        <v>66933.103448275855</v>
      </c>
    </row>
    <row r="17" spans="2:11">
      <c r="B17" s="89" t="s">
        <v>989</v>
      </c>
      <c r="G17" s="92">
        <v>56000</v>
      </c>
      <c r="H17" s="102">
        <f>(570*49*1)</f>
        <v>27930</v>
      </c>
      <c r="I17" s="103">
        <f t="shared" si="0"/>
        <v>32206.179310344825</v>
      </c>
      <c r="J17" s="104">
        <f t="shared" si="1"/>
        <v>23793.820689655175</v>
      </c>
      <c r="K17" s="146">
        <f t="shared" si="2"/>
        <v>33323.379310344826</v>
      </c>
    </row>
    <row r="18" spans="2:11">
      <c r="B18" s="87"/>
      <c r="C18" s="88"/>
      <c r="D18" s="88"/>
      <c r="E18" s="88"/>
      <c r="F18" s="88"/>
      <c r="G18" s="93"/>
      <c r="H18" s="102"/>
      <c r="I18" s="103">
        <f t="shared" si="0"/>
        <v>0</v>
      </c>
      <c r="J18" s="104">
        <f t="shared" si="1"/>
        <v>0</v>
      </c>
      <c r="K18" s="146">
        <f t="shared" si="2"/>
        <v>0</v>
      </c>
    </row>
    <row r="19" spans="2:11">
      <c r="B19" s="26" t="s">
        <v>669</v>
      </c>
      <c r="C19" s="11"/>
      <c r="D19" s="11"/>
      <c r="E19" s="11"/>
      <c r="F19" s="11"/>
      <c r="G19" s="83"/>
      <c r="H19" s="105"/>
      <c r="I19" s="103">
        <f t="shared" si="0"/>
        <v>0</v>
      </c>
      <c r="J19" s="104">
        <f t="shared" si="1"/>
        <v>0</v>
      </c>
      <c r="K19" s="146">
        <f t="shared" si="2"/>
        <v>0</v>
      </c>
    </row>
    <row r="20" spans="2:11">
      <c r="B20" s="84" t="s">
        <v>986</v>
      </c>
      <c r="C20" s="85"/>
      <c r="D20" s="85"/>
      <c r="E20" s="85"/>
      <c r="F20" s="85"/>
      <c r="G20" s="94"/>
      <c r="H20" s="102"/>
      <c r="I20" s="103">
        <f t="shared" si="0"/>
        <v>0</v>
      </c>
      <c r="J20" s="104">
        <f t="shared" si="1"/>
        <v>0</v>
      </c>
      <c r="K20" s="146">
        <f t="shared" si="2"/>
        <v>0</v>
      </c>
    </row>
    <row r="21" spans="2:11">
      <c r="B21" s="86" t="s">
        <v>990</v>
      </c>
      <c r="G21" s="92">
        <v>11900</v>
      </c>
      <c r="H21" s="106">
        <f>700*10</f>
        <v>7000</v>
      </c>
      <c r="I21" s="103">
        <f t="shared" si="0"/>
        <v>8071.7241379310335</v>
      </c>
      <c r="J21" s="104">
        <f t="shared" si="1"/>
        <v>3828.2758620689665</v>
      </c>
      <c r="K21" s="146">
        <f t="shared" si="2"/>
        <v>8351.7241379310344</v>
      </c>
    </row>
    <row r="22" spans="2:11">
      <c r="B22" s="86" t="s">
        <v>991</v>
      </c>
      <c r="G22" s="92">
        <v>15200</v>
      </c>
      <c r="H22" s="102">
        <f>760*10</f>
        <v>7600</v>
      </c>
      <c r="I22" s="103">
        <f t="shared" si="0"/>
        <v>8763.5862068965507</v>
      </c>
      <c r="J22" s="104">
        <f t="shared" si="1"/>
        <v>6436.4137931034493</v>
      </c>
      <c r="K22" s="146">
        <f t="shared" si="2"/>
        <v>9067.5862068965507</v>
      </c>
    </row>
    <row r="23" spans="2:11">
      <c r="B23" s="87"/>
      <c r="C23" s="88"/>
      <c r="D23" s="88"/>
      <c r="E23" s="88"/>
      <c r="F23" s="88"/>
      <c r="G23" s="93"/>
      <c r="H23" s="102"/>
      <c r="I23" s="103">
        <f t="shared" si="0"/>
        <v>0</v>
      </c>
      <c r="J23" s="104">
        <f t="shared" si="1"/>
        <v>0</v>
      </c>
      <c r="K23" s="146">
        <f t="shared" si="2"/>
        <v>0</v>
      </c>
    </row>
    <row r="24" spans="2:11">
      <c r="B24" s="11" t="s">
        <v>992</v>
      </c>
      <c r="C24" s="11"/>
      <c r="D24" s="11"/>
      <c r="E24" s="11"/>
      <c r="F24" s="11"/>
      <c r="G24" s="83"/>
      <c r="H24" s="105"/>
      <c r="I24" s="103">
        <f t="shared" si="0"/>
        <v>0</v>
      </c>
      <c r="J24" s="104">
        <f t="shared" si="1"/>
        <v>0</v>
      </c>
      <c r="K24" s="146">
        <f t="shared" si="2"/>
        <v>0</v>
      </c>
    </row>
    <row r="25" spans="2:11">
      <c r="B25" s="84" t="s">
        <v>986</v>
      </c>
      <c r="C25" s="85"/>
      <c r="D25" s="85"/>
      <c r="E25" s="85"/>
      <c r="F25" s="85"/>
      <c r="G25" s="94"/>
      <c r="H25" s="102"/>
      <c r="I25" s="103">
        <f t="shared" si="0"/>
        <v>0</v>
      </c>
      <c r="J25" s="104">
        <f t="shared" si="1"/>
        <v>0</v>
      </c>
      <c r="K25" s="146">
        <f t="shared" si="2"/>
        <v>0</v>
      </c>
    </row>
    <row r="26" spans="2:11">
      <c r="B26" s="86" t="s">
        <v>993</v>
      </c>
      <c r="G26" s="92">
        <v>82000</v>
      </c>
      <c r="H26" s="102">
        <f>1070*70</f>
        <v>74900</v>
      </c>
      <c r="I26" s="103">
        <f t="shared" si="0"/>
        <v>86367.448275862058</v>
      </c>
      <c r="J26" s="104">
        <f t="shared" si="1"/>
        <v>-4367.4482758620579</v>
      </c>
      <c r="K26" s="146">
        <f t="shared" si="2"/>
        <v>89363.448275862058</v>
      </c>
    </row>
    <row r="27" spans="2:11">
      <c r="B27" s="87"/>
      <c r="C27" s="88"/>
      <c r="D27" s="88"/>
      <c r="E27" s="88"/>
      <c r="F27" s="88"/>
      <c r="G27" s="93"/>
      <c r="H27" s="102"/>
      <c r="I27" s="103">
        <f t="shared" si="0"/>
        <v>0</v>
      </c>
      <c r="J27" s="104">
        <f t="shared" si="1"/>
        <v>0</v>
      </c>
      <c r="K27" s="146">
        <f t="shared" si="2"/>
        <v>0</v>
      </c>
    </row>
    <row r="28" spans="2:11">
      <c r="B28" s="11" t="s">
        <v>994</v>
      </c>
      <c r="C28" s="11"/>
      <c r="D28" s="11"/>
      <c r="E28" s="11"/>
      <c r="F28" s="11"/>
      <c r="G28" s="83"/>
      <c r="H28" s="105"/>
      <c r="I28" s="103">
        <f t="shared" si="0"/>
        <v>0</v>
      </c>
      <c r="J28" s="104">
        <f t="shared" si="1"/>
        <v>0</v>
      </c>
      <c r="K28" s="146">
        <f t="shared" si="2"/>
        <v>0</v>
      </c>
    </row>
    <row r="29" spans="2:11">
      <c r="B29" s="84" t="s">
        <v>986</v>
      </c>
      <c r="C29" s="85"/>
      <c r="D29" s="85"/>
      <c r="E29" s="85"/>
      <c r="F29" s="85"/>
      <c r="G29" s="94"/>
      <c r="H29" s="102"/>
      <c r="I29" s="103">
        <f t="shared" si="0"/>
        <v>0</v>
      </c>
      <c r="J29" s="104">
        <f t="shared" si="1"/>
        <v>0</v>
      </c>
      <c r="K29" s="146">
        <f t="shared" si="2"/>
        <v>0</v>
      </c>
    </row>
    <row r="30" spans="2:11">
      <c r="B30" s="86" t="s">
        <v>995</v>
      </c>
      <c r="G30" s="92">
        <v>191000</v>
      </c>
      <c r="H30" s="102">
        <f>1430*60</f>
        <v>85800</v>
      </c>
      <c r="I30" s="103">
        <f t="shared" si="0"/>
        <v>98936.275862068956</v>
      </c>
      <c r="J30" s="104">
        <f t="shared" si="1"/>
        <v>92063.724137931044</v>
      </c>
      <c r="K30" s="146">
        <f t="shared" si="2"/>
        <v>102368.27586206896</v>
      </c>
    </row>
    <row r="31" spans="2:11">
      <c r="B31" s="87"/>
      <c r="C31" s="88"/>
      <c r="D31" s="88"/>
      <c r="E31" s="88"/>
      <c r="F31" s="88"/>
      <c r="G31" s="93"/>
      <c r="H31" s="102"/>
      <c r="I31" s="103">
        <f t="shared" si="0"/>
        <v>0</v>
      </c>
      <c r="J31" s="104">
        <f t="shared" si="1"/>
        <v>0</v>
      </c>
      <c r="K31" s="146">
        <f t="shared" si="2"/>
        <v>0</v>
      </c>
    </row>
    <row r="32" spans="2:11">
      <c r="B32" s="11" t="s">
        <v>996</v>
      </c>
      <c r="C32" s="11"/>
      <c r="D32" s="11"/>
      <c r="E32" s="11"/>
      <c r="F32" s="11"/>
      <c r="G32" s="83"/>
      <c r="H32" s="105"/>
      <c r="I32" s="103">
        <f t="shared" si="0"/>
        <v>0</v>
      </c>
      <c r="J32" s="104">
        <f t="shared" si="1"/>
        <v>0</v>
      </c>
      <c r="K32" s="146">
        <f t="shared" si="2"/>
        <v>0</v>
      </c>
    </row>
    <row r="33" spans="2:11">
      <c r="B33" s="84" t="s">
        <v>997</v>
      </c>
      <c r="C33" s="85"/>
      <c r="D33" s="85"/>
      <c r="E33" s="85"/>
      <c r="F33" s="85"/>
      <c r="G33" s="94"/>
      <c r="H33" s="102"/>
      <c r="I33" s="103">
        <f t="shared" si="0"/>
        <v>0</v>
      </c>
      <c r="J33" s="104">
        <f t="shared" si="1"/>
        <v>0</v>
      </c>
      <c r="K33" s="146">
        <f t="shared" si="2"/>
        <v>0</v>
      </c>
    </row>
    <row r="34" spans="2:11">
      <c r="B34" s="86" t="s">
        <v>998</v>
      </c>
      <c r="G34" s="92"/>
      <c r="H34" s="102"/>
      <c r="I34" s="103">
        <f t="shared" si="0"/>
        <v>0</v>
      </c>
      <c r="J34" s="104">
        <f t="shared" si="1"/>
        <v>0</v>
      </c>
      <c r="K34" s="146">
        <f t="shared" si="2"/>
        <v>0</v>
      </c>
    </row>
    <row r="35" spans="2:11">
      <c r="B35" s="86" t="s">
        <v>999</v>
      </c>
      <c r="G35" s="92">
        <v>126000</v>
      </c>
      <c r="H35" s="102">
        <v>76500</v>
      </c>
      <c r="I35" s="103">
        <f t="shared" si="0"/>
        <v>88212.413793103449</v>
      </c>
      <c r="J35" s="104">
        <f t="shared" si="1"/>
        <v>37787.586206896551</v>
      </c>
      <c r="K35" s="146">
        <f t="shared" si="2"/>
        <v>91272.413793103449</v>
      </c>
    </row>
    <row r="36" spans="2:11">
      <c r="B36" s="86" t="s">
        <v>1000</v>
      </c>
      <c r="G36" s="92">
        <v>193000</v>
      </c>
      <c r="H36" s="102">
        <v>117000</v>
      </c>
      <c r="I36" s="103">
        <f t="shared" si="0"/>
        <v>134913.10344827586</v>
      </c>
      <c r="J36" s="104">
        <f t="shared" si="1"/>
        <v>58086.896551724145</v>
      </c>
      <c r="K36" s="146">
        <f t="shared" si="2"/>
        <v>139593.10344827586</v>
      </c>
    </row>
    <row r="37" spans="2:11">
      <c r="B37" s="86" t="s">
        <v>1001</v>
      </c>
      <c r="G37" s="92">
        <v>19300</v>
      </c>
      <c r="H37" s="102">
        <v>11700</v>
      </c>
      <c r="I37" s="103">
        <f t="shared" si="0"/>
        <v>13491.310344827585</v>
      </c>
      <c r="J37" s="104">
        <f t="shared" si="1"/>
        <v>5808.6896551724149</v>
      </c>
      <c r="K37" s="146">
        <f t="shared" si="2"/>
        <v>13959.310344827585</v>
      </c>
    </row>
    <row r="38" spans="2:11">
      <c r="B38" s="86"/>
      <c r="G38" s="92"/>
      <c r="H38" s="102"/>
      <c r="I38" s="103">
        <f t="shared" si="0"/>
        <v>0</v>
      </c>
      <c r="J38" s="104">
        <f t="shared" si="1"/>
        <v>0</v>
      </c>
      <c r="K38" s="146">
        <f t="shared" si="2"/>
        <v>0</v>
      </c>
    </row>
    <row r="39" spans="2:11">
      <c r="B39" s="87">
        <v>53</v>
      </c>
      <c r="C39" s="88"/>
      <c r="D39" s="88"/>
      <c r="E39" s="88"/>
      <c r="F39" s="88"/>
      <c r="G39" s="93"/>
      <c r="H39" s="102"/>
      <c r="I39" s="103">
        <f t="shared" si="0"/>
        <v>0</v>
      </c>
      <c r="J39" s="104">
        <f t="shared" si="1"/>
        <v>0</v>
      </c>
      <c r="K39" s="146">
        <f t="shared" si="2"/>
        <v>0</v>
      </c>
    </row>
    <row r="40" spans="2:11">
      <c r="B40" s="11" t="s">
        <v>1002</v>
      </c>
      <c r="C40" s="11"/>
      <c r="D40" s="11"/>
      <c r="E40" s="11"/>
      <c r="F40" s="11"/>
      <c r="G40" s="83"/>
      <c r="H40" s="105"/>
      <c r="I40" s="103">
        <f t="shared" si="0"/>
        <v>0</v>
      </c>
      <c r="J40" s="104">
        <f t="shared" si="1"/>
        <v>0</v>
      </c>
      <c r="K40" s="146">
        <f t="shared" si="2"/>
        <v>0</v>
      </c>
    </row>
    <row r="41" spans="2:11">
      <c r="B41" s="84" t="s">
        <v>1003</v>
      </c>
      <c r="C41" s="85"/>
      <c r="D41" s="85"/>
      <c r="E41" s="85"/>
      <c r="F41" s="85"/>
      <c r="G41" s="94">
        <v>5800</v>
      </c>
      <c r="H41" s="102">
        <v>3500</v>
      </c>
      <c r="I41" s="103">
        <f t="shared" si="0"/>
        <v>4035.8620689655168</v>
      </c>
      <c r="J41" s="104">
        <f t="shared" si="1"/>
        <v>1764.1379310344832</v>
      </c>
      <c r="K41" s="146">
        <f t="shared" si="2"/>
        <v>4175.8620689655172</v>
      </c>
    </row>
    <row r="42" spans="2:11">
      <c r="B42" s="86" t="s">
        <v>1004</v>
      </c>
      <c r="G42" s="92"/>
      <c r="H42" s="102"/>
      <c r="I42" s="103">
        <f t="shared" si="0"/>
        <v>0</v>
      </c>
      <c r="J42" s="104">
        <f t="shared" si="1"/>
        <v>0</v>
      </c>
      <c r="K42" s="146">
        <f t="shared" si="2"/>
        <v>0</v>
      </c>
    </row>
    <row r="43" spans="2:11">
      <c r="B43" s="86" t="s">
        <v>1005</v>
      </c>
      <c r="G43" s="92">
        <v>11000000</v>
      </c>
      <c r="H43" s="102">
        <v>6500000</v>
      </c>
      <c r="I43" s="103">
        <f t="shared" si="0"/>
        <v>7495172.4137931028</v>
      </c>
      <c r="J43" s="104">
        <f t="shared" si="1"/>
        <v>3504827.5862068972</v>
      </c>
      <c r="K43" s="146">
        <f t="shared" si="2"/>
        <v>7755172.4137931028</v>
      </c>
    </row>
    <row r="44" spans="2:11">
      <c r="B44" s="86" t="s">
        <v>1006</v>
      </c>
      <c r="G44" s="92"/>
      <c r="H44" s="102"/>
      <c r="I44" s="103">
        <f t="shared" si="0"/>
        <v>0</v>
      </c>
      <c r="J44" s="104">
        <f t="shared" si="1"/>
        <v>0</v>
      </c>
      <c r="K44" s="146">
        <f t="shared" si="2"/>
        <v>0</v>
      </c>
    </row>
    <row r="45" spans="2:11">
      <c r="B45" s="86" t="s">
        <v>1007</v>
      </c>
      <c r="G45" s="92">
        <v>33000000</v>
      </c>
      <c r="H45" s="102">
        <v>20000000</v>
      </c>
      <c r="I45" s="103">
        <f t="shared" si="0"/>
        <v>23062068.965517238</v>
      </c>
      <c r="J45" s="104">
        <f t="shared" si="1"/>
        <v>9937931.0344827622</v>
      </c>
      <c r="K45" s="146">
        <f t="shared" si="2"/>
        <v>23862068.965517242</v>
      </c>
    </row>
    <row r="46" spans="2:11">
      <c r="B46" s="86" t="s">
        <v>1006</v>
      </c>
      <c r="G46" s="92"/>
      <c r="H46" s="102"/>
      <c r="I46" s="103">
        <f t="shared" si="0"/>
        <v>0</v>
      </c>
      <c r="J46" s="104">
        <f t="shared" si="1"/>
        <v>0</v>
      </c>
      <c r="K46" s="146">
        <f t="shared" si="2"/>
        <v>0</v>
      </c>
    </row>
    <row r="47" spans="2:11">
      <c r="B47" s="90"/>
      <c r="C47" s="91"/>
      <c r="D47" s="91"/>
      <c r="E47" s="91"/>
      <c r="F47" s="91"/>
      <c r="G47" s="95"/>
      <c r="H47" s="102"/>
      <c r="I47" s="103">
        <f t="shared" si="0"/>
        <v>0</v>
      </c>
      <c r="J47" s="104">
        <f t="shared" si="1"/>
        <v>0</v>
      </c>
      <c r="K47" s="146">
        <f t="shared" si="2"/>
        <v>0</v>
      </c>
    </row>
    <row r="48" spans="2:11">
      <c r="B48" s="11" t="s">
        <v>1008</v>
      </c>
      <c r="C48" s="11"/>
      <c r="D48" s="11"/>
      <c r="E48" s="11"/>
      <c r="F48" s="11"/>
      <c r="G48" s="83"/>
      <c r="H48" s="102"/>
      <c r="I48" s="103">
        <f t="shared" si="0"/>
        <v>0</v>
      </c>
      <c r="J48" s="104">
        <f t="shared" si="1"/>
        <v>0</v>
      </c>
      <c r="K48" s="146">
        <f t="shared" si="2"/>
        <v>0</v>
      </c>
    </row>
    <row r="49" spans="2:11">
      <c r="B49" s="84" t="s">
        <v>1009</v>
      </c>
      <c r="C49" s="85"/>
      <c r="D49" s="85"/>
      <c r="E49" s="85"/>
      <c r="F49" s="85"/>
      <c r="G49" s="94"/>
      <c r="H49" s="102"/>
      <c r="I49" s="103">
        <f t="shared" si="0"/>
        <v>0</v>
      </c>
      <c r="J49" s="104">
        <f t="shared" si="1"/>
        <v>0</v>
      </c>
      <c r="K49" s="146">
        <f t="shared" si="2"/>
        <v>0</v>
      </c>
    </row>
    <row r="50" spans="2:11">
      <c r="B50" s="86" t="s">
        <v>981</v>
      </c>
      <c r="G50" s="92"/>
      <c r="H50" s="102"/>
      <c r="I50" s="103">
        <f t="shared" si="0"/>
        <v>0</v>
      </c>
      <c r="J50" s="104">
        <f t="shared" si="1"/>
        <v>0</v>
      </c>
      <c r="K50" s="146">
        <f t="shared" si="2"/>
        <v>0</v>
      </c>
    </row>
    <row r="51" spans="2:11">
      <c r="B51" s="86" t="s">
        <v>1010</v>
      </c>
      <c r="G51" s="92">
        <v>19500</v>
      </c>
      <c r="H51" s="102">
        <v>11700</v>
      </c>
      <c r="I51" s="103">
        <f t="shared" si="0"/>
        <v>13491.310344827585</v>
      </c>
      <c r="J51" s="104">
        <f>G51-I51</f>
        <v>6008.6896551724149</v>
      </c>
      <c r="K51" s="146">
        <f t="shared" si="2"/>
        <v>13959.310344827585</v>
      </c>
    </row>
    <row r="52" spans="2:11">
      <c r="B52" s="86" t="s">
        <v>1011</v>
      </c>
      <c r="G52" s="92">
        <v>20500</v>
      </c>
      <c r="H52" s="102">
        <v>12200</v>
      </c>
      <c r="I52" s="103">
        <f t="shared" si="0"/>
        <v>14067.862068965516</v>
      </c>
      <c r="J52" s="104">
        <f t="shared" si="1"/>
        <v>6432.1379310344837</v>
      </c>
      <c r="K52" s="146">
        <f t="shared" si="2"/>
        <v>14555.862068965516</v>
      </c>
    </row>
    <row r="53" spans="2:11">
      <c r="B53" s="86" t="s">
        <v>1012</v>
      </c>
      <c r="G53" s="92">
        <v>7500000</v>
      </c>
      <c r="H53" s="102">
        <v>4300000</v>
      </c>
      <c r="I53" s="103">
        <f t="shared" si="0"/>
        <v>4958344.8275862066</v>
      </c>
      <c r="J53" s="104">
        <f t="shared" si="1"/>
        <v>2541655.1724137934</v>
      </c>
      <c r="K53" s="146">
        <f t="shared" si="2"/>
        <v>5130344.8275862066</v>
      </c>
    </row>
    <row r="54" spans="2:11">
      <c r="B54" s="87" t="s">
        <v>1013</v>
      </c>
      <c r="C54" s="88"/>
      <c r="D54" s="88"/>
      <c r="E54" s="88"/>
      <c r="F54" s="88"/>
      <c r="G54" s="93">
        <v>1100000</v>
      </c>
      <c r="H54" s="107">
        <v>655000</v>
      </c>
      <c r="I54" s="103">
        <f t="shared" si="0"/>
        <v>755282.75862068962</v>
      </c>
      <c r="J54" s="108">
        <f t="shared" si="1"/>
        <v>344717.24137931038</v>
      </c>
      <c r="K54" s="146">
        <f t="shared" si="2"/>
        <v>781482.75862068962</v>
      </c>
    </row>
    <row r="55" spans="2:11">
      <c r="I55" s="29"/>
    </row>
  </sheetData>
  <mergeCells count="4">
    <mergeCell ref="B2:G2"/>
    <mergeCell ref="B5:G6"/>
    <mergeCell ref="B4:G4"/>
    <mergeCell ref="B3:G3"/>
  </mergeCells>
  <pageMargins left="0.7" right="0.7" top="0.75" bottom="0.75" header="0.3" footer="0.3"/>
  <pageSetup paperSize="8" orientation="portrait" r:id="rId1"/>
  <headerFooter>
    <oddHeader>&amp;C&amp;"Calibri"&amp;10&amp;K000000Confidential&amp;1#</oddHeader>
    <oddFooter>&amp;R&amp;1#&amp;"Calibri"&amp;10&amp;K000000Confidential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61405AA2F1B714889DAD866107A5AA0" ma:contentTypeVersion="0" ma:contentTypeDescription="Create a new document." ma:contentTypeScope="" ma:versionID="66d3d8dca05b3d0d0a10c4a261e355e9">
  <xsd:schema xmlns:xsd="http://www.w3.org/2001/XMLSchema" xmlns:xs="http://www.w3.org/2001/XMLSchema" xmlns:p="http://schemas.microsoft.com/office/2006/metadata/properties" targetNamespace="http://schemas.microsoft.com/office/2006/metadata/properties" ma:root="true" ma:fieldsID="1b05d82d297216baf5b26c55225140d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1186E85-534C-4C45-8A1F-9A1E7D1FE0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1565CF52-A556-46F9-8A02-3C5DC777789E}">
  <ds:schemaRefs>
    <ds:schemaRef ds:uri="http://purl.org/dc/term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8319DB1D-6207-4E93-869F-A1430AFA2CF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41</vt:i4>
      </vt:variant>
      <vt:variant>
        <vt:lpstr>Named Ranges</vt:lpstr>
      </vt:variant>
      <vt:variant>
        <vt:i4>25</vt:i4>
      </vt:variant>
    </vt:vector>
  </HeadingPairs>
  <TitlesOfParts>
    <vt:vector size="66" baseType="lpstr">
      <vt:lpstr>Project Life Cycle</vt:lpstr>
      <vt:lpstr>Estimating Classification</vt:lpstr>
      <vt:lpstr>Escalation</vt:lpstr>
      <vt:lpstr>BER Bldg Cost Report 2021Q4</vt:lpstr>
      <vt:lpstr>Trend Analysis</vt:lpstr>
      <vt:lpstr>Assumptions</vt:lpstr>
      <vt:lpstr>New Bldg Rates</vt:lpstr>
      <vt:lpstr>Bldg Refurb Rates</vt:lpstr>
      <vt:lpstr>Building Rates</vt:lpstr>
      <vt:lpstr>Civil Rates</vt:lpstr>
      <vt:lpstr>New Civil Rates</vt:lpstr>
      <vt:lpstr>Civil Rehab Rates </vt:lpstr>
      <vt:lpstr>Specialised Work</vt:lpstr>
      <vt:lpstr>Ground Floor Constrn</vt:lpstr>
      <vt:lpstr>Fleet Maint</vt:lpstr>
      <vt:lpstr>Electrical</vt:lpstr>
      <vt:lpstr>Project Summary</vt:lpstr>
      <vt:lpstr>List</vt:lpstr>
      <vt:lpstr>Cost Programming</vt:lpstr>
      <vt:lpstr>Indices </vt:lpstr>
      <vt:lpstr>Estimate Example</vt:lpstr>
      <vt:lpstr>Cashflow</vt:lpstr>
      <vt:lpstr>S Curve </vt:lpstr>
      <vt:lpstr>Proj. Programme Example</vt:lpstr>
      <vt:lpstr>Additional Information (2)</vt:lpstr>
      <vt:lpstr>Master Apron stands</vt:lpstr>
      <vt:lpstr>Code C,E &amp; F stands</vt:lpstr>
      <vt:lpstr>Code F,C Taxilane &amp; Serv Roads</vt:lpstr>
      <vt:lpstr>Sample Estimate</vt:lpstr>
      <vt:lpstr>ICAO Tables (Taxiw)</vt:lpstr>
      <vt:lpstr>Sketches (Taxiw)</vt:lpstr>
      <vt:lpstr>Master Taxiways</vt:lpstr>
      <vt:lpstr>Code F Runway &amp; SH (2)</vt:lpstr>
      <vt:lpstr>Code F Taxiway &amp; SH</vt:lpstr>
      <vt:lpstr>Sample Estimate (2)</vt:lpstr>
      <vt:lpstr>ICAO Tables</vt:lpstr>
      <vt:lpstr>Sketches</vt:lpstr>
      <vt:lpstr>Master Runways</vt:lpstr>
      <vt:lpstr>Code F Runway &amp; SH</vt:lpstr>
      <vt:lpstr>Sample Estimate (3)</vt:lpstr>
      <vt:lpstr>Comparison</vt:lpstr>
      <vt:lpstr>Assumptions!Print_Area</vt:lpstr>
      <vt:lpstr>'Bldg Refurb Rates'!Print_Area</vt:lpstr>
      <vt:lpstr>'Building Rates'!Print_Area</vt:lpstr>
      <vt:lpstr>Cashflow!Print_Area</vt:lpstr>
      <vt:lpstr>'Civil Rates'!Print_Area</vt:lpstr>
      <vt:lpstr>Comparison!Print_Area</vt:lpstr>
      <vt:lpstr>Contents!Print_Area</vt:lpstr>
      <vt:lpstr>Cover!Print_Area</vt:lpstr>
      <vt:lpstr>Electrical!Print_Area</vt:lpstr>
      <vt:lpstr>Escalation!Print_Area</vt:lpstr>
      <vt:lpstr>'Estimate Example'!Print_Area</vt:lpstr>
      <vt:lpstr>'How This Guide Works'!Print_Area</vt:lpstr>
      <vt:lpstr>'Indices '!Print_Area</vt:lpstr>
      <vt:lpstr>'Master Apron stands'!Print_Area</vt:lpstr>
      <vt:lpstr>'New Bldg Rates'!Print_Area</vt:lpstr>
      <vt:lpstr>'New Civil Rates'!Print_Area</vt:lpstr>
      <vt:lpstr>'Project Summary'!Print_Area</vt:lpstr>
      <vt:lpstr>'S Curve '!Print_Area</vt:lpstr>
      <vt:lpstr>'Sample Estimate'!Print_Area</vt:lpstr>
      <vt:lpstr>'Sample Estimate (2)'!Print_Area</vt:lpstr>
      <vt:lpstr>'Sample Estimate (3)'!Print_Area</vt:lpstr>
      <vt:lpstr>'Specialised Work'!Print_Area</vt:lpstr>
      <vt:lpstr>'User Notes'!Print_Area</vt:lpstr>
      <vt:lpstr>'New Bldg Rates'!Print_Titles</vt:lpstr>
      <vt:lpstr>'New Civil Rates'!Print_Titles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Phumzile Dlamini</dc:creator>
  <cp:keywords/>
  <cp:lastModifiedBy>Victoria Selepe</cp:lastModifiedBy>
  <cp:lastPrinted>2020-04-19T21:09:15Z</cp:lastPrinted>
  <dcterms:created xsi:type="dcterms:W3CDTF">2013-04-22T06:01:59Z</dcterms:created>
  <dcterms:modified xsi:type="dcterms:W3CDTF">2022-09-06T07:01:53Z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0x010100761405AA2F1B714889DAD866107A5AA0</vt:lpwstr>
  </property>
  <property fmtid="{D5CDD505-2E9C-101B-9397-08002B2CF9AE}" pid="3" name="SV_QUERY_LIST_4F35BF76-6C0D-4D9B-82B2-816C12CF3733">
    <vt:lpwstr>empty_477D106A-C0D6-4607-AEBD-E2C9D60EA279</vt:lpwstr>
  </property>
  <property fmtid="{D5CDD505-2E9C-101B-9397-08002B2CF9AE}" pid="4" name="SV_HIDDEN_GRID_QUERY_LIST_4F35BF76-6C0D-4D9B-82B2-816C12CF3733">
    <vt:lpwstr>empty_477D106A-C0D6-4607-AEBD-E2C9D60EA279</vt:lpwstr>
  </property>
  <property fmtid="{D5CDD505-2E9C-101B-9397-08002B2CF9AE}" pid="5" name="MSIP_Label_a11864d1-c16a-45ad-949f-bdea3b8c9e66_Enabled">
    <vt:lpwstr>true</vt:lpwstr>
  </property>
  <property fmtid="{D5CDD505-2E9C-101B-9397-08002B2CF9AE}" pid="6" name="MSIP_Label_a11864d1-c16a-45ad-949f-bdea3b8c9e66_SetDate">
    <vt:lpwstr>2022-09-06T07:01:40Z</vt:lpwstr>
  </property>
  <property fmtid="{D5CDD505-2E9C-101B-9397-08002B2CF9AE}" pid="7" name="MSIP_Label_a11864d1-c16a-45ad-949f-bdea3b8c9e66_Method">
    <vt:lpwstr>Standard</vt:lpwstr>
  </property>
  <property fmtid="{D5CDD505-2E9C-101B-9397-08002B2CF9AE}" pid="8" name="MSIP_Label_a11864d1-c16a-45ad-949f-bdea3b8c9e66_Name">
    <vt:lpwstr>Confidential</vt:lpwstr>
  </property>
  <property fmtid="{D5CDD505-2E9C-101B-9397-08002B2CF9AE}" pid="9" name="MSIP_Label_a11864d1-c16a-45ad-949f-bdea3b8c9e66_SiteId">
    <vt:lpwstr>fb62d46e-e86e-4673-ba82-b27b61d8202b</vt:lpwstr>
  </property>
  <property fmtid="{D5CDD505-2E9C-101B-9397-08002B2CF9AE}" pid="10" name="MSIP_Label_a11864d1-c16a-45ad-949f-bdea3b8c9e66_ActionId">
    <vt:lpwstr>7f5ae3d6-aee1-4769-a477-51c66d0a30f0</vt:lpwstr>
  </property>
  <property fmtid="{D5CDD505-2E9C-101B-9397-08002B2CF9AE}" pid="11" name="MSIP_Label_a11864d1-c16a-45ad-949f-bdea3b8c9e66_ContentBits">
    <vt:lpwstr>3</vt:lpwstr>
  </property>
</Properties>
</file>