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skor-my.sharepoint.com/personal/silindilen_foskor_co_za/Documents/Desktop/RFP/Northpit Load &amp; Haul 2026 - RFP/Tender - Northpit Load &amp; Haul/"/>
    </mc:Choice>
  </mc:AlternateContent>
  <xr:revisionPtr revIDLastSave="5" documentId="8_{958338C8-F808-4302-BABA-1FACA2813208}" xr6:coauthVersionLast="47" xr6:coauthVersionMax="47" xr10:uidLastSave="{034B516B-2F85-4C15-A0A4-E8981A92CB43}"/>
  <bookViews>
    <workbookView xWindow="-110" yWindow="-110" windowWidth="19420" windowHeight="10300" firstSheet="6" activeTab="7" xr2:uid="{996B858B-EEAC-4FF2-B911-1D495E4499B1}"/>
  </bookViews>
  <sheets>
    <sheet name="Production" sheetId="1" state="hidden" r:id="rId1"/>
    <sheet name="schedule" sheetId="3" state="hidden" r:id="rId2"/>
    <sheet name="Haul routes" sheetId="2" state="hidden" r:id="rId3"/>
    <sheet name="scoringroutes" sheetId="4" state="hidden" r:id="rId4"/>
    <sheet name="Princing Schedule" sheetId="5" state="hidden" r:id="rId5"/>
    <sheet name="Princing Schedule (2)" sheetId="6" state="hidden" r:id="rId6"/>
    <sheet name="Princing Schedule  A" sheetId="11" r:id="rId7"/>
    <sheet name="Pricing Schedule B" sheetId="13" r:id="rId8"/>
    <sheet name="North Pit Hauling" sheetId="10" r:id="rId9"/>
    <sheet name="scoring sheet - 200t" sheetId="8" state="hidden" r:id="rId10"/>
  </sheets>
  <externalReferences>
    <externalReference r:id="rId11"/>
  </externalReferences>
  <definedNames>
    <definedName name="_Hlk160527048" localSheetId="2">'Haul routes'!$A$109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3" l="1"/>
  <c r="C37" i="13"/>
  <c r="C36" i="13"/>
  <c r="C35" i="13"/>
  <c r="C34" i="13"/>
  <c r="C28" i="11" l="1"/>
  <c r="C30" i="11" s="1"/>
  <c r="C13" i="11"/>
  <c r="C15" i="11" s="1"/>
  <c r="E170" i="10" l="1"/>
  <c r="D169" i="10"/>
  <c r="F158" i="10"/>
  <c r="F154" i="10"/>
  <c r="F150" i="10"/>
  <c r="F146" i="10"/>
  <c r="F142" i="10"/>
  <c r="F138" i="10"/>
  <c r="F134" i="10"/>
  <c r="F130" i="10"/>
  <c r="F126" i="10"/>
  <c r="F122" i="10"/>
  <c r="F118" i="10"/>
  <c r="O116" i="10"/>
  <c r="F114" i="10"/>
  <c r="D43" i="10"/>
  <c r="D49" i="10" s="1"/>
  <c r="D37" i="10"/>
  <c r="F36" i="10"/>
  <c r="F30" i="10"/>
  <c r="F24" i="10"/>
  <c r="S19" i="10"/>
  <c r="R19" i="10"/>
  <c r="O18" i="10"/>
  <c r="F18" i="10"/>
  <c r="F7" i="10"/>
  <c r="F2" i="10"/>
  <c r="D55" i="10" l="1"/>
  <c r="F48" i="10"/>
  <c r="F42" i="10"/>
  <c r="D61" i="10" l="1"/>
  <c r="F54" i="10"/>
  <c r="D67" i="10" l="1"/>
  <c r="F60" i="10"/>
  <c r="D73" i="10" l="1"/>
  <c r="F66" i="10"/>
  <c r="F72" i="10" l="1"/>
  <c r="D79" i="10"/>
  <c r="F78" i="10" l="1"/>
  <c r="D85" i="10"/>
  <c r="D91" i="10" l="1"/>
  <c r="F90" i="10" s="1"/>
  <c r="F84" i="10"/>
  <c r="J31" i="1" l="1"/>
  <c r="J33" i="1"/>
  <c r="J32" i="1"/>
  <c r="G34" i="1"/>
  <c r="F34" i="1"/>
  <c r="E34" i="1"/>
  <c r="D34" i="1"/>
  <c r="C34" i="1"/>
  <c r="B34" i="1"/>
  <c r="J10" i="1"/>
  <c r="J11" i="1"/>
  <c r="J12" i="1"/>
  <c r="G13" i="1"/>
  <c r="C26" i="1"/>
  <c r="C27" i="1" s="1"/>
  <c r="D26" i="1"/>
  <c r="D27" i="1" s="1"/>
  <c r="E26" i="1"/>
  <c r="E28" i="1" s="1"/>
  <c r="F26" i="1"/>
  <c r="F28" i="1" s="1"/>
  <c r="B26" i="1"/>
  <c r="B28" i="1" s="1"/>
  <c r="J25" i="1"/>
  <c r="B20" i="1"/>
  <c r="C20" i="1" s="1"/>
  <c r="B19" i="1"/>
  <c r="B21" i="1" s="1"/>
  <c r="C21" i="1" s="1"/>
  <c r="D28" i="1" l="1"/>
  <c r="C19" i="1"/>
  <c r="B22" i="1"/>
  <c r="J26" i="1"/>
  <c r="F27" i="1"/>
  <c r="C28" i="1"/>
  <c r="E27" i="1"/>
  <c r="B27" i="1"/>
  <c r="J27" i="1" l="1"/>
  <c r="K9" i="8" l="1"/>
  <c r="Q20" i="2"/>
  <c r="C13" i="1" l="1"/>
  <c r="D13" i="1"/>
  <c r="E13" i="1"/>
  <c r="F13" i="1"/>
  <c r="B13" i="1"/>
  <c r="C24" i="6"/>
  <c r="C26" i="6" s="1"/>
  <c r="E4" i="5"/>
  <c r="F38" i="4" l="1"/>
  <c r="F32" i="4"/>
  <c r="F26" i="4"/>
  <c r="F20" i="4"/>
  <c r="F14" i="4"/>
  <c r="F8" i="4"/>
  <c r="F2" i="4"/>
  <c r="J39" i="1"/>
  <c r="F42" i="1"/>
  <c r="D45" i="1"/>
  <c r="D44" i="1"/>
  <c r="D43" i="1"/>
  <c r="D42" i="1"/>
  <c r="D41" i="1"/>
  <c r="D40" i="1"/>
  <c r="D39" i="1"/>
  <c r="Q21" i="2" l="1"/>
  <c r="K4" i="1"/>
  <c r="K3" i="1"/>
  <c r="C5" i="1"/>
  <c r="E5" i="1"/>
  <c r="F5" i="1"/>
  <c r="J5" i="1"/>
  <c r="D5" i="1"/>
  <c r="D6" i="1"/>
  <c r="E6" i="1"/>
  <c r="F6" i="1"/>
  <c r="J6" i="1"/>
  <c r="C6" i="1"/>
  <c r="K6" i="1" s="1"/>
  <c r="C13" i="6" l="1"/>
</calcChain>
</file>

<file path=xl/sharedStrings.xml><?xml version="1.0" encoding="utf-8"?>
<sst xmlns="http://schemas.openxmlformats.org/spreadsheetml/2006/main" count="959" uniqueCount="269">
  <si>
    <t>Annual Mining Targets</t>
  </si>
  <si>
    <t>Total Rock</t>
  </si>
  <si>
    <t>Years</t>
  </si>
  <si>
    <t>mt</t>
  </si>
  <si>
    <t>2025/2026</t>
  </si>
  <si>
    <t>2026/2027</t>
  </si>
  <si>
    <t>2027/2028</t>
  </si>
  <si>
    <t>2028/2029</t>
  </si>
  <si>
    <t>2029/20230</t>
  </si>
  <si>
    <t>Financial Year</t>
  </si>
  <si>
    <t>Bench no.</t>
  </si>
  <si>
    <t>Bench elevation</t>
  </si>
  <si>
    <t>Haul segment</t>
  </si>
  <si>
    <t>Distance (m)</t>
  </si>
  <si>
    <t>Gradient (%)</t>
  </si>
  <si>
    <t>Total distance (m)</t>
  </si>
  <si>
    <t>Inpit flat</t>
  </si>
  <si>
    <t>Inpit ramp</t>
  </si>
  <si>
    <t>Ex-pit 4-way stop 1</t>
  </si>
  <si>
    <t>4-way stop 1 - East crusher</t>
  </si>
  <si>
    <t>3.79</t>
  </si>
  <si>
    <t>Table 3-1 Typical Load and Haul Distances - Ore</t>
  </si>
  <si>
    <t>Table 3-2 Typical Load and Haul Distances – Waste</t>
  </si>
  <si>
    <t>4-way stop 1 - Waste dump</t>
  </si>
  <si>
    <t>Waste dump ramp lift 1</t>
  </si>
  <si>
    <t>Waste dump flat</t>
  </si>
  <si>
    <t>Waste dump ramp lift 2</t>
  </si>
  <si>
    <t>Waste dump ramp lift 3</t>
  </si>
  <si>
    <t>Table 3-3: Indicative Rehandle Haul Distances</t>
  </si>
  <si>
    <t>Stockpile</t>
  </si>
  <si>
    <t>Crusher</t>
  </si>
  <si>
    <t>East Passby</t>
  </si>
  <si>
    <t>East Crusher</t>
  </si>
  <si>
    <t>200 m to 500 m</t>
  </si>
  <si>
    <t>North Crusher</t>
  </si>
  <si>
    <t>699 m</t>
  </si>
  <si>
    <t>North Passby</t>
  </si>
  <si>
    <t>794 m</t>
  </si>
  <si>
    <t>150 m</t>
  </si>
  <si>
    <t>New North Stockpile</t>
  </si>
  <si>
    <t>1 110 m</t>
  </si>
  <si>
    <t>North  Crusher</t>
  </si>
  <si>
    <t>475 m</t>
  </si>
  <si>
    <t>End of FY2024/2025</t>
  </si>
  <si>
    <t>End of FY2025/2026</t>
  </si>
  <si>
    <t>End of FY2026/2027</t>
  </si>
  <si>
    <t>End of FY2027/2028</t>
  </si>
  <si>
    <t>End of FY2028/2029</t>
  </si>
  <si>
    <t>End of FY2029/2030</t>
  </si>
  <si>
    <t>End of FY2030/2031</t>
  </si>
  <si>
    <t>Bench</t>
  </si>
  <si>
    <t>Total Distane</t>
  </si>
  <si>
    <t>Item no.</t>
  </si>
  <si>
    <t>Notes</t>
  </si>
  <si>
    <t>Technical  Criteria</t>
  </si>
  <si>
    <t>Evaluation Criteria Points Allocation</t>
  </si>
  <si>
    <t xml:space="preserve"> Criteria</t>
  </si>
  <si>
    <t>Provide 5 years of previous /relevant experience of providing loading &amp; hauling services.</t>
  </si>
  <si>
    <t>Scoring</t>
  </si>
  <si>
    <t>&lt; 1 year                                                                           25%</t>
  </si>
  <si>
    <t>≥ 5 years                                                                        100%</t>
  </si>
  <si>
    <t>Provide reference letters of projects, with project values and duration.</t>
  </si>
  <si>
    <t>Bench no</t>
  </si>
  <si>
    <t>Bench Elevation</t>
  </si>
  <si>
    <t>Haul Segment</t>
  </si>
  <si>
    <t>Distance</t>
  </si>
  <si>
    <t>Total distance</t>
  </si>
  <si>
    <t>Pit exit – Waste dump entrance (Flat)</t>
  </si>
  <si>
    <t>Waste dump entrance (Flat)- Waste dump phase 1 ramp</t>
  </si>
  <si>
    <t>Waste dump phase 1 ramp - Waste dump phase 2 ramp</t>
  </si>
  <si>
    <t>Waste dump phase 2 ramp – lift 3 flats</t>
  </si>
  <si>
    <t>Gradient (8%)</t>
  </si>
  <si>
    <t xml:space="preserve">Waste dump phase 1 ramp - Waste dump phase 2 ramp </t>
  </si>
  <si>
    <t>Waste dump phase 1 ramp - Waste dump phase 2 ramp 2</t>
  </si>
  <si>
    <t>Waste dump phase 2 ramp – lift 4 flats</t>
  </si>
  <si>
    <t>LOAD AND HAUL CONTRACT SHECDULE OF RATES ( 5-Years)</t>
  </si>
  <si>
    <t>Item</t>
  </si>
  <si>
    <t>Load &amp; Haul Ore</t>
  </si>
  <si>
    <t>Value</t>
  </si>
  <si>
    <t>Unit of Measure</t>
  </si>
  <si>
    <t>Quantities (5 Years</t>
  </si>
  <si>
    <t>Unit  Rand/Tonnes</t>
  </si>
  <si>
    <t>Transport of Ore from Stockpile to Crusher @15% of Ore Tonnes</t>
  </si>
  <si>
    <t>R/t</t>
  </si>
  <si>
    <t xml:space="preserve"> Total Load &amp; Haul Ore</t>
  </si>
  <si>
    <t>Load &amp; Haul Waste</t>
  </si>
  <si>
    <t xml:space="preserve"> Total Load &amp; Haul Waste</t>
  </si>
  <si>
    <t xml:space="preserve"> Total Load &amp; Haul Ore% Waste exc Rehandle</t>
  </si>
  <si>
    <t>Mechanical Rockbreaking</t>
  </si>
  <si>
    <t>Site Establishment</t>
  </si>
  <si>
    <t>Fixed Monthly P &amp; G</t>
  </si>
  <si>
    <t>Rate Only</t>
  </si>
  <si>
    <t>Monthly</t>
  </si>
  <si>
    <t xml:space="preserve">Bench no. </t>
  </si>
  <si>
    <t xml:space="preserve">Bench </t>
  </si>
  <si>
    <t xml:space="preserve">elevation </t>
  </si>
  <si>
    <t xml:space="preserve">Haul segment </t>
  </si>
  <si>
    <t xml:space="preserve">Distance (m) </t>
  </si>
  <si>
    <t xml:space="preserve">Gradient (%) </t>
  </si>
  <si>
    <t xml:space="preserve">Total distance (m) </t>
  </si>
  <si>
    <t xml:space="preserve"> </t>
  </si>
  <si>
    <t>Pit exit - Crusher 4-way stop (Flat)</t>
  </si>
  <si>
    <t>Crusher 4-way stop – South primary crusher (Flat)</t>
  </si>
  <si>
    <t>Transport from Pit to Dump - Bench 9 (4 068m)</t>
  </si>
  <si>
    <t>Transport from Pit to Dump - Bench 8 (3 961m)</t>
  </si>
  <si>
    <t>Transport from Pit to Dump - Bench 7 (3 898m)</t>
  </si>
  <si>
    <t>Transport from Pit to Dump - Bench 6 (3 730m)</t>
  </si>
  <si>
    <t>Transport from Pit to Dump - Bench 5 (3 691m)</t>
  </si>
  <si>
    <t>Transport from Pit to Dump - Bench 4 (3 495m)</t>
  </si>
  <si>
    <t>Transport from Pit to Dump - Bench 3 (3 218m)</t>
  </si>
  <si>
    <t>Transport of Ore to Crusher - Bench 3 (1 745m)</t>
  </si>
  <si>
    <t>Transport of Ore to Crusher - Bench 4 (2 202m)</t>
  </si>
  <si>
    <t>Transport of Ore to Crusher - Bench 5 (2 218m)</t>
  </si>
  <si>
    <t>Transport of Ore to Crusher - Bench 6 (2 257m)</t>
  </si>
  <si>
    <t>Transport of Ore to Crusher - Bench 7 (2 306m)</t>
  </si>
  <si>
    <t>Transport of Ore to Crusher - Bench 8 (2 369m)</t>
  </si>
  <si>
    <t>Transport of Ore to Crusher - Bench 9 (2 476m)</t>
  </si>
  <si>
    <t>The Establishment and Transportation of Vendor’s Plant &amp; Equipment</t>
  </si>
  <si>
    <t>Site De-Establishment</t>
  </si>
  <si>
    <t>Once - Off</t>
  </si>
  <si>
    <t>Demolition of Vendor’s Plant &amp; Equipment</t>
  </si>
  <si>
    <t>Removal of Vendor’s Plant &amp; Equipment off site</t>
  </si>
  <si>
    <t>Total Load &amp; Haul Ore and Waste (Incl.  Establishment  Costs and Rockbreaker Costs</t>
  </si>
  <si>
    <t>Mining Cost (Excl. Diesel)                                          R/t</t>
  </si>
  <si>
    <t>≥1 &lt; 3 years                                                                   50%</t>
  </si>
  <si>
    <t>≥3 &lt; 5 years                                                                   75%</t>
  </si>
  <si>
    <t>Bidder should preferably have previous experience with volumes exceeding 10 million tonnes (Mt) per annum and prior experieice with opencast mining services:</t>
  </si>
  <si>
    <t>Provide reference letters in clients letterhead showing tonnages mined</t>
  </si>
  <si>
    <t>&lt; 1 Mt                                                                                0%</t>
  </si>
  <si>
    <t>≥1 Mt &lt; 5 Mt                                                                   50%</t>
  </si>
  <si>
    <t>≥5 Mt &lt; 10 Mt                                                                 75%</t>
  </si>
  <si>
    <t>≥ 10 Mt                                                                          100%</t>
  </si>
  <si>
    <t>Team - Capability to provide qualified Site Manager &amp; Mine Surveyor familiar with opencast mining environment</t>
  </si>
  <si>
    <t xml:space="preserve">Bidders must submit the following CVs:                   Site Manager - min. 5 years experience with opencast blasting ticket &amp; Mine Surveyor - min. 5 years experience with Mine Survey Certificate of Competence </t>
  </si>
  <si>
    <t>No CVs submitted                                                          0%</t>
  </si>
  <si>
    <t>Both CVs submitted                                                   100%</t>
  </si>
  <si>
    <t>Bidder Site Equipment List</t>
  </si>
  <si>
    <t>Bidder provides no indication of ownership or leasing arrangement on the equipments to be provided  = 0%</t>
  </si>
  <si>
    <r>
      <t xml:space="preserve">Bidder provides indication to lease </t>
    </r>
    <r>
      <rPr>
        <sz val="11"/>
        <color theme="1"/>
        <rFont val="Aptos Narrow"/>
        <family val="2"/>
      </rPr>
      <t>some of the minimum required equipments = 50%</t>
    </r>
  </si>
  <si>
    <t>Bidder owns all of minimum required equipments  = 100%</t>
  </si>
  <si>
    <t>Age of Bidders' Equipment</t>
  </si>
  <si>
    <t>Bidder must provide proof of when equipment was purchased</t>
  </si>
  <si>
    <t>Age of Equipment</t>
  </si>
  <si>
    <t xml:space="preserve"> ≥  3 years                                                                      = 0%</t>
  </si>
  <si>
    <t xml:space="preserve"> ≥  2 years  &amp;  &lt; 3 years                                                = 50%</t>
  </si>
  <si>
    <t>&lt; 2 years                                                                     = 100%</t>
  </si>
  <si>
    <t xml:space="preserve">The bidder must provide a Maintenance Plan to effectively maintain the Equipments and minimise the impact and risk to the Company in the event of machinery/equipment breakdown: </t>
  </si>
  <si>
    <t>No Maintenance Plan submitted                          = 0%</t>
  </si>
  <si>
    <t xml:space="preserve">Basic Maintenance Plan submitted                   =50%                        </t>
  </si>
  <si>
    <t xml:space="preserve">Detailed Maintenance Plan submitted           =100%                        </t>
  </si>
  <si>
    <t>Minimum Safety &amp; Compliance Training</t>
  </si>
  <si>
    <t>Bidder must provide proof or commitment of safety &amp; compliance training offered or  to be offered to employees</t>
  </si>
  <si>
    <t>No Safety &amp; Compliance Training Plan submitted = 0%</t>
  </si>
  <si>
    <t>Safety &amp; Compliance Training Plan submitted     = 100%</t>
  </si>
  <si>
    <r>
      <rPr>
        <b/>
        <sz val="11"/>
        <color theme="1"/>
        <rFont val="Aptos Narrow"/>
        <family val="2"/>
      </rPr>
      <t xml:space="preserve">Minimum Requirements:   </t>
    </r>
    <r>
      <rPr>
        <sz val="11"/>
        <color theme="1"/>
        <rFont val="Aptos Narrow"/>
        <family val="2"/>
        <scheme val="minor"/>
      </rPr>
      <t xml:space="preserve">                                                    Backhoe Excavator  ≥ 300t operating weight                                                            Rigid Body Dump Truck ( 200t payload)                Track Dozer  ≥ 70t operating weight                                                                                                         Motor Grader - min. 3.7m blade width                                     Water Bowser - min. capacity 27000L                               Diesel Bowser - min. capacity 18000L                  Bidder to provide proof of ownership of the equipment or proof of a credit facility or written undertaking from a rental agency that will lease the equipment to the bidder for a period of 5 years.  
Proof of ownership required in the form of vehicle license registration to be submitted. 
Proof of credit / lease facility in the form of confirmation letter from the equipment owner to be submitted for verification purposes.  </t>
    </r>
  </si>
  <si>
    <t>TOTAL</t>
  </si>
  <si>
    <t>Expit Ore</t>
  </si>
  <si>
    <t>waste</t>
  </si>
  <si>
    <t>total</t>
  </si>
  <si>
    <t>SR</t>
  </si>
  <si>
    <t>NorthPit Ore</t>
  </si>
  <si>
    <t>NorthPit Waste</t>
  </si>
  <si>
    <t>NorthPit SR</t>
  </si>
  <si>
    <t>2030/2031</t>
  </si>
  <si>
    <t>2027/2029</t>
  </si>
  <si>
    <t xml:space="preserve"> Estimated. Quantities (5 Years</t>
  </si>
  <si>
    <t>4-way stop 1 - Waste
dump</t>
  </si>
  <si>
    <t>Waste dump entance to ramp lift 1</t>
  </si>
  <si>
    <t>Waste dump entance to ramp lift no</t>
  </si>
  <si>
    <t>Lift</t>
  </si>
  <si>
    <t>Crest Elevation</t>
  </si>
  <si>
    <t>Ramp  segment</t>
  </si>
  <si>
    <t>Gradient</t>
  </si>
  <si>
    <t>Centroid</t>
  </si>
  <si>
    <t>Sum of TONNES</t>
  </si>
  <si>
    <t>Sum of VOLUME</t>
  </si>
  <si>
    <t xml:space="preserve">Waste dump entance to ramp lift </t>
  </si>
  <si>
    <t>ramp lift to centroid</t>
  </si>
  <si>
    <t>Grand Total</t>
  </si>
  <si>
    <t>Ex-pit 4-way stop 2</t>
  </si>
  <si>
    <t>4-way stop 2 - Waste
dump</t>
  </si>
  <si>
    <t>Ex-pit 4-way Stop 2</t>
  </si>
  <si>
    <t>4-way Stop 2 - Waste
dump</t>
  </si>
  <si>
    <t xml:space="preserve">Ore </t>
  </si>
  <si>
    <t>4-way stop 1 - East
crusher</t>
  </si>
  <si>
    <t>Z</t>
  </si>
  <si>
    <t>Ramp Length</t>
  </si>
  <si>
    <t>=</t>
  </si>
  <si>
    <t>Bench Height</t>
  </si>
  <si>
    <t xml:space="preserve">Gradient </t>
  </si>
  <si>
    <t>no of benches</t>
  </si>
  <si>
    <t>LOAD AND HAUL CONTRACT SCHEDULE OF RATES ( 5-Years)</t>
  </si>
  <si>
    <t>Transport of Ore to Crusher - Bench 12 (2 589m)</t>
  </si>
  <si>
    <t>R/ton</t>
  </si>
  <si>
    <t>Transport of Ore to Crusher - Bench 13 (2 617 m)</t>
  </si>
  <si>
    <t>Transport of Ore to Crusher - Bench 14 (2 908 m)</t>
  </si>
  <si>
    <t>Transport of Ore to Crusher - Bench 15 (2 989m)</t>
  </si>
  <si>
    <t>Transport of Ore to Crusher - Bench 16 (3 105)</t>
  </si>
  <si>
    <t>Transport of Ore to Crusher - Bench 17 (3 292m)</t>
  </si>
  <si>
    <t>Transport of Ore to Crusher - Bench 18 (3 476m)</t>
  </si>
  <si>
    <t>Transport of Ore to Crusher - Bench 19 (3 661m)</t>
  </si>
  <si>
    <t>Transport of Ore to Crusher - Bench 20 (3 875m)</t>
  </si>
  <si>
    <t>Transport from Pit to Dump - Bench 12 4 338m)</t>
  </si>
  <si>
    <t>Transport from Pit to Dump - Bench 13 (3 694 m)</t>
  </si>
  <si>
    <t>Transport from Pit to Dump - Bench 14 (4 061 m)</t>
  </si>
  <si>
    <t>Transport from Pit to Dump - Bench 15 (4 412m)</t>
  </si>
  <si>
    <t>Transport from Pit to Dump - Bench 16 (4  261m)</t>
  </si>
  <si>
    <t>Transport from Pit to Dump - Bench 17 (4 364m)</t>
  </si>
  <si>
    <t>Transport from Pit to Dump - Bench 18 (4 741m)</t>
  </si>
  <si>
    <t>Transport from Pit to Dump - Bench 19 (4  928m)</t>
  </si>
  <si>
    <t>Transport from Pit to Dump - Bench 20 (5 128m)</t>
  </si>
  <si>
    <t>Short Description</t>
  </si>
  <si>
    <t>Temporary Workshop</t>
  </si>
  <si>
    <t>Workshop Tools</t>
  </si>
  <si>
    <t>De-Establishment</t>
  </si>
  <si>
    <t>De-Establishment - Site</t>
  </si>
  <si>
    <t>Monthly Time Related Costs</t>
  </si>
  <si>
    <t>Monthly P+G Per Month</t>
  </si>
  <si>
    <t>Subtotal Monthly Time Related Costs</t>
  </si>
  <si>
    <t>MINING ACTIVITIES</t>
  </si>
  <si>
    <t>Mobilization - Loaders</t>
  </si>
  <si>
    <t>Mobilization -  RDTs</t>
  </si>
  <si>
    <t>Mobilization - Dozers</t>
  </si>
  <si>
    <t>Mobilization - Graders</t>
  </si>
  <si>
    <t>Mobilization - Waterbowser</t>
  </si>
  <si>
    <t>Mobilization - Dieselbowser</t>
  </si>
  <si>
    <t>De-Establishment - Loaders</t>
  </si>
  <si>
    <t>De-Establishment -  RDTs</t>
  </si>
  <si>
    <t>De-Establishment - Dozers</t>
  </si>
  <si>
    <t>De-Establishment - Graders</t>
  </si>
  <si>
    <t>De-Establishment -  Waterbowser</t>
  </si>
  <si>
    <t>De-Establishment -  Dieselbowser</t>
  </si>
  <si>
    <t>Fire Suppession System</t>
  </si>
  <si>
    <t>Loaders</t>
  </si>
  <si>
    <t>RDTs</t>
  </si>
  <si>
    <t>Dozers</t>
  </si>
  <si>
    <t>Graders</t>
  </si>
  <si>
    <t>Waterbowsers</t>
  </si>
  <si>
    <t>CAS SLA</t>
  </si>
  <si>
    <t xml:space="preserve">Site Mobilization </t>
  </si>
  <si>
    <t>Onboarding fees</t>
  </si>
  <si>
    <t xml:space="preserve">Workshop Containers </t>
  </si>
  <si>
    <t>Transport of Rehandle Ore  to Crusher @ 15% of Ore Tons</t>
  </si>
  <si>
    <t xml:space="preserve"> Quantity</t>
  </si>
  <si>
    <t>Estimated contract hours (A)</t>
  </si>
  <si>
    <t>Number of machines (B)</t>
  </si>
  <si>
    <t>Total Rental price unescalated      
(A x B x C )</t>
  </si>
  <si>
    <t>Dieselbowsers (monthly rate)</t>
  </si>
  <si>
    <t>60 months</t>
  </si>
  <si>
    <t>Estimated Quantities (5 Years</t>
  </si>
  <si>
    <t>(A) Total Load &amp; Haul Ore</t>
  </si>
  <si>
    <t xml:space="preserve"> (B) Total Load &amp; Haul Waste</t>
  </si>
  <si>
    <t xml:space="preserve"> Total Load &amp; Haul Ore% Waste excl. Rehandle Ore to Crushers</t>
  </si>
  <si>
    <t>TOTAL (ZAR)</t>
  </si>
  <si>
    <t>R</t>
  </si>
  <si>
    <t>Total Load &amp; Haul Ore and Waste (Incl.  Establishment  Costs ) Unescalated</t>
  </si>
  <si>
    <t>Site Establishment**</t>
  </si>
  <si>
    <t>Site De-Establishment**</t>
  </si>
  <si>
    <t xml:space="preserve">Item No. </t>
  </si>
  <si>
    <t xml:space="preserve">Unit Cost </t>
  </si>
  <si>
    <t>Total (ZAR)</t>
  </si>
  <si>
    <t xml:space="preserve">Sum </t>
  </si>
  <si>
    <t>Sum</t>
  </si>
  <si>
    <t>Rate per hour 
(C)</t>
  </si>
  <si>
    <t xml:space="preserve">Subtotal Fleet Rental </t>
  </si>
  <si>
    <t xml:space="preserve">Total Rental Cost (Unescalated) - Sum of Subtotals of items 1 + 2+ 3+4 </t>
  </si>
  <si>
    <t>Rand / Ton</t>
  </si>
  <si>
    <t>Subtotal Site Establishment</t>
  </si>
  <si>
    <t>Subtotal Site De-Establishment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</si>
</sst>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R&quot;#,##0;[Red]\-&quot;R&quot;#,##0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(* #,##0_);_(* \(#,##0\);_(* &quot;-&quot;??_);_(@_)"/>
    <numFmt numFmtId="167" formatCode="_(* #,##0.00_);_(* \(#,##0.00\);_(* &quot;-&quot;??_);_(@_)"/>
  </numFmts>
  <fonts count="3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rgb="FF000000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rgb="FF1F487C"/>
      <name val="Arial Narrow"/>
      <family val="2"/>
    </font>
    <font>
      <i/>
      <sz val="8.5"/>
      <color theme="1"/>
      <name val="Arial Narrow"/>
      <family val="2"/>
    </font>
    <font>
      <sz val="9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1"/>
      <name val="Aptos Narrow"/>
      <family val="2"/>
      <scheme val="minor"/>
    </font>
    <font>
      <b/>
      <sz val="12"/>
      <color theme="1"/>
      <name val="Arial Narrow"/>
      <family val="2"/>
    </font>
    <font>
      <b/>
      <sz val="12"/>
      <color rgb="FF000000"/>
      <name val="Arial Narrow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name val="Arial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rgb="FFFF0000"/>
      <name val="Arial"/>
      <family val="2"/>
    </font>
    <font>
      <sz val="12"/>
      <color theme="1"/>
      <name val="Arial Narrow"/>
      <family val="2"/>
    </font>
    <font>
      <sz val="10"/>
      <color theme="1"/>
      <name val="Calibri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EBEBE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6" fillId="0" borderId="0"/>
  </cellStyleXfs>
  <cellXfs count="332">
    <xf numFmtId="0" fontId="0" fillId="0" borderId="0" xfId="0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2" fillId="0" borderId="1" xfId="0" applyFont="1" applyBorder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4"/>
    </xf>
    <xf numFmtId="0" fontId="4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 indent="4"/>
    </xf>
    <xf numFmtId="0" fontId="4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 indent="6"/>
    </xf>
    <xf numFmtId="0" fontId="6" fillId="0" borderId="4" xfId="0" applyFont="1" applyBorder="1" applyAlignment="1">
      <alignment horizontal="right" vertical="center" wrapText="1"/>
    </xf>
    <xf numFmtId="164" fontId="0" fillId="0" borderId="1" xfId="0" applyNumberFormat="1" applyBorder="1"/>
    <xf numFmtId="164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28" xfId="0" applyFont="1" applyBorder="1"/>
    <xf numFmtId="0" fontId="0" fillId="0" borderId="29" xfId="0" applyBorder="1"/>
    <xf numFmtId="0" fontId="0" fillId="0" borderId="28" xfId="0" applyBorder="1"/>
    <xf numFmtId="0" fontId="13" fillId="3" borderId="28" xfId="0" applyFont="1" applyFill="1" applyBorder="1"/>
    <xf numFmtId="0" fontId="0" fillId="3" borderId="1" xfId="0" applyFill="1" applyBorder="1"/>
    <xf numFmtId="0" fontId="0" fillId="3" borderId="29" xfId="0" applyFill="1" applyBorder="1"/>
    <xf numFmtId="0" fontId="14" fillId="4" borderId="25" xfId="0" applyFont="1" applyFill="1" applyBorder="1" applyAlignment="1">
      <alignment horizontal="left" vertical="center" wrapText="1" indent="1"/>
    </xf>
    <xf numFmtId="0" fontId="14" fillId="4" borderId="26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8" xfId="0" applyFont="1" applyBorder="1"/>
    <xf numFmtId="0" fontId="2" fillId="0" borderId="29" xfId="0" applyFont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0" fontId="14" fillId="4" borderId="2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 indent="1"/>
    </xf>
    <xf numFmtId="0" fontId="15" fillId="2" borderId="6" xfId="0" applyFont="1" applyFill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1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1" fillId="0" borderId="7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37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center" wrapText="1"/>
    </xf>
    <xf numFmtId="165" fontId="0" fillId="0" borderId="1" xfId="1" applyNumberFormat="1" applyFont="1" applyBorder="1"/>
    <xf numFmtId="165" fontId="0" fillId="0" borderId="29" xfId="0" applyNumberFormat="1" applyBorder="1"/>
    <xf numFmtId="165" fontId="0" fillId="3" borderId="1" xfId="0" applyNumberFormat="1" applyFill="1" applyBorder="1"/>
    <xf numFmtId="0" fontId="1" fillId="0" borderId="0" xfId="0" applyFont="1"/>
    <xf numFmtId="2" fontId="0" fillId="0" borderId="0" xfId="0" applyNumberFormat="1"/>
    <xf numFmtId="3" fontId="0" fillId="0" borderId="0" xfId="0" applyNumberFormat="1"/>
    <xf numFmtId="43" fontId="0" fillId="0" borderId="0" xfId="1" applyFont="1"/>
    <xf numFmtId="165" fontId="0" fillId="0" borderId="0" xfId="0" applyNumberFormat="1"/>
    <xf numFmtId="0" fontId="0" fillId="0" borderId="47" xfId="0" applyBorder="1"/>
    <xf numFmtId="0" fontId="0" fillId="0" borderId="49" xfId="0" applyBorder="1"/>
    <xf numFmtId="0" fontId="0" fillId="0" borderId="50" xfId="0" applyBorder="1"/>
    <xf numFmtId="6" fontId="0" fillId="0" borderId="24" xfId="0" applyNumberFormat="1" applyBorder="1" applyAlignment="1">
      <alignment horizontal="center"/>
    </xf>
    <xf numFmtId="0" fontId="2" fillId="0" borderId="48" xfId="0" applyFont="1" applyBorder="1"/>
    <xf numFmtId="0" fontId="2" fillId="0" borderId="49" xfId="0" applyFont="1" applyBorder="1"/>
    <xf numFmtId="6" fontId="0" fillId="0" borderId="49" xfId="0" applyNumberFormat="1" applyBorder="1" applyAlignment="1">
      <alignment horizontal="center"/>
    </xf>
    <xf numFmtId="0" fontId="2" fillId="6" borderId="48" xfId="0" applyFont="1" applyFill="1" applyBorder="1" applyAlignment="1">
      <alignment horizontal="left" vertical="center" wrapText="1"/>
    </xf>
    <xf numFmtId="0" fontId="0" fillId="7" borderId="0" xfId="0" applyFill="1"/>
    <xf numFmtId="0" fontId="0" fillId="0" borderId="17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2" fillId="0" borderId="46" xfId="0" applyFont="1" applyBorder="1" applyAlignment="1">
      <alignment vertical="top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18" xfId="0" applyFont="1" applyBorder="1"/>
    <xf numFmtId="0" fontId="2" fillId="5" borderId="44" xfId="0" applyFont="1" applyFill="1" applyBorder="1"/>
    <xf numFmtId="0" fontId="2" fillId="5" borderId="17" xfId="0" applyFont="1" applyFill="1" applyBorder="1"/>
    <xf numFmtId="3" fontId="2" fillId="0" borderId="0" xfId="0" applyNumberFormat="1" applyFont="1"/>
    <xf numFmtId="0" fontId="0" fillId="0" borderId="0" xfId="0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8" borderId="2" xfId="0" applyFont="1" applyFill="1" applyBorder="1" applyAlignment="1">
      <alignment horizontal="center" vertical="center" wrapText="1"/>
    </xf>
    <xf numFmtId="0" fontId="2" fillId="0" borderId="52" xfId="0" applyFont="1" applyBorder="1"/>
    <xf numFmtId="0" fontId="2" fillId="0" borderId="53" xfId="0" applyFont="1" applyBorder="1"/>
    <xf numFmtId="0" fontId="2" fillId="0" borderId="22" xfId="0" applyFont="1" applyBorder="1"/>
    <xf numFmtId="0" fontId="0" fillId="0" borderId="56" xfId="0" applyBorder="1" applyAlignment="1">
      <alignment horizontal="center"/>
    </xf>
    <xf numFmtId="9" fontId="0" fillId="0" borderId="0" xfId="3" applyFont="1" applyBorder="1"/>
    <xf numFmtId="0" fontId="0" fillId="0" borderId="0" xfId="3" applyNumberFormat="1" applyFont="1" applyBorder="1"/>
    <xf numFmtId="166" fontId="0" fillId="0" borderId="0" xfId="0" applyNumberFormat="1"/>
    <xf numFmtId="0" fontId="21" fillId="8" borderId="2" xfId="0" applyFont="1" applyFill="1" applyBorder="1" applyAlignment="1">
      <alignment horizontal="center" vertical="center" wrapText="1"/>
    </xf>
    <xf numFmtId="0" fontId="2" fillId="0" borderId="59" xfId="0" applyFont="1" applyBorder="1"/>
    <xf numFmtId="0" fontId="2" fillId="0" borderId="60" xfId="0" applyFont="1" applyBorder="1"/>
    <xf numFmtId="166" fontId="2" fillId="0" borderId="60" xfId="4" applyNumberFormat="1" applyFont="1" applyBorder="1"/>
    <xf numFmtId="167" fontId="0" fillId="0" borderId="0" xfId="4" applyFont="1"/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6" fontId="0" fillId="0" borderId="0" xfId="4" applyNumberFormat="1" applyFont="1"/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wrapText="1"/>
    </xf>
    <xf numFmtId="0" fontId="2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0" fillId="7" borderId="0" xfId="0" applyFill="1" applyAlignment="1">
      <alignment horizontal="center" vertical="center"/>
    </xf>
    <xf numFmtId="0" fontId="0" fillId="9" borderId="52" xfId="0" applyFill="1" applyBorder="1"/>
    <xf numFmtId="0" fontId="0" fillId="9" borderId="53" xfId="0" applyFill="1" applyBorder="1"/>
    <xf numFmtId="0" fontId="0" fillId="9" borderId="64" xfId="0" applyFill="1" applyBorder="1"/>
    <xf numFmtId="0" fontId="0" fillId="9" borderId="65" xfId="0" applyFill="1" applyBorder="1"/>
    <xf numFmtId="0" fontId="0" fillId="9" borderId="59" xfId="0" applyFill="1" applyBorder="1"/>
    <xf numFmtId="0" fontId="0" fillId="9" borderId="60" xfId="0" applyFill="1" applyBorder="1"/>
    <xf numFmtId="0" fontId="0" fillId="9" borderId="21" xfId="0" applyFill="1" applyBorder="1"/>
    <xf numFmtId="0" fontId="13" fillId="0" borderId="44" xfId="0" applyFont="1" applyBorder="1"/>
    <xf numFmtId="0" fontId="22" fillId="0" borderId="1" xfId="0" applyFont="1" applyBorder="1" applyAlignment="1">
      <alignment vertical="center" wrapText="1"/>
    </xf>
    <xf numFmtId="165" fontId="22" fillId="0" borderId="1" xfId="1" applyNumberFormat="1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165" fontId="22" fillId="0" borderId="1" xfId="1" applyNumberFormat="1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165" fontId="13" fillId="0" borderId="0" xfId="1" applyNumberFormat="1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vertical="center" wrapText="1"/>
    </xf>
    <xf numFmtId="43" fontId="0" fillId="0" borderId="0" xfId="0" applyNumberFormat="1"/>
    <xf numFmtId="0" fontId="22" fillId="0" borderId="23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29" xfId="0" applyBorder="1" applyAlignment="1">
      <alignment horizontal="center"/>
    </xf>
    <xf numFmtId="0" fontId="22" fillId="0" borderId="21" xfId="0" applyFont="1" applyBorder="1" applyAlignment="1">
      <alignment vertical="center" wrapText="1"/>
    </xf>
    <xf numFmtId="165" fontId="0" fillId="0" borderId="0" xfId="1" applyNumberFormat="1" applyFont="1"/>
    <xf numFmtId="0" fontId="0" fillId="0" borderId="23" xfId="0" applyBorder="1"/>
    <xf numFmtId="0" fontId="0" fillId="0" borderId="60" xfId="0" applyBorder="1"/>
    <xf numFmtId="0" fontId="0" fillId="0" borderId="21" xfId="0" applyBorder="1"/>
    <xf numFmtId="0" fontId="25" fillId="0" borderId="0" xfId="0" applyFont="1"/>
    <xf numFmtId="0" fontId="28" fillId="0" borderId="0" xfId="0" applyFont="1"/>
    <xf numFmtId="0" fontId="28" fillId="7" borderId="61" xfId="6" applyFont="1" applyFill="1" applyBorder="1" applyAlignment="1">
      <alignment horizontal="center" vertical="center"/>
    </xf>
    <xf numFmtId="0" fontId="28" fillId="7" borderId="62" xfId="6" applyFont="1" applyFill="1" applyBorder="1" applyAlignment="1">
      <alignment horizontal="center" vertical="center"/>
    </xf>
    <xf numFmtId="2" fontId="28" fillId="7" borderId="62" xfId="6" applyNumberFormat="1" applyFont="1" applyFill="1" applyBorder="1" applyAlignment="1">
      <alignment horizontal="center" vertical="center"/>
    </xf>
    <xf numFmtId="3" fontId="28" fillId="0" borderId="56" xfId="6" applyNumberFormat="1" applyFont="1" applyBorder="1" applyAlignment="1">
      <alignment horizontal="left" vertical="center"/>
    </xf>
    <xf numFmtId="3" fontId="28" fillId="0" borderId="59" xfId="6" applyNumberFormat="1" applyFont="1" applyBorder="1" applyAlignment="1">
      <alignment horizontal="left" vertical="center"/>
    </xf>
    <xf numFmtId="3" fontId="28" fillId="0" borderId="61" xfId="6" applyNumberFormat="1" applyFont="1" applyBorder="1" applyAlignment="1">
      <alignment horizontal="left" vertical="center"/>
    </xf>
    <xf numFmtId="3" fontId="28" fillId="0" borderId="62" xfId="6" applyNumberFormat="1" applyFont="1" applyBorder="1" applyAlignment="1">
      <alignment horizontal="left" vertical="center"/>
    </xf>
    <xf numFmtId="0" fontId="28" fillId="0" borderId="66" xfId="6" applyFont="1" applyBorder="1" applyAlignment="1">
      <alignment horizontal="left" vertical="center"/>
    </xf>
    <xf numFmtId="0" fontId="25" fillId="0" borderId="62" xfId="6" applyFont="1" applyBorder="1" applyAlignment="1">
      <alignment horizontal="center" vertical="center"/>
    </xf>
    <xf numFmtId="0" fontId="28" fillId="0" borderId="23" xfId="6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7" fillId="0" borderId="24" xfId="6" applyFont="1" applyBorder="1" applyAlignment="1">
      <alignment horizontal="center" vertical="center" wrapText="1"/>
    </xf>
    <xf numFmtId="43" fontId="27" fillId="0" borderId="24" xfId="1" applyFont="1" applyBorder="1" applyAlignment="1">
      <alignment horizontal="center" vertical="center" wrapText="1"/>
    </xf>
    <xf numFmtId="0" fontId="0" fillId="10" borderId="0" xfId="0" applyFill="1"/>
    <xf numFmtId="3" fontId="28" fillId="0" borderId="0" xfId="6" applyNumberFormat="1" applyFont="1" applyAlignment="1">
      <alignment horizontal="left" vertical="center"/>
    </xf>
    <xf numFmtId="0" fontId="0" fillId="0" borderId="56" xfId="0" applyBorder="1"/>
    <xf numFmtId="0" fontId="0" fillId="0" borderId="1" xfId="0" applyBorder="1" applyAlignment="1">
      <alignment horizontal="center"/>
    </xf>
    <xf numFmtId="0" fontId="27" fillId="11" borderId="66" xfId="6" applyFont="1" applyFill="1" applyBorder="1" applyAlignment="1">
      <alignment horizontal="left" vertical="center" wrapText="1" indent="1"/>
    </xf>
    <xf numFmtId="0" fontId="27" fillId="11" borderId="24" xfId="6" applyFont="1" applyFill="1" applyBorder="1" applyAlignment="1">
      <alignment horizontal="left" vertical="center" wrapText="1" indent="1"/>
    </xf>
    <xf numFmtId="0" fontId="29" fillId="11" borderId="48" xfId="6" applyFont="1" applyFill="1" applyBorder="1" applyAlignment="1">
      <alignment horizontal="center" vertical="center"/>
    </xf>
    <xf numFmtId="0" fontId="25" fillId="11" borderId="24" xfId="6" applyFont="1" applyFill="1" applyBorder="1" applyAlignment="1">
      <alignment horizontal="center" vertical="center"/>
    </xf>
    <xf numFmtId="0" fontId="14" fillId="12" borderId="25" xfId="0" applyFont="1" applyFill="1" applyBorder="1" applyAlignment="1">
      <alignment horizontal="left" vertical="center" wrapText="1" indent="1"/>
    </xf>
    <xf numFmtId="0" fontId="14" fillId="12" borderId="26" xfId="0" applyFont="1" applyFill="1" applyBorder="1" applyAlignment="1">
      <alignment horizontal="center" vertical="center" wrapText="1"/>
    </xf>
    <xf numFmtId="0" fontId="14" fillId="12" borderId="27" xfId="0" applyFont="1" applyFill="1" applyBorder="1" applyAlignment="1">
      <alignment horizontal="center" vertical="center" wrapText="1"/>
    </xf>
    <xf numFmtId="0" fontId="13" fillId="12" borderId="28" xfId="0" applyFont="1" applyFill="1" applyBorder="1"/>
    <xf numFmtId="0" fontId="0" fillId="12" borderId="1" xfId="0" applyFill="1" applyBorder="1"/>
    <xf numFmtId="165" fontId="2" fillId="12" borderId="1" xfId="0" applyNumberFormat="1" applyFont="1" applyFill="1" applyBorder="1"/>
    <xf numFmtId="6" fontId="0" fillId="12" borderId="29" xfId="0" applyNumberFormat="1" applyFill="1" applyBorder="1"/>
    <xf numFmtId="0" fontId="0" fillId="12" borderId="29" xfId="0" applyFill="1" applyBorder="1"/>
    <xf numFmtId="6" fontId="0" fillId="0" borderId="24" xfId="0" applyNumberFormat="1" applyBorder="1" applyAlignment="1">
      <alignment horizontal="left"/>
    </xf>
    <xf numFmtId="0" fontId="0" fillId="0" borderId="0" xfId="0" applyAlignment="1">
      <alignment vertical="center"/>
    </xf>
    <xf numFmtId="165" fontId="0" fillId="0" borderId="1" xfId="5" applyNumberFormat="1" applyFont="1" applyBorder="1"/>
    <xf numFmtId="0" fontId="0" fillId="0" borderId="67" xfId="0" applyBorder="1"/>
    <xf numFmtId="0" fontId="0" fillId="0" borderId="0" xfId="0" applyAlignment="1">
      <alignment horizontal="left"/>
    </xf>
    <xf numFmtId="0" fontId="29" fillId="11" borderId="24" xfId="6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9" fillId="0" borderId="59" xfId="6" applyFont="1" applyBorder="1" applyAlignment="1">
      <alignment horizontal="center" vertical="center"/>
    </xf>
    <xf numFmtId="0" fontId="29" fillId="11" borderId="48" xfId="6" applyFont="1" applyFill="1" applyBorder="1" applyAlignment="1">
      <alignment horizontal="right" vertical="center"/>
    </xf>
    <xf numFmtId="0" fontId="0" fillId="0" borderId="24" xfId="0" applyBorder="1" applyAlignment="1">
      <alignment vertical="center"/>
    </xf>
    <xf numFmtId="0" fontId="2" fillId="0" borderId="44" xfId="0" applyFont="1" applyBorder="1"/>
    <xf numFmtId="0" fontId="2" fillId="0" borderId="17" xfId="0" applyFont="1" applyBorder="1"/>
    <xf numFmtId="0" fontId="0" fillId="0" borderId="31" xfId="0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20" fillId="0" borderId="48" xfId="0" applyFont="1" applyBorder="1" applyAlignment="1">
      <alignment vertical="center"/>
    </xf>
    <xf numFmtId="0" fontId="20" fillId="0" borderId="49" xfId="0" applyFont="1" applyBorder="1" applyAlignment="1">
      <alignment vertical="center"/>
    </xf>
    <xf numFmtId="0" fontId="24" fillId="0" borderId="49" xfId="0" applyFont="1" applyBorder="1" applyAlignment="1">
      <alignment vertical="center"/>
    </xf>
    <xf numFmtId="6" fontId="24" fillId="0" borderId="24" xfId="0" applyNumberFormat="1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6" fontId="0" fillId="0" borderId="52" xfId="4" applyNumberFormat="1" applyFont="1" applyBorder="1" applyAlignment="1">
      <alignment horizontal="center" vertical="center" wrapText="1"/>
    </xf>
    <xf numFmtId="166" fontId="0" fillId="0" borderId="53" xfId="4" applyNumberFormat="1" applyFont="1" applyBorder="1" applyAlignment="1">
      <alignment horizontal="center" vertical="center" wrapText="1"/>
    </xf>
    <xf numFmtId="166" fontId="0" fillId="0" borderId="22" xfId="4" applyNumberFormat="1" applyFont="1" applyBorder="1" applyAlignment="1">
      <alignment horizontal="center" vertical="center" wrapText="1"/>
    </xf>
    <xf numFmtId="166" fontId="0" fillId="0" borderId="56" xfId="4" applyNumberFormat="1" applyFont="1" applyBorder="1" applyAlignment="1">
      <alignment horizontal="center" vertical="center" wrapText="1"/>
    </xf>
    <xf numFmtId="166" fontId="0" fillId="0" borderId="0" xfId="4" applyNumberFormat="1" applyFont="1" applyAlignment="1">
      <alignment horizontal="center" vertical="center" wrapText="1"/>
    </xf>
    <xf numFmtId="166" fontId="0" fillId="0" borderId="23" xfId="4" applyNumberFormat="1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5" fillId="0" borderId="63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justify" vertical="center" wrapText="1"/>
    </xf>
    <xf numFmtId="0" fontId="15" fillId="2" borderId="4" xfId="0" applyFont="1" applyFill="1" applyBorder="1" applyAlignment="1">
      <alignment horizontal="justify" vertical="center" wrapText="1"/>
    </xf>
    <xf numFmtId="0" fontId="15" fillId="2" borderId="8" xfId="0" applyFont="1" applyFill="1" applyBorder="1" applyAlignment="1">
      <alignment horizontal="left" vertical="center" wrapText="1" indent="1"/>
    </xf>
    <xf numFmtId="0" fontId="15" fillId="2" borderId="4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 indent="2"/>
    </xf>
    <xf numFmtId="0" fontId="4" fillId="2" borderId="4" xfId="0" applyFont="1" applyFill="1" applyBorder="1" applyAlignment="1">
      <alignment horizontal="left" vertical="center" wrapText="1" indent="2"/>
    </xf>
    <xf numFmtId="0" fontId="11" fillId="0" borderId="8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 wrapText="1"/>
    </xf>
    <xf numFmtId="0" fontId="0" fillId="0" borderId="49" xfId="0" applyBorder="1"/>
    <xf numFmtId="0" fontId="0" fillId="0" borderId="50" xfId="0" applyBorder="1"/>
    <xf numFmtId="0" fontId="27" fillId="11" borderId="48" xfId="6" applyFont="1" applyFill="1" applyBorder="1" applyAlignment="1">
      <alignment horizontal="left" vertical="center" wrapText="1"/>
    </xf>
    <xf numFmtId="0" fontId="30" fillId="11" borderId="49" xfId="6" applyFont="1" applyFill="1" applyBorder="1" applyAlignment="1">
      <alignment horizontal="center" vertical="center" wrapText="1"/>
    </xf>
    <xf numFmtId="0" fontId="30" fillId="11" borderId="50" xfId="6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/>
    </xf>
    <xf numFmtId="0" fontId="2" fillId="0" borderId="47" xfId="0" applyFont="1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7">
    <cellStyle name="Comma" xfId="1" builtinId="3"/>
    <cellStyle name="Comma 2" xfId="2" xr:uid="{E4F0521B-64F4-43DB-833E-26E1DA7D5BFF}"/>
    <cellStyle name="Comma 3" xfId="4" xr:uid="{FBCCB284-2782-48F8-95D1-143B4A03A31F}"/>
    <cellStyle name="Comma 6" xfId="5" xr:uid="{4FE26F09-79D7-4AA5-B938-47BAF34479A2}"/>
    <cellStyle name="Normal" xfId="0" builtinId="0"/>
    <cellStyle name="Normal 10 2" xfId="6" xr:uid="{473EBAE2-AAB7-4C76-A658-80670A3C44E3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North Pit 5 -</a:t>
            </a:r>
            <a:r>
              <a:rPr lang="en-ZA" baseline="0"/>
              <a:t> year plan</a:t>
            </a:r>
            <a:endParaRPr lang="en-ZA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Production!$A$10</c:f>
              <c:strCache>
                <c:ptCount val="1"/>
                <c:pt idx="0">
                  <c:v>NorthPit Ore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Production!$B$9:$G$9</c:f>
              <c:strCache>
                <c:ptCount val="6"/>
                <c:pt idx="0">
                  <c:v>2025/2026</c:v>
                </c:pt>
                <c:pt idx="1">
                  <c:v>2026/2027</c:v>
                </c:pt>
                <c:pt idx="2">
                  <c:v>2027/2028</c:v>
                </c:pt>
                <c:pt idx="3">
                  <c:v>2028/2029</c:v>
                </c:pt>
                <c:pt idx="4">
                  <c:v>2029/20230</c:v>
                </c:pt>
                <c:pt idx="5">
                  <c:v>2030/2031</c:v>
                </c:pt>
              </c:strCache>
            </c:strRef>
          </c:cat>
          <c:val>
            <c:numRef>
              <c:f>Production!$B$10:$G$10</c:f>
              <c:numCache>
                <c:formatCode>0.0</c:formatCode>
                <c:ptCount val="6"/>
                <c:pt idx="0">
                  <c:v>5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F-4997-9EBC-60369070724B}"/>
            </c:ext>
          </c:extLst>
        </c:ser>
        <c:ser>
          <c:idx val="1"/>
          <c:order val="1"/>
          <c:tx>
            <c:strRef>
              <c:f>Production!$A$11</c:f>
              <c:strCache>
                <c:ptCount val="1"/>
                <c:pt idx="0">
                  <c:v>NorthPit Waste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  <a:sp3d/>
          </c:spPr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1116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Production!$B$9:$G$9</c:f>
              <c:strCache>
                <c:ptCount val="6"/>
                <c:pt idx="0">
                  <c:v>2025/2026</c:v>
                </c:pt>
                <c:pt idx="1">
                  <c:v>2026/2027</c:v>
                </c:pt>
                <c:pt idx="2">
                  <c:v>2027/2028</c:v>
                </c:pt>
                <c:pt idx="3">
                  <c:v>2028/2029</c:v>
                </c:pt>
                <c:pt idx="4">
                  <c:v>2029/20230</c:v>
                </c:pt>
                <c:pt idx="5">
                  <c:v>2030/2031</c:v>
                </c:pt>
              </c:strCache>
            </c:strRef>
          </c:cat>
          <c:val>
            <c:numRef>
              <c:f>Production!$B$11:$G$11</c:f>
              <c:numCache>
                <c:formatCode>General</c:formatCode>
                <c:ptCount val="6"/>
                <c:pt idx="0" formatCode="0.0">
                  <c:v>2.3000000000000003</c:v>
                </c:pt>
                <c:pt idx="1">
                  <c:v>2.7600000000000002</c:v>
                </c:pt>
                <c:pt idx="2">
                  <c:v>2.7600000000000002</c:v>
                </c:pt>
                <c:pt idx="3">
                  <c:v>2.7600000000000002</c:v>
                </c:pt>
                <c:pt idx="4">
                  <c:v>2.7600000000000002</c:v>
                </c:pt>
                <c:pt idx="5">
                  <c:v>2.7600000000000002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DF-4997-9EBC-60369070724B}"/>
            </c:ext>
          </c:extLst>
        </c:ser>
        <c:ser>
          <c:idx val="2"/>
          <c:order val="2"/>
          <c:tx>
            <c:strRef>
              <c:f>Production!$A$12</c:f>
              <c:strCache>
                <c:ptCount val="1"/>
                <c:pt idx="0">
                  <c:v>Total Rock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Production!$B$9:$G$9</c:f>
              <c:strCache>
                <c:ptCount val="6"/>
                <c:pt idx="0">
                  <c:v>2025/2026</c:v>
                </c:pt>
                <c:pt idx="1">
                  <c:v>2026/2027</c:v>
                </c:pt>
                <c:pt idx="2">
                  <c:v>2027/2028</c:v>
                </c:pt>
                <c:pt idx="3">
                  <c:v>2028/2029</c:v>
                </c:pt>
                <c:pt idx="4">
                  <c:v>2029/20230</c:v>
                </c:pt>
                <c:pt idx="5">
                  <c:v>2030/2031</c:v>
                </c:pt>
              </c:strCache>
            </c:strRef>
          </c:cat>
          <c:val>
            <c:numRef>
              <c:f>Production!$B$12:$G$12</c:f>
              <c:numCache>
                <c:formatCode>0.0</c:formatCode>
                <c:ptCount val="6"/>
                <c:pt idx="0">
                  <c:v>7.3000000000000007</c:v>
                </c:pt>
                <c:pt idx="1">
                  <c:v>8.76</c:v>
                </c:pt>
                <c:pt idx="2">
                  <c:v>8.76</c:v>
                </c:pt>
                <c:pt idx="3">
                  <c:v>8.76</c:v>
                </c:pt>
                <c:pt idx="4">
                  <c:v>8.76</c:v>
                </c:pt>
                <c:pt idx="5">
                  <c:v>8.76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DF-4997-9EBC-603690707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5502143"/>
        <c:axId val="335503583"/>
        <c:axId val="0"/>
      </c:bar3DChart>
      <c:catAx>
        <c:axId val="3355021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Financial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503583"/>
        <c:crosses val="autoZero"/>
        <c:auto val="1"/>
        <c:lblAlgn val="ctr"/>
        <c:lblOffset val="100"/>
        <c:noMultiLvlLbl val="0"/>
      </c:catAx>
      <c:valAx>
        <c:axId val="33550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Tonnes (mt)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5502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500062</xdr:colOff>
      <xdr:row>4</xdr:row>
      <xdr:rowOff>185736</xdr:rowOff>
    </xdr:from>
    <xdr:to>
      <xdr:col>28</xdr:col>
      <xdr:colOff>200025</xdr:colOff>
      <xdr:row>22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2606505-ED77-7A46-C970-CFF2FD38D9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mashudut\AppData\Local\Microsoft\Olk\Attachments\ooa-fa3a19da-ae85-415c-822c-682fec1b19a0\6bc0f8e5851938283322843a76db6e7c5738f58fdc3ac06ba98d99db7a2edde2\Tonnage%20movement%20report%20-%20August%202025.xlsx" TargetMode="External"/><Relationship Id="rId2" Type="http://schemas.microsoft.com/office/2019/04/relationships/externalLinkLongPath" Target="/Users/mashudut/AppData/Local/Microsoft/Olk/Attachments/ooa-fa3a19da-ae85-415c-822c-682fec1b19a0/6bc0f8e5851938283322843a76db6e7c5738f58fdc3ac06ba98d99db7a2edde2/Tonnage%20movement%20report%20-%20August%202025.xlsx?0B9FE71F" TargetMode="External"/><Relationship Id="rId1" Type="http://schemas.openxmlformats.org/officeDocument/2006/relationships/externalLinkPath" Target="file:///\\0B9FE71F\Tonnage%20movement%20report%20-%20August%202025.xlsx" TargetMode="External"/><Relationship Id="rId4" Type="http://schemas.openxmlformats.org/officeDocument/2006/relationships/externalLinkPath" Target="../../../../../../../Users/mashudut/AppData/Local/Microsoft/Olk/Attachments/ooa-fa3a19da-ae85-415c-822c-682fec1b19a0/6bc0f8e5851938283322843a76db6e7c5738f58fdc3ac06ba98d99db7a2edde2/Tonnage%20movement%20report%20-%20August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Sur-Oper Report"/>
      <sheetName val="Sheet1"/>
      <sheetName val="ROM Ex Pit(inc. PPV)"/>
      <sheetName val="ORE TO CRUSHERS"/>
      <sheetName val="WASTE"/>
      <sheetName val="Sheet3"/>
      <sheetName val="Sheet6"/>
    </sheetNames>
    <sheetDataSet>
      <sheetData sheetId="0">
        <row r="536">
          <cell r="DC536">
            <v>1423151</v>
          </cell>
        </row>
        <row r="543">
          <cell r="DC543">
            <v>1192135</v>
          </cell>
        </row>
        <row r="544">
          <cell r="DC544">
            <v>1152939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B9F9-757B-4E55-8D02-51434F458D41}">
  <dimension ref="A1:K47"/>
  <sheetViews>
    <sheetView workbookViewId="0">
      <selection activeCell="B15" sqref="B15"/>
    </sheetView>
  </sheetViews>
  <sheetFormatPr defaultRowHeight="14.5" x14ac:dyDescent="0.35"/>
  <cols>
    <col min="1" max="1" width="20.90625" bestFit="1" customWidth="1"/>
    <col min="3" max="3" width="12.90625" bestFit="1" customWidth="1"/>
    <col min="4" max="4" width="12.54296875" bestFit="1" customWidth="1"/>
    <col min="5" max="5" width="9.54296875" bestFit="1" customWidth="1"/>
    <col min="6" max="6" width="10.6328125" bestFit="1" customWidth="1"/>
    <col min="7" max="8" width="9.6328125" bestFit="1" customWidth="1"/>
    <col min="9" max="9" width="16.90625" customWidth="1"/>
    <col min="10" max="10" width="23" customWidth="1"/>
  </cols>
  <sheetData>
    <row r="1" spans="1:11" x14ac:dyDescent="0.35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1" x14ac:dyDescent="0.35">
      <c r="A2" s="4" t="s">
        <v>9</v>
      </c>
      <c r="B2" s="4" t="s">
        <v>2</v>
      </c>
      <c r="C2" s="4" t="s">
        <v>4</v>
      </c>
      <c r="D2" s="4" t="s">
        <v>5</v>
      </c>
      <c r="E2" s="4" t="s">
        <v>6</v>
      </c>
      <c r="F2" s="4" t="s">
        <v>7</v>
      </c>
      <c r="G2" s="4"/>
      <c r="H2" s="4"/>
      <c r="I2" s="4"/>
      <c r="J2" s="4" t="s">
        <v>8</v>
      </c>
    </row>
    <row r="3" spans="1:11" x14ac:dyDescent="0.35">
      <c r="A3" s="1" t="s">
        <v>160</v>
      </c>
      <c r="B3" s="1" t="s">
        <v>3</v>
      </c>
      <c r="C3" s="1">
        <v>10.3</v>
      </c>
      <c r="D3" s="1">
        <v>10.7</v>
      </c>
      <c r="E3" s="1">
        <v>10.7</v>
      </c>
      <c r="F3" s="1">
        <v>10.7</v>
      </c>
      <c r="G3" s="1"/>
      <c r="H3" s="1"/>
      <c r="I3" s="1"/>
      <c r="J3" s="1">
        <v>10.7</v>
      </c>
      <c r="K3">
        <f>SUM(C3:J3)</f>
        <v>53.099999999999994</v>
      </c>
    </row>
    <row r="4" spans="1:11" x14ac:dyDescent="0.35">
      <c r="A4" s="1" t="s">
        <v>161</v>
      </c>
      <c r="B4" s="1" t="s">
        <v>3</v>
      </c>
      <c r="C4" s="2">
        <v>3.9</v>
      </c>
      <c r="D4" s="1">
        <v>3.3</v>
      </c>
      <c r="E4" s="1">
        <v>3.3</v>
      </c>
      <c r="F4" s="1">
        <v>3.3</v>
      </c>
      <c r="G4" s="1"/>
      <c r="H4" s="1"/>
      <c r="I4" s="1"/>
      <c r="J4" s="1">
        <v>3.3</v>
      </c>
      <c r="K4">
        <f>SUM(C4:J4)</f>
        <v>17.100000000000001</v>
      </c>
    </row>
    <row r="5" spans="1:11" x14ac:dyDescent="0.35">
      <c r="A5" s="1" t="s">
        <v>162</v>
      </c>
      <c r="B5" s="1"/>
      <c r="C5" s="3">
        <f>C4/C3</f>
        <v>0.37864077669902907</v>
      </c>
      <c r="D5" s="3">
        <f>D4/D3</f>
        <v>0.30841121495327101</v>
      </c>
      <c r="E5" s="3">
        <f t="shared" ref="E5:J5" si="0">E4/E3</f>
        <v>0.30841121495327101</v>
      </c>
      <c r="F5" s="3">
        <f t="shared" si="0"/>
        <v>0.30841121495327101</v>
      </c>
      <c r="G5" s="3"/>
      <c r="H5" s="3"/>
      <c r="I5" s="3"/>
      <c r="J5" s="3">
        <f t="shared" si="0"/>
        <v>0.30841121495327101</v>
      </c>
    </row>
    <row r="6" spans="1:11" x14ac:dyDescent="0.35">
      <c r="A6" s="1" t="s">
        <v>1</v>
      </c>
      <c r="B6" s="1" t="s">
        <v>3</v>
      </c>
      <c r="C6" s="27">
        <f>C3+C4</f>
        <v>14.200000000000001</v>
      </c>
      <c r="D6" s="27">
        <f t="shared" ref="D6:J6" si="1">D3+D4</f>
        <v>14</v>
      </c>
      <c r="E6" s="27">
        <f t="shared" si="1"/>
        <v>14</v>
      </c>
      <c r="F6" s="27">
        <f t="shared" si="1"/>
        <v>14</v>
      </c>
      <c r="G6" s="27"/>
      <c r="H6" s="27"/>
      <c r="I6" s="27"/>
      <c r="J6" s="27">
        <f t="shared" si="1"/>
        <v>14</v>
      </c>
      <c r="K6">
        <f>SUM(C6:J6)</f>
        <v>70.2</v>
      </c>
    </row>
    <row r="9" spans="1:11" x14ac:dyDescent="0.35">
      <c r="A9" s="4" t="s">
        <v>9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163</v>
      </c>
      <c r="H9" s="4" t="s">
        <v>164</v>
      </c>
      <c r="I9" s="110"/>
      <c r="J9" s="110" t="s">
        <v>155</v>
      </c>
    </row>
    <row r="10" spans="1:11" x14ac:dyDescent="0.35">
      <c r="A10" s="1" t="s">
        <v>160</v>
      </c>
      <c r="B10" s="27">
        <v>5</v>
      </c>
      <c r="C10" s="27">
        <v>6</v>
      </c>
      <c r="D10" s="27">
        <v>6</v>
      </c>
      <c r="E10" s="27">
        <v>6</v>
      </c>
      <c r="F10" s="27">
        <v>6</v>
      </c>
      <c r="G10" s="27">
        <v>6</v>
      </c>
      <c r="H10" s="28"/>
      <c r="I10" s="28"/>
      <c r="J10" s="28">
        <f>SUM(B10:G10)</f>
        <v>35</v>
      </c>
    </row>
    <row r="11" spans="1:11" x14ac:dyDescent="0.35">
      <c r="A11" s="1" t="s">
        <v>161</v>
      </c>
      <c r="B11" s="28">
        <v>2.3000000000000003</v>
      </c>
      <c r="C11" s="1">
        <v>2.7600000000000002</v>
      </c>
      <c r="D11" s="1">
        <v>2.7600000000000002</v>
      </c>
      <c r="E11" s="1">
        <v>2.7600000000000002</v>
      </c>
      <c r="F11" s="1">
        <v>2.7600000000000002</v>
      </c>
      <c r="G11" s="1">
        <v>2.7600000000000002</v>
      </c>
      <c r="J11" s="28">
        <f t="shared" ref="J11:J12" si="2">SUM(B11:G11)</f>
        <v>16.100000000000001</v>
      </c>
    </row>
    <row r="12" spans="1:11" x14ac:dyDescent="0.35">
      <c r="A12" s="1" t="s">
        <v>1</v>
      </c>
      <c r="B12" s="28">
        <v>7.3000000000000007</v>
      </c>
      <c r="C12" s="28">
        <v>8.76</v>
      </c>
      <c r="D12" s="28">
        <v>8.76</v>
      </c>
      <c r="E12" s="28">
        <v>8.76</v>
      </c>
      <c r="F12" s="28">
        <v>8.76</v>
      </c>
      <c r="G12" s="28">
        <v>8.76</v>
      </c>
      <c r="H12" s="28"/>
      <c r="I12" s="28"/>
      <c r="J12" s="28">
        <f t="shared" si="2"/>
        <v>51.099999999999994</v>
      </c>
    </row>
    <row r="13" spans="1:11" x14ac:dyDescent="0.35">
      <c r="B13" s="84">
        <f>B11/B10</f>
        <v>0.46000000000000008</v>
      </c>
      <c r="C13" s="84">
        <f t="shared" ref="C13:G13" si="3">C11/C10</f>
        <v>0.46</v>
      </c>
      <c r="D13" s="84">
        <f t="shared" si="3"/>
        <v>0.46</v>
      </c>
      <c r="E13" s="84">
        <f t="shared" si="3"/>
        <v>0.46</v>
      </c>
      <c r="F13" s="84">
        <f t="shared" si="3"/>
        <v>0.46</v>
      </c>
      <c r="G13" s="84">
        <f t="shared" si="3"/>
        <v>0.46</v>
      </c>
      <c r="H13" s="84"/>
      <c r="I13" s="84"/>
    </row>
    <row r="19" spans="1:10" x14ac:dyDescent="0.35">
      <c r="A19" t="s">
        <v>156</v>
      </c>
      <c r="B19" s="85">
        <f>'[1]Sur-Oper Report'!$DC$536+'[1]Sur-Oper Report'!$DC$543</f>
        <v>2615286</v>
      </c>
      <c r="C19" s="85">
        <f>B19*2</f>
        <v>5230572</v>
      </c>
    </row>
    <row r="20" spans="1:10" x14ac:dyDescent="0.35">
      <c r="A20" t="s">
        <v>157</v>
      </c>
      <c r="B20" s="85">
        <f>'[1]Sur-Oper Report'!$DC$544</f>
        <v>1152939</v>
      </c>
      <c r="C20" s="86">
        <f>B20*2</f>
        <v>2305878</v>
      </c>
    </row>
    <row r="21" spans="1:10" x14ac:dyDescent="0.35">
      <c r="A21" t="s">
        <v>158</v>
      </c>
      <c r="B21" s="113">
        <f>B19+B20</f>
        <v>3768225</v>
      </c>
      <c r="C21" s="86">
        <f>B21*2</f>
        <v>7536450</v>
      </c>
    </row>
    <row r="22" spans="1:10" x14ac:dyDescent="0.35">
      <c r="A22" t="s">
        <v>159</v>
      </c>
      <c r="B22" s="84">
        <f>B20/B19</f>
        <v>0.44084624014352541</v>
      </c>
    </row>
    <row r="24" spans="1:10" x14ac:dyDescent="0.35">
      <c r="A24" s="4" t="s">
        <v>9</v>
      </c>
      <c r="B24" s="4" t="s">
        <v>4</v>
      </c>
      <c r="C24" s="4" t="s">
        <v>5</v>
      </c>
      <c r="D24" s="4" t="s">
        <v>6</v>
      </c>
      <c r="E24" s="4" t="s">
        <v>7</v>
      </c>
      <c r="F24" s="4" t="s">
        <v>8</v>
      </c>
      <c r="G24" s="110"/>
      <c r="H24" s="110"/>
      <c r="I24" s="110"/>
      <c r="J24" s="110" t="s">
        <v>155</v>
      </c>
    </row>
    <row r="25" spans="1:10" x14ac:dyDescent="0.35">
      <c r="A25" s="1" t="s">
        <v>160</v>
      </c>
      <c r="B25" s="1">
        <v>5</v>
      </c>
      <c r="C25" s="1">
        <v>6</v>
      </c>
      <c r="D25" s="1">
        <v>6</v>
      </c>
      <c r="E25" s="1">
        <v>6</v>
      </c>
      <c r="F25" s="1">
        <v>6</v>
      </c>
      <c r="J25">
        <f>SUM(B25:F25)</f>
        <v>29</v>
      </c>
    </row>
    <row r="26" spans="1:10" x14ac:dyDescent="0.35">
      <c r="A26" s="1" t="s">
        <v>161</v>
      </c>
      <c r="B26" s="2">
        <f>0.46*B25</f>
        <v>2.3000000000000003</v>
      </c>
      <c r="C26" s="2">
        <f t="shared" ref="C26:F26" si="4">0.46*C25</f>
        <v>2.7600000000000002</v>
      </c>
      <c r="D26" s="2">
        <f t="shared" si="4"/>
        <v>2.7600000000000002</v>
      </c>
      <c r="E26" s="2">
        <f t="shared" si="4"/>
        <v>2.7600000000000002</v>
      </c>
      <c r="F26" s="2">
        <f t="shared" si="4"/>
        <v>2.7600000000000002</v>
      </c>
      <c r="G26" s="83"/>
      <c r="H26" s="83"/>
      <c r="I26" s="83"/>
      <c r="J26">
        <f>SUM(B26:F26)</f>
        <v>13.34</v>
      </c>
    </row>
    <row r="27" spans="1:10" x14ac:dyDescent="0.35">
      <c r="A27" s="1" t="s">
        <v>1</v>
      </c>
      <c r="B27" s="28">
        <f>B25+B26</f>
        <v>7.3000000000000007</v>
      </c>
      <c r="C27" s="28">
        <f t="shared" ref="C27:F27" si="5">C25+C26</f>
        <v>8.76</v>
      </c>
      <c r="D27" s="28">
        <f t="shared" si="5"/>
        <v>8.76</v>
      </c>
      <c r="E27" s="28">
        <f t="shared" si="5"/>
        <v>8.76</v>
      </c>
      <c r="F27" s="28">
        <f t="shared" si="5"/>
        <v>8.76</v>
      </c>
      <c r="G27" s="28"/>
      <c r="H27" s="28"/>
      <c r="I27" s="28"/>
      <c r="J27">
        <f>SUM(B27:F27)</f>
        <v>42.339999999999996</v>
      </c>
    </row>
    <row r="28" spans="1:10" x14ac:dyDescent="0.35">
      <c r="B28" s="84">
        <f>B26/B25</f>
        <v>0.46000000000000008</v>
      </c>
      <c r="C28" s="84">
        <f t="shared" ref="C28:F28" si="6">C26/C25</f>
        <v>0.46</v>
      </c>
      <c r="D28" s="84">
        <f t="shared" si="6"/>
        <v>0.46</v>
      </c>
      <c r="E28" s="84">
        <f t="shared" si="6"/>
        <v>0.46</v>
      </c>
      <c r="F28" s="84">
        <f t="shared" si="6"/>
        <v>0.46</v>
      </c>
      <c r="G28" s="84"/>
      <c r="H28" s="84"/>
      <c r="I28" s="84"/>
    </row>
    <row r="30" spans="1:10" x14ac:dyDescent="0.35">
      <c r="A30" s="4" t="s">
        <v>9</v>
      </c>
      <c r="B30" s="4" t="s">
        <v>4</v>
      </c>
      <c r="C30" s="4" t="s">
        <v>5</v>
      </c>
      <c r="D30" s="4" t="s">
        <v>6</v>
      </c>
      <c r="E30" s="4" t="s">
        <v>7</v>
      </c>
      <c r="F30" s="4" t="s">
        <v>8</v>
      </c>
      <c r="G30" s="4" t="s">
        <v>163</v>
      </c>
      <c r="H30" s="110"/>
      <c r="I30" s="110"/>
      <c r="J30" s="110" t="s">
        <v>155</v>
      </c>
    </row>
    <row r="31" spans="1:10" x14ac:dyDescent="0.35">
      <c r="A31" s="1" t="s">
        <v>160</v>
      </c>
      <c r="B31" s="27">
        <v>5</v>
      </c>
      <c r="C31" s="27">
        <v>6</v>
      </c>
      <c r="D31" s="27">
        <v>6</v>
      </c>
      <c r="E31" s="27">
        <v>6</v>
      </c>
      <c r="F31" s="27">
        <v>6</v>
      </c>
      <c r="G31" s="27">
        <v>6</v>
      </c>
      <c r="H31" s="28"/>
      <c r="I31" s="28"/>
      <c r="J31" s="28">
        <f>SUM(C31:G31)</f>
        <v>30</v>
      </c>
    </row>
    <row r="32" spans="1:10" x14ac:dyDescent="0.35">
      <c r="A32" s="1" t="s">
        <v>161</v>
      </c>
      <c r="B32" s="2">
        <v>2.3000000000000003</v>
      </c>
      <c r="C32" s="1">
        <v>2.7600000000000002</v>
      </c>
      <c r="D32" s="1">
        <v>2.7600000000000002</v>
      </c>
      <c r="E32" s="1">
        <v>2.7600000000000002</v>
      </c>
      <c r="F32" s="1">
        <v>2.7600000000000002</v>
      </c>
      <c r="G32" s="1">
        <v>2.7600000000000002</v>
      </c>
      <c r="J32" s="28">
        <f t="shared" ref="J32" si="7">SUM(C32:G32)</f>
        <v>13.8</v>
      </c>
    </row>
    <row r="33" spans="1:10" x14ac:dyDescent="0.35">
      <c r="A33" s="1" t="s">
        <v>1</v>
      </c>
      <c r="B33" s="28">
        <v>7.3000000000000007</v>
      </c>
      <c r="C33" s="28">
        <v>8.76</v>
      </c>
      <c r="D33" s="28">
        <v>8.76</v>
      </c>
      <c r="E33" s="28">
        <v>8.76</v>
      </c>
      <c r="F33" s="28">
        <v>8.76</v>
      </c>
      <c r="G33" s="28">
        <v>8.76</v>
      </c>
      <c r="H33" s="28"/>
      <c r="I33" s="28"/>
      <c r="J33" s="28">
        <f>SUM(C33:G33)</f>
        <v>43.8</v>
      </c>
    </row>
    <row r="34" spans="1:10" x14ac:dyDescent="0.35">
      <c r="B34" s="84">
        <f>B32/B31</f>
        <v>0.46000000000000008</v>
      </c>
      <c r="C34" s="84">
        <f t="shared" ref="C34:G34" si="8">C32/C31</f>
        <v>0.46</v>
      </c>
      <c r="D34" s="84">
        <f t="shared" si="8"/>
        <v>0.46</v>
      </c>
      <c r="E34" s="84">
        <f t="shared" si="8"/>
        <v>0.46</v>
      </c>
      <c r="F34" s="84">
        <f t="shared" si="8"/>
        <v>0.46</v>
      </c>
      <c r="G34" s="84">
        <f t="shared" si="8"/>
        <v>0.46</v>
      </c>
      <c r="H34" s="84"/>
      <c r="I34" s="84"/>
    </row>
    <row r="38" spans="1:10" x14ac:dyDescent="0.35">
      <c r="D38" t="s">
        <v>51</v>
      </c>
    </row>
    <row r="39" spans="1:10" x14ac:dyDescent="0.35">
      <c r="B39" t="s">
        <v>50</v>
      </c>
      <c r="C39">
        <v>9</v>
      </c>
      <c r="D39">
        <f>332+1423+536+185</f>
        <v>2476</v>
      </c>
      <c r="J39">
        <f>360+372+909+708+177+400</f>
        <v>2926</v>
      </c>
    </row>
    <row r="40" spans="1:10" x14ac:dyDescent="0.35">
      <c r="C40">
        <v>8</v>
      </c>
      <c r="D40">
        <f>376+1272+536+185</f>
        <v>2369</v>
      </c>
    </row>
    <row r="41" spans="1:10" x14ac:dyDescent="0.35">
      <c r="C41">
        <v>7</v>
      </c>
      <c r="D41">
        <f>463+1122+536+185</f>
        <v>2306</v>
      </c>
    </row>
    <row r="42" spans="1:10" x14ac:dyDescent="0.35">
      <c r="C42">
        <v>6</v>
      </c>
      <c r="D42">
        <f>565+971+536+185</f>
        <v>2257</v>
      </c>
      <c r="F42">
        <f>-94+71</f>
        <v>-23</v>
      </c>
    </row>
    <row r="43" spans="1:10" x14ac:dyDescent="0.35">
      <c r="C43">
        <v>5</v>
      </c>
      <c r="D43">
        <f>682+815+536+185</f>
        <v>2218</v>
      </c>
    </row>
    <row r="44" spans="1:10" x14ac:dyDescent="0.35">
      <c r="C44">
        <v>4</v>
      </c>
      <c r="D44">
        <f>732+569+536+185</f>
        <v>2022</v>
      </c>
    </row>
    <row r="45" spans="1:10" x14ac:dyDescent="0.35">
      <c r="C45">
        <v>3</v>
      </c>
      <c r="D45">
        <f>650+374+536+185</f>
        <v>1745</v>
      </c>
    </row>
    <row r="46" spans="1:10" x14ac:dyDescent="0.35">
      <c r="C46">
        <v>2</v>
      </c>
    </row>
    <row r="47" spans="1:10" x14ac:dyDescent="0.35">
      <c r="C47">
        <v>1</v>
      </c>
    </row>
  </sheetData>
  <mergeCells count="1">
    <mergeCell ref="A1:J1"/>
  </mergeCells>
  <phoneticPr fontId="3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E11B2-44F7-47EF-B56E-DEF3FB9E36FA}">
  <dimension ref="A1:K42"/>
  <sheetViews>
    <sheetView topLeftCell="A35" workbookViewId="0">
      <selection activeCell="C22" sqref="C22:C25"/>
    </sheetView>
  </sheetViews>
  <sheetFormatPr defaultRowHeight="14.5" x14ac:dyDescent="0.35"/>
  <cols>
    <col min="2" max="2" width="43.90625" customWidth="1"/>
    <col min="3" max="3" width="21.36328125" customWidth="1"/>
  </cols>
  <sheetData>
    <row r="1" spans="1:11" ht="29" x14ac:dyDescent="0.35">
      <c r="A1" s="29" t="s">
        <v>52</v>
      </c>
      <c r="B1" s="29" t="s">
        <v>56</v>
      </c>
      <c r="C1" s="30" t="s">
        <v>55</v>
      </c>
      <c r="D1" s="285" t="s">
        <v>53</v>
      </c>
      <c r="E1" s="285"/>
      <c r="F1" s="285"/>
      <c r="G1" s="285"/>
      <c r="H1" s="285"/>
    </row>
    <row r="2" spans="1:11" ht="15" customHeight="1" x14ac:dyDescent="0.35">
      <c r="A2" s="296" t="s">
        <v>54</v>
      </c>
      <c r="B2" s="296"/>
      <c r="C2" s="296"/>
      <c r="D2" s="330"/>
      <c r="E2" s="330"/>
      <c r="F2" s="330"/>
      <c r="G2" s="330"/>
      <c r="H2" s="330"/>
    </row>
    <row r="3" spans="1:11" ht="45" customHeight="1" x14ac:dyDescent="0.35">
      <c r="A3" s="274">
        <v>1</v>
      </c>
      <c r="B3" s="331" t="s">
        <v>57</v>
      </c>
      <c r="C3" s="331"/>
      <c r="D3" s="277" t="s">
        <v>61</v>
      </c>
      <c r="E3" s="278"/>
      <c r="F3" s="278"/>
      <c r="G3" s="278"/>
      <c r="H3" s="279"/>
    </row>
    <row r="4" spans="1:11" x14ac:dyDescent="0.35">
      <c r="A4" s="275"/>
      <c r="B4" s="31" t="s">
        <v>58</v>
      </c>
      <c r="C4" s="274">
        <v>10</v>
      </c>
      <c r="D4" s="280"/>
      <c r="E4" s="231"/>
      <c r="F4" s="231"/>
      <c r="G4" s="231"/>
      <c r="H4" s="281"/>
    </row>
    <row r="5" spans="1:11" x14ac:dyDescent="0.35">
      <c r="A5" s="275"/>
      <c r="B5" s="32" t="s">
        <v>59</v>
      </c>
      <c r="C5" s="275"/>
      <c r="D5" s="280"/>
      <c r="E5" s="231"/>
      <c r="F5" s="231"/>
      <c r="G5" s="231"/>
      <c r="H5" s="281"/>
    </row>
    <row r="6" spans="1:11" x14ac:dyDescent="0.35">
      <c r="A6" s="275"/>
      <c r="B6" s="32" t="s">
        <v>124</v>
      </c>
      <c r="C6" s="275"/>
      <c r="D6" s="280"/>
      <c r="E6" s="231"/>
      <c r="F6" s="231"/>
      <c r="G6" s="231"/>
      <c r="H6" s="281"/>
    </row>
    <row r="7" spans="1:11" x14ac:dyDescent="0.35">
      <c r="A7" s="275"/>
      <c r="B7" s="32" t="s">
        <v>125</v>
      </c>
      <c r="C7" s="275"/>
      <c r="D7" s="280"/>
      <c r="E7" s="231"/>
      <c r="F7" s="231"/>
      <c r="G7" s="231"/>
      <c r="H7" s="281"/>
    </row>
    <row r="8" spans="1:11" x14ac:dyDescent="0.35">
      <c r="A8" s="276"/>
      <c r="B8" s="33" t="s">
        <v>60</v>
      </c>
      <c r="C8" s="276"/>
      <c r="D8" s="282"/>
      <c r="E8" s="283"/>
      <c r="F8" s="283"/>
      <c r="G8" s="283"/>
      <c r="H8" s="284"/>
    </row>
    <row r="9" spans="1:11" ht="15" customHeight="1" x14ac:dyDescent="0.35">
      <c r="A9" s="274">
        <v>2</v>
      </c>
      <c r="B9" s="326" t="s">
        <v>126</v>
      </c>
      <c r="C9" s="327"/>
      <c r="D9" s="277" t="s">
        <v>127</v>
      </c>
      <c r="E9" s="278"/>
      <c r="F9" s="278"/>
      <c r="G9" s="278"/>
      <c r="H9" s="279"/>
      <c r="K9">
        <f>C4+C11+C18+C22+C26+C34+C40</f>
        <v>100</v>
      </c>
    </row>
    <row r="10" spans="1:11" ht="39" customHeight="1" x14ac:dyDescent="0.35">
      <c r="A10" s="275"/>
      <c r="B10" s="328"/>
      <c r="C10" s="329"/>
      <c r="D10" s="280"/>
      <c r="E10" s="231"/>
      <c r="F10" s="231"/>
      <c r="G10" s="231"/>
      <c r="H10" s="281"/>
    </row>
    <row r="11" spans="1:11" x14ac:dyDescent="0.35">
      <c r="A11" s="275"/>
      <c r="B11" s="31" t="s">
        <v>58</v>
      </c>
      <c r="C11" s="274">
        <v>10</v>
      </c>
      <c r="D11" s="280"/>
      <c r="E11" s="231"/>
      <c r="F11" s="231"/>
      <c r="G11" s="231"/>
      <c r="H11" s="281"/>
    </row>
    <row r="12" spans="1:11" x14ac:dyDescent="0.35">
      <c r="A12" s="275"/>
      <c r="B12" s="32" t="s">
        <v>128</v>
      </c>
      <c r="C12" s="275"/>
      <c r="D12" s="280"/>
      <c r="E12" s="231"/>
      <c r="F12" s="231"/>
      <c r="G12" s="231"/>
      <c r="H12" s="281"/>
    </row>
    <row r="13" spans="1:11" x14ac:dyDescent="0.35">
      <c r="A13" s="275"/>
      <c r="B13" s="32" t="s">
        <v>129</v>
      </c>
      <c r="C13" s="275"/>
      <c r="D13" s="280"/>
      <c r="E13" s="231"/>
      <c r="F13" s="231"/>
      <c r="G13" s="231"/>
      <c r="H13" s="281"/>
    </row>
    <row r="14" spans="1:11" x14ac:dyDescent="0.35">
      <c r="A14" s="275"/>
      <c r="B14" s="32" t="s">
        <v>130</v>
      </c>
      <c r="C14" s="275"/>
      <c r="D14" s="280"/>
      <c r="E14" s="231"/>
      <c r="F14" s="231"/>
      <c r="G14" s="231"/>
      <c r="H14" s="281"/>
    </row>
    <row r="15" spans="1:11" x14ac:dyDescent="0.35">
      <c r="A15" s="276"/>
      <c r="B15" s="33" t="s">
        <v>131</v>
      </c>
      <c r="C15" s="276"/>
      <c r="D15" s="282"/>
      <c r="E15" s="283"/>
      <c r="F15" s="283"/>
      <c r="G15" s="283"/>
      <c r="H15" s="284"/>
    </row>
    <row r="16" spans="1:11" x14ac:dyDescent="0.35">
      <c r="A16" s="274">
        <v>3</v>
      </c>
      <c r="B16" s="308" t="s">
        <v>132</v>
      </c>
      <c r="C16" s="309"/>
      <c r="D16" s="297" t="s">
        <v>133</v>
      </c>
      <c r="E16" s="298"/>
      <c r="F16" s="298"/>
      <c r="G16" s="298"/>
      <c r="H16" s="299"/>
    </row>
    <row r="17" spans="1:8" x14ac:dyDescent="0.35">
      <c r="A17" s="275"/>
      <c r="B17" s="310"/>
      <c r="C17" s="311"/>
      <c r="D17" s="300"/>
      <c r="E17" s="301"/>
      <c r="F17" s="301"/>
      <c r="G17" s="301"/>
      <c r="H17" s="302"/>
    </row>
    <row r="18" spans="1:8" x14ac:dyDescent="0.35">
      <c r="A18" s="275"/>
      <c r="B18" s="97" t="s">
        <v>58</v>
      </c>
      <c r="C18" s="274">
        <v>10</v>
      </c>
      <c r="D18" s="300"/>
      <c r="E18" s="301"/>
      <c r="F18" s="301"/>
      <c r="G18" s="301"/>
      <c r="H18" s="302"/>
    </row>
    <row r="19" spans="1:8" x14ac:dyDescent="0.35">
      <c r="A19" s="275"/>
      <c r="B19" s="98" t="s">
        <v>134</v>
      </c>
      <c r="C19" s="275"/>
      <c r="D19" s="300"/>
      <c r="E19" s="301"/>
      <c r="F19" s="301"/>
      <c r="G19" s="301"/>
      <c r="H19" s="302"/>
    </row>
    <row r="20" spans="1:8" ht="22.5" customHeight="1" x14ac:dyDescent="0.35">
      <c r="A20" s="276"/>
      <c r="B20" s="99" t="s">
        <v>135</v>
      </c>
      <c r="C20" s="276"/>
      <c r="D20" s="303"/>
      <c r="E20" s="304"/>
      <c r="F20" s="304"/>
      <c r="G20" s="304"/>
      <c r="H20" s="305"/>
    </row>
    <row r="21" spans="1:8" x14ac:dyDescent="0.35">
      <c r="A21" s="274">
        <v>4</v>
      </c>
      <c r="B21" s="312" t="s">
        <v>136</v>
      </c>
      <c r="C21" s="313"/>
      <c r="D21" s="314" t="s">
        <v>154</v>
      </c>
      <c r="E21" s="315"/>
      <c r="F21" s="315"/>
      <c r="G21" s="315"/>
      <c r="H21" s="316"/>
    </row>
    <row r="22" spans="1:8" x14ac:dyDescent="0.35">
      <c r="A22" s="275"/>
      <c r="B22" s="100" t="s">
        <v>58</v>
      </c>
      <c r="C22" s="274">
        <v>25</v>
      </c>
      <c r="D22" s="317"/>
      <c r="E22" s="318"/>
      <c r="F22" s="318"/>
      <c r="G22" s="318"/>
      <c r="H22" s="319"/>
    </row>
    <row r="23" spans="1:8" ht="51" customHeight="1" x14ac:dyDescent="0.35">
      <c r="A23" s="275"/>
      <c r="B23" s="101" t="s">
        <v>137</v>
      </c>
      <c r="C23" s="275"/>
      <c r="D23" s="317"/>
      <c r="E23" s="318"/>
      <c r="F23" s="318"/>
      <c r="G23" s="318"/>
      <c r="H23" s="319"/>
    </row>
    <row r="24" spans="1:8" ht="29" x14ac:dyDescent="0.35">
      <c r="A24" s="275"/>
      <c r="B24" s="101" t="s">
        <v>138</v>
      </c>
      <c r="C24" s="275"/>
      <c r="D24" s="317"/>
      <c r="E24" s="318"/>
      <c r="F24" s="318"/>
      <c r="G24" s="318"/>
      <c r="H24" s="319"/>
    </row>
    <row r="25" spans="1:8" ht="165" customHeight="1" x14ac:dyDescent="0.35">
      <c r="A25" s="276"/>
      <c r="B25" s="102" t="s">
        <v>139</v>
      </c>
      <c r="C25" s="276"/>
      <c r="D25" s="320"/>
      <c r="E25" s="321"/>
      <c r="F25" s="321"/>
      <c r="G25" s="321"/>
      <c r="H25" s="322"/>
    </row>
    <row r="26" spans="1:8" x14ac:dyDescent="0.35">
      <c r="A26" s="323">
        <v>5</v>
      </c>
      <c r="B26" s="103" t="s">
        <v>140</v>
      </c>
      <c r="C26" s="323">
        <v>25</v>
      </c>
      <c r="D26" s="277" t="s">
        <v>141</v>
      </c>
      <c r="E26" s="278"/>
      <c r="F26" s="278"/>
      <c r="G26" s="278"/>
      <c r="H26" s="279"/>
    </row>
    <row r="27" spans="1:8" x14ac:dyDescent="0.35">
      <c r="A27" s="324"/>
      <c r="B27" s="105" t="s">
        <v>58</v>
      </c>
      <c r="C27" s="324"/>
      <c r="D27" s="280"/>
      <c r="E27" s="231"/>
      <c r="F27" s="231"/>
      <c r="G27" s="231"/>
      <c r="H27" s="281"/>
    </row>
    <row r="28" spans="1:8" x14ac:dyDescent="0.35">
      <c r="A28" s="324"/>
      <c r="B28" s="101" t="s">
        <v>142</v>
      </c>
      <c r="C28" s="324"/>
      <c r="D28" s="280"/>
      <c r="E28" s="231"/>
      <c r="F28" s="231"/>
      <c r="G28" s="231"/>
      <c r="H28" s="281"/>
    </row>
    <row r="29" spans="1:8" ht="15" customHeight="1" x14ac:dyDescent="0.35">
      <c r="A29" s="324"/>
      <c r="B29" s="104" t="s">
        <v>143</v>
      </c>
      <c r="C29" s="324"/>
      <c r="D29" s="280"/>
      <c r="E29" s="231"/>
      <c r="F29" s="231"/>
      <c r="G29" s="231"/>
      <c r="H29" s="281"/>
    </row>
    <row r="30" spans="1:8" ht="15" customHeight="1" x14ac:dyDescent="0.35">
      <c r="A30" s="324"/>
      <c r="B30" s="106" t="s">
        <v>144</v>
      </c>
      <c r="C30" s="324"/>
      <c r="D30" s="280"/>
      <c r="E30" s="231"/>
      <c r="F30" s="231"/>
      <c r="G30" s="231"/>
      <c r="H30" s="281"/>
    </row>
    <row r="31" spans="1:8" x14ac:dyDescent="0.35">
      <c r="A31" s="325"/>
      <c r="B31" s="107" t="s">
        <v>145</v>
      </c>
      <c r="C31" s="325"/>
      <c r="D31" s="282"/>
      <c r="E31" s="283"/>
      <c r="F31" s="283"/>
      <c r="G31" s="283"/>
      <c r="H31" s="284"/>
    </row>
    <row r="32" spans="1:8" x14ac:dyDescent="0.35">
      <c r="A32" s="274">
        <v>6</v>
      </c>
      <c r="B32" s="296" t="s">
        <v>146</v>
      </c>
      <c r="C32" s="296"/>
      <c r="D32" s="297"/>
      <c r="E32" s="298"/>
      <c r="F32" s="298"/>
      <c r="G32" s="298"/>
      <c r="H32" s="299"/>
    </row>
    <row r="33" spans="1:8" ht="30" customHeight="1" x14ac:dyDescent="0.35">
      <c r="A33" s="275"/>
      <c r="B33" s="296"/>
      <c r="C33" s="296"/>
      <c r="D33" s="300"/>
      <c r="E33" s="301"/>
      <c r="F33" s="301"/>
      <c r="G33" s="301"/>
      <c r="H33" s="302"/>
    </row>
    <row r="34" spans="1:8" ht="14.25" customHeight="1" x14ac:dyDescent="0.35">
      <c r="A34" s="295"/>
      <c r="B34" s="108" t="s">
        <v>58</v>
      </c>
      <c r="C34" s="306">
        <v>10</v>
      </c>
      <c r="D34" s="300"/>
      <c r="E34" s="301"/>
      <c r="F34" s="301"/>
      <c r="G34" s="301"/>
      <c r="H34" s="302"/>
    </row>
    <row r="35" spans="1:8" x14ac:dyDescent="0.35">
      <c r="A35" s="275"/>
      <c r="B35" s="108" t="s">
        <v>147</v>
      </c>
      <c r="C35" s="306"/>
      <c r="D35" s="300"/>
      <c r="E35" s="301"/>
      <c r="F35" s="301"/>
      <c r="G35" s="301"/>
      <c r="H35" s="302"/>
    </row>
    <row r="36" spans="1:8" x14ac:dyDescent="0.35">
      <c r="A36" s="275"/>
      <c r="B36" s="1" t="s">
        <v>148</v>
      </c>
      <c r="C36" s="306"/>
      <c r="D36" s="300"/>
      <c r="E36" s="301"/>
      <c r="F36" s="301"/>
      <c r="G36" s="301"/>
      <c r="H36" s="302"/>
    </row>
    <row r="37" spans="1:8" x14ac:dyDescent="0.35">
      <c r="A37" s="276"/>
      <c r="B37" s="1" t="s">
        <v>149</v>
      </c>
      <c r="C37" s="307"/>
      <c r="D37" s="303"/>
      <c r="E37" s="304"/>
      <c r="F37" s="304"/>
      <c r="G37" s="304"/>
      <c r="H37" s="305"/>
    </row>
    <row r="38" spans="1:8" x14ac:dyDescent="0.35">
      <c r="A38" s="274">
        <v>7</v>
      </c>
      <c r="B38" s="308" t="s">
        <v>150</v>
      </c>
      <c r="C38" s="309"/>
      <c r="D38" s="277" t="s">
        <v>151</v>
      </c>
      <c r="E38" s="278"/>
      <c r="F38" s="278"/>
      <c r="G38" s="278"/>
      <c r="H38" s="279"/>
    </row>
    <row r="39" spans="1:8" x14ac:dyDescent="0.35">
      <c r="A39" s="275"/>
      <c r="B39" s="310"/>
      <c r="C39" s="311"/>
      <c r="D39" s="280"/>
      <c r="E39" s="231"/>
      <c r="F39" s="231"/>
      <c r="G39" s="231"/>
      <c r="H39" s="281"/>
    </row>
    <row r="40" spans="1:8" x14ac:dyDescent="0.35">
      <c r="A40" s="275"/>
      <c r="B40" s="108" t="s">
        <v>58</v>
      </c>
      <c r="C40" s="274">
        <v>10</v>
      </c>
      <c r="D40" s="280"/>
      <c r="E40" s="231"/>
      <c r="F40" s="231"/>
      <c r="G40" s="231"/>
      <c r="H40" s="281"/>
    </row>
    <row r="41" spans="1:8" ht="33" customHeight="1" x14ac:dyDescent="0.35">
      <c r="A41" s="275"/>
      <c r="B41" s="109" t="s">
        <v>152</v>
      </c>
      <c r="C41" s="275"/>
      <c r="D41" s="280"/>
      <c r="E41" s="231"/>
      <c r="F41" s="231"/>
      <c r="G41" s="231"/>
      <c r="H41" s="281"/>
    </row>
    <row r="42" spans="1:8" ht="29" x14ac:dyDescent="0.35">
      <c r="A42" s="276"/>
      <c r="B42" s="109" t="s">
        <v>153</v>
      </c>
      <c r="C42" s="276"/>
      <c r="D42" s="282"/>
      <c r="E42" s="283"/>
      <c r="F42" s="283"/>
      <c r="G42" s="283"/>
      <c r="H42" s="284"/>
    </row>
  </sheetData>
  <mergeCells count="30">
    <mergeCell ref="D1:H1"/>
    <mergeCell ref="A2:C2"/>
    <mergeCell ref="D2:H2"/>
    <mergeCell ref="A3:A8"/>
    <mergeCell ref="B3:C3"/>
    <mergeCell ref="D3:H8"/>
    <mergeCell ref="C4:C8"/>
    <mergeCell ref="A9:A15"/>
    <mergeCell ref="B9:C10"/>
    <mergeCell ref="D9:H15"/>
    <mergeCell ref="C11:C15"/>
    <mergeCell ref="A16:A20"/>
    <mergeCell ref="B16:C17"/>
    <mergeCell ref="D16:H20"/>
    <mergeCell ref="C18:C20"/>
    <mergeCell ref="A21:A25"/>
    <mergeCell ref="B21:C21"/>
    <mergeCell ref="D21:H25"/>
    <mergeCell ref="C22:C25"/>
    <mergeCell ref="A26:A31"/>
    <mergeCell ref="C26:C31"/>
    <mergeCell ref="D26:H31"/>
    <mergeCell ref="A32:A37"/>
    <mergeCell ref="B32:C33"/>
    <mergeCell ref="D32:H37"/>
    <mergeCell ref="C34:C37"/>
    <mergeCell ref="A38:A42"/>
    <mergeCell ref="B38:C39"/>
    <mergeCell ref="D38:H42"/>
    <mergeCell ref="C40:C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7642-C29C-45B8-8EDA-6F0FCA9326BF}">
  <dimension ref="A1:A193"/>
  <sheetViews>
    <sheetView showGridLines="0" zoomScaleNormal="100" workbookViewId="0">
      <selection activeCell="A33" sqref="A33"/>
    </sheetView>
  </sheetViews>
  <sheetFormatPr defaultRowHeight="14.5" x14ac:dyDescent="0.35"/>
  <cols>
    <col min="1" max="1" width="25.08984375" customWidth="1"/>
  </cols>
  <sheetData>
    <row r="1" spans="1:1" x14ac:dyDescent="0.35">
      <c r="A1" t="s">
        <v>43</v>
      </c>
    </row>
    <row r="33" spans="1:1" x14ac:dyDescent="0.35">
      <c r="A33" t="s">
        <v>44</v>
      </c>
    </row>
    <row r="65" spans="1:1" x14ac:dyDescent="0.35">
      <c r="A65" t="s">
        <v>45</v>
      </c>
    </row>
    <row r="97" spans="1:1" x14ac:dyDescent="0.35">
      <c r="A97" t="s">
        <v>46</v>
      </c>
    </row>
    <row r="129" spans="1:1" x14ac:dyDescent="0.35">
      <c r="A129" t="s">
        <v>47</v>
      </c>
    </row>
    <row r="161" spans="1:1" x14ac:dyDescent="0.35">
      <c r="A161" t="s">
        <v>48</v>
      </c>
    </row>
    <row r="193" spans="1:1" x14ac:dyDescent="0.35">
      <c r="A19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7B23-F71E-4082-8A64-45E36E2542CD}">
  <dimension ref="A1:S59"/>
  <sheetViews>
    <sheetView workbookViewId="0">
      <selection activeCell="Q21" sqref="Q21"/>
    </sheetView>
  </sheetViews>
  <sheetFormatPr defaultRowHeight="14.5" x14ac:dyDescent="0.35"/>
  <cols>
    <col min="17" max="17" width="33.54296875" bestFit="1" customWidth="1"/>
    <col min="18" max="18" width="8.36328125" bestFit="1" customWidth="1"/>
  </cols>
  <sheetData>
    <row r="1" spans="1:19" x14ac:dyDescent="0.35">
      <c r="A1" s="14" t="s">
        <v>21</v>
      </c>
      <c r="J1" s="14" t="s">
        <v>22</v>
      </c>
      <c r="Q1" s="14" t="s">
        <v>28</v>
      </c>
    </row>
    <row r="2" spans="1:19" ht="15" thickBot="1" x14ac:dyDescent="0.4">
      <c r="A2" s="15"/>
      <c r="J2" s="15"/>
      <c r="Q2" s="15"/>
    </row>
    <row r="3" spans="1:19" ht="117.5" thickBot="1" x14ac:dyDescent="0.4">
      <c r="A3" s="5" t="s">
        <v>10</v>
      </c>
      <c r="B3" s="6" t="s">
        <v>11</v>
      </c>
      <c r="C3" s="7" t="s">
        <v>12</v>
      </c>
      <c r="D3" s="8" t="s">
        <v>13</v>
      </c>
      <c r="E3" s="8" t="s">
        <v>14</v>
      </c>
      <c r="F3" s="6" t="s">
        <v>15</v>
      </c>
      <c r="J3" s="260" t="s">
        <v>10</v>
      </c>
      <c r="K3" s="19"/>
      <c r="L3" s="19"/>
      <c r="M3" s="19"/>
      <c r="N3" s="19"/>
      <c r="O3" s="19"/>
      <c r="Q3" s="24" t="s">
        <v>29</v>
      </c>
      <c r="R3" s="6" t="s">
        <v>30</v>
      </c>
      <c r="S3" s="25" t="s">
        <v>13</v>
      </c>
    </row>
    <row r="4" spans="1:19" ht="39.5" thickBot="1" x14ac:dyDescent="0.4">
      <c r="A4" s="9"/>
      <c r="B4" s="11"/>
      <c r="C4" s="13" t="s">
        <v>16</v>
      </c>
      <c r="D4" s="12">
        <v>258</v>
      </c>
      <c r="E4" s="12">
        <v>0</v>
      </c>
      <c r="F4" s="11"/>
      <c r="J4" s="261"/>
      <c r="K4" s="20" t="s">
        <v>11</v>
      </c>
      <c r="L4" s="21" t="s">
        <v>12</v>
      </c>
      <c r="M4" s="22" t="s">
        <v>13</v>
      </c>
      <c r="N4" s="22" t="s">
        <v>14</v>
      </c>
      <c r="O4" s="20" t="s">
        <v>15</v>
      </c>
      <c r="Q4" s="9"/>
      <c r="R4" s="254" t="s">
        <v>32</v>
      </c>
      <c r="S4" s="11"/>
    </row>
    <row r="5" spans="1:19" ht="26.5" thickBot="1" x14ac:dyDescent="0.4">
      <c r="A5" s="9"/>
      <c r="B5" s="11"/>
      <c r="C5" s="13" t="s">
        <v>17</v>
      </c>
      <c r="D5" s="12">
        <v>619</v>
      </c>
      <c r="E5" s="12">
        <v>8</v>
      </c>
      <c r="F5" s="11"/>
      <c r="J5" s="9"/>
      <c r="K5" s="11"/>
      <c r="L5" s="13" t="s">
        <v>16</v>
      </c>
      <c r="M5" s="12">
        <v>258</v>
      </c>
      <c r="N5" s="12">
        <v>0</v>
      </c>
      <c r="O5" s="11"/>
      <c r="Q5" s="26" t="s">
        <v>31</v>
      </c>
      <c r="R5" s="255"/>
      <c r="S5" s="12" t="s">
        <v>33</v>
      </c>
    </row>
    <row r="6" spans="1:19" ht="26.5" thickBot="1" x14ac:dyDescent="0.4">
      <c r="A6" s="9"/>
      <c r="B6" s="11"/>
      <c r="C6" s="13" t="s">
        <v>18</v>
      </c>
      <c r="D6" s="12">
        <v>389</v>
      </c>
      <c r="E6" s="12">
        <v>0</v>
      </c>
      <c r="F6" s="11"/>
      <c r="J6" s="9"/>
      <c r="K6" s="11"/>
      <c r="L6" s="13" t="s">
        <v>17</v>
      </c>
      <c r="M6" s="12">
        <v>619</v>
      </c>
      <c r="N6" s="12">
        <v>8</v>
      </c>
      <c r="O6" s="11"/>
      <c r="Q6" s="26" t="s">
        <v>31</v>
      </c>
      <c r="R6" s="13" t="s">
        <v>34</v>
      </c>
      <c r="S6" s="12" t="s">
        <v>35</v>
      </c>
    </row>
    <row r="7" spans="1:19" ht="39.5" thickBot="1" x14ac:dyDescent="0.4">
      <c r="A7" s="10">
        <v>4</v>
      </c>
      <c r="B7" s="12">
        <v>330</v>
      </c>
      <c r="C7" s="13" t="s">
        <v>19</v>
      </c>
      <c r="D7" s="12">
        <v>412</v>
      </c>
      <c r="E7" s="12" t="s">
        <v>20</v>
      </c>
      <c r="F7" s="12">
        <v>1.6779999999999999</v>
      </c>
      <c r="J7" s="9"/>
      <c r="K7" s="11"/>
      <c r="L7" s="13" t="s">
        <v>18</v>
      </c>
      <c r="M7" s="12">
        <v>389</v>
      </c>
      <c r="N7" s="12">
        <v>0</v>
      </c>
      <c r="O7" s="11"/>
      <c r="Q7" s="26" t="s">
        <v>36</v>
      </c>
      <c r="R7" s="13" t="s">
        <v>32</v>
      </c>
      <c r="S7" s="12" t="s">
        <v>37</v>
      </c>
    </row>
    <row r="8" spans="1:19" ht="39.5" thickBot="1" x14ac:dyDescent="0.4">
      <c r="A8" s="9"/>
      <c r="B8" s="11"/>
      <c r="C8" s="13" t="s">
        <v>16</v>
      </c>
      <c r="D8" s="12">
        <v>253</v>
      </c>
      <c r="E8" s="12">
        <v>0</v>
      </c>
      <c r="F8" s="11"/>
      <c r="J8" s="9"/>
      <c r="K8" s="11"/>
      <c r="L8" s="13" t="s">
        <v>23</v>
      </c>
      <c r="M8" s="12">
        <v>1654</v>
      </c>
      <c r="N8" s="12">
        <v>0</v>
      </c>
      <c r="O8" s="11"/>
      <c r="Q8" s="26" t="s">
        <v>36</v>
      </c>
      <c r="R8" s="13" t="s">
        <v>34</v>
      </c>
      <c r="S8" s="12" t="s">
        <v>38</v>
      </c>
    </row>
    <row r="9" spans="1:19" ht="39.5" thickBot="1" x14ac:dyDescent="0.4">
      <c r="A9" s="9"/>
      <c r="B9" s="11"/>
      <c r="C9" s="13" t="s">
        <v>17</v>
      </c>
      <c r="D9" s="12">
        <v>768</v>
      </c>
      <c r="E9" s="12">
        <v>8</v>
      </c>
      <c r="F9" s="11"/>
      <c r="J9" s="10">
        <v>9</v>
      </c>
      <c r="K9" s="12">
        <v>372</v>
      </c>
      <c r="L9" s="13" t="s">
        <v>24</v>
      </c>
      <c r="M9" s="12">
        <v>140</v>
      </c>
      <c r="N9" s="12">
        <v>8</v>
      </c>
      <c r="O9" s="12">
        <v>3.06</v>
      </c>
      <c r="Q9" s="23" t="s">
        <v>39</v>
      </c>
      <c r="R9" s="13" t="s">
        <v>32</v>
      </c>
      <c r="S9" s="12" t="s">
        <v>40</v>
      </c>
    </row>
    <row r="10" spans="1:19" ht="26.5" thickBot="1" x14ac:dyDescent="0.4">
      <c r="A10" s="9"/>
      <c r="B10" s="11"/>
      <c r="C10" s="13" t="s">
        <v>18</v>
      </c>
      <c r="D10" s="12">
        <v>389</v>
      </c>
      <c r="E10" s="12">
        <v>0</v>
      </c>
      <c r="F10" s="11"/>
      <c r="J10" s="9"/>
      <c r="K10" s="11"/>
      <c r="L10" s="13" t="s">
        <v>16</v>
      </c>
      <c r="M10" s="12">
        <v>253</v>
      </c>
      <c r="N10" s="12">
        <v>0</v>
      </c>
      <c r="O10" s="11"/>
      <c r="Q10" s="23" t="s">
        <v>39</v>
      </c>
      <c r="R10" s="13" t="s">
        <v>41</v>
      </c>
      <c r="S10" s="12" t="s">
        <v>42</v>
      </c>
    </row>
    <row r="11" spans="1:19" ht="39.5" thickBot="1" x14ac:dyDescent="0.4">
      <c r="A11" s="10">
        <v>5</v>
      </c>
      <c r="B11" s="12">
        <v>315</v>
      </c>
      <c r="C11" s="13" t="s">
        <v>19</v>
      </c>
      <c r="D11" s="12">
        <v>412</v>
      </c>
      <c r="E11" s="12" t="s">
        <v>20</v>
      </c>
      <c r="F11" s="12">
        <v>1.8220000000000001</v>
      </c>
      <c r="J11" s="10">
        <v>10</v>
      </c>
      <c r="K11" s="12">
        <v>360</v>
      </c>
      <c r="L11" s="13" t="s">
        <v>17</v>
      </c>
      <c r="M11" s="12">
        <v>768</v>
      </c>
      <c r="N11" s="12">
        <v>8</v>
      </c>
      <c r="O11" s="12">
        <v>3.2040000000000002</v>
      </c>
    </row>
    <row r="12" spans="1:19" ht="15" thickBot="1" x14ac:dyDescent="0.4">
      <c r="A12" s="9"/>
      <c r="B12" s="11"/>
      <c r="C12" s="13" t="s">
        <v>16</v>
      </c>
      <c r="D12" s="12">
        <v>362</v>
      </c>
      <c r="E12" s="12">
        <v>0</v>
      </c>
      <c r="F12" s="11"/>
    </row>
    <row r="13" spans="1:19" ht="15" thickBot="1" x14ac:dyDescent="0.4">
      <c r="A13" s="9"/>
      <c r="B13" s="11"/>
      <c r="C13" s="13" t="s">
        <v>17</v>
      </c>
      <c r="D13" s="12">
        <v>912</v>
      </c>
      <c r="E13" s="12">
        <v>8</v>
      </c>
      <c r="F13" s="11"/>
      <c r="J13" s="16"/>
    </row>
    <row r="14" spans="1:19" ht="26.5" thickBot="1" x14ac:dyDescent="0.4">
      <c r="A14" s="9"/>
      <c r="B14" s="11"/>
      <c r="C14" s="13" t="s">
        <v>18</v>
      </c>
      <c r="D14" s="12">
        <v>389</v>
      </c>
      <c r="E14" s="12">
        <v>0</v>
      </c>
      <c r="F14" s="11"/>
      <c r="J14" s="256"/>
      <c r="K14" s="256"/>
      <c r="L14" s="13" t="s">
        <v>18</v>
      </c>
      <c r="M14" s="12">
        <v>389</v>
      </c>
      <c r="N14" s="12">
        <v>0</v>
      </c>
      <c r="O14" s="256"/>
    </row>
    <row r="15" spans="1:19" ht="39.5" thickBot="1" x14ac:dyDescent="0.4">
      <c r="A15" s="10">
        <v>6</v>
      </c>
      <c r="B15" s="12">
        <v>303</v>
      </c>
      <c r="C15" s="13" t="s">
        <v>19</v>
      </c>
      <c r="D15" s="12">
        <v>412</v>
      </c>
      <c r="E15" s="12" t="s">
        <v>20</v>
      </c>
      <c r="F15" s="12">
        <v>2.0750000000000002</v>
      </c>
      <c r="J15" s="256"/>
      <c r="K15" s="256"/>
      <c r="L15" s="13" t="s">
        <v>23</v>
      </c>
      <c r="M15" s="12">
        <v>1654</v>
      </c>
      <c r="N15" s="12">
        <v>0</v>
      </c>
      <c r="O15" s="256"/>
    </row>
    <row r="16" spans="1:19" ht="39.5" thickBot="1" x14ac:dyDescent="0.4">
      <c r="A16" s="9"/>
      <c r="B16" s="11"/>
      <c r="C16" s="13" t="s">
        <v>16</v>
      </c>
      <c r="D16" s="12">
        <v>165</v>
      </c>
      <c r="E16" s="12">
        <v>0</v>
      </c>
      <c r="F16" s="11"/>
      <c r="J16" s="257"/>
      <c r="K16" s="257"/>
      <c r="L16" s="13" t="s">
        <v>24</v>
      </c>
      <c r="M16" s="12">
        <v>140</v>
      </c>
      <c r="N16" s="12">
        <v>8</v>
      </c>
      <c r="O16" s="257"/>
    </row>
    <row r="17" spans="1:17" ht="15" thickBot="1" x14ac:dyDescent="0.4">
      <c r="A17" s="9"/>
      <c r="B17" s="11"/>
      <c r="C17" s="13" t="s">
        <v>17</v>
      </c>
      <c r="D17" s="12">
        <v>1085</v>
      </c>
      <c r="E17" s="12">
        <v>8</v>
      </c>
      <c r="F17" s="11"/>
      <c r="J17" s="9"/>
      <c r="K17" s="11"/>
      <c r="L17" s="254" t="s">
        <v>16</v>
      </c>
      <c r="M17" s="258">
        <v>362</v>
      </c>
      <c r="N17" s="258">
        <v>0</v>
      </c>
      <c r="O17" s="11"/>
    </row>
    <row r="18" spans="1:17" ht="26.5" thickBot="1" x14ac:dyDescent="0.4">
      <c r="A18" s="9"/>
      <c r="B18" s="11"/>
      <c r="C18" s="13" t="s">
        <v>18</v>
      </c>
      <c r="D18" s="12">
        <v>389</v>
      </c>
      <c r="E18" s="12">
        <v>0</v>
      </c>
      <c r="F18" s="11"/>
      <c r="J18" s="9"/>
      <c r="K18" s="11"/>
      <c r="L18" s="255"/>
      <c r="M18" s="259"/>
      <c r="N18" s="259"/>
      <c r="O18" s="11"/>
    </row>
    <row r="19" spans="1:17" ht="39.5" thickBot="1" x14ac:dyDescent="0.4">
      <c r="A19" s="10">
        <v>12</v>
      </c>
      <c r="B19" s="12">
        <v>336</v>
      </c>
      <c r="C19" s="13" t="s">
        <v>19</v>
      </c>
      <c r="D19" s="12">
        <v>412</v>
      </c>
      <c r="E19" s="12" t="s">
        <v>20</v>
      </c>
      <c r="F19" s="12">
        <v>2.0510000000000002</v>
      </c>
      <c r="J19" s="9"/>
      <c r="K19" s="11"/>
      <c r="L19" s="13" t="s">
        <v>17</v>
      </c>
      <c r="M19" s="12">
        <v>912</v>
      </c>
      <c r="N19" s="12">
        <v>8</v>
      </c>
      <c r="O19" s="11"/>
    </row>
    <row r="20" spans="1:17" ht="26.5" thickBot="1" x14ac:dyDescent="0.4">
      <c r="A20" s="9"/>
      <c r="B20" s="11"/>
      <c r="C20" s="13" t="s">
        <v>16</v>
      </c>
      <c r="D20" s="12">
        <v>264</v>
      </c>
      <c r="E20" s="12">
        <v>0</v>
      </c>
      <c r="F20" s="11"/>
      <c r="J20" s="9"/>
      <c r="K20" s="11"/>
      <c r="L20" s="13" t="s">
        <v>18</v>
      </c>
      <c r="M20" s="12">
        <v>389</v>
      </c>
      <c r="N20" s="12">
        <v>0</v>
      </c>
      <c r="O20" s="11"/>
      <c r="Q20">
        <f>-938+788</f>
        <v>-150</v>
      </c>
    </row>
    <row r="21" spans="1:17" ht="39.5" thickBot="1" x14ac:dyDescent="0.4">
      <c r="A21" s="9"/>
      <c r="B21" s="11"/>
      <c r="C21" s="13" t="s">
        <v>17</v>
      </c>
      <c r="D21" s="12">
        <v>2439</v>
      </c>
      <c r="E21" s="12">
        <v>8</v>
      </c>
      <c r="F21" s="11"/>
      <c r="J21" s="9"/>
      <c r="K21" s="11"/>
      <c r="L21" s="13" t="s">
        <v>23</v>
      </c>
      <c r="M21" s="12">
        <v>1654</v>
      </c>
      <c r="N21" s="12">
        <v>0</v>
      </c>
      <c r="O21" s="11"/>
      <c r="Q21">
        <f>188+558</f>
        <v>746</v>
      </c>
    </row>
    <row r="22" spans="1:17" ht="39.5" thickBot="1" x14ac:dyDescent="0.4">
      <c r="A22" s="10">
        <v>19</v>
      </c>
      <c r="B22" s="12">
        <v>243</v>
      </c>
      <c r="C22" s="13" t="s">
        <v>18</v>
      </c>
      <c r="D22" s="12">
        <v>389</v>
      </c>
      <c r="E22" s="12">
        <v>0</v>
      </c>
      <c r="F22" s="12">
        <v>3.504</v>
      </c>
      <c r="J22" s="9"/>
      <c r="K22" s="11"/>
      <c r="L22" s="13" t="s">
        <v>24</v>
      </c>
      <c r="M22" s="12">
        <v>140</v>
      </c>
      <c r="N22" s="12">
        <v>8</v>
      </c>
      <c r="O22" s="11"/>
    </row>
    <row r="23" spans="1:17" ht="26.5" thickBot="1" x14ac:dyDescent="0.4">
      <c r="J23" s="9"/>
      <c r="K23" s="11"/>
      <c r="L23" s="13" t="s">
        <v>25</v>
      </c>
      <c r="M23" s="12">
        <v>600</v>
      </c>
      <c r="N23" s="12">
        <v>0</v>
      </c>
      <c r="O23" s="11"/>
    </row>
    <row r="24" spans="1:17" ht="39.5" thickBot="1" x14ac:dyDescent="0.4">
      <c r="A24" s="16"/>
      <c r="J24" s="10">
        <v>11</v>
      </c>
      <c r="K24" s="12">
        <v>348</v>
      </c>
      <c r="L24" s="13" t="s">
        <v>26</v>
      </c>
      <c r="M24" s="12">
        <v>140</v>
      </c>
      <c r="N24" s="12">
        <v>8</v>
      </c>
      <c r="O24" s="12">
        <v>4.1970000000000001</v>
      </c>
    </row>
    <row r="25" spans="1:17" ht="39.5" thickBot="1" x14ac:dyDescent="0.4">
      <c r="A25" s="17"/>
      <c r="B25" s="18"/>
      <c r="C25" s="13" t="s">
        <v>19</v>
      </c>
      <c r="D25" s="12">
        <v>412</v>
      </c>
      <c r="E25" s="12" t="s">
        <v>20</v>
      </c>
      <c r="F25" s="18"/>
      <c r="J25" s="9"/>
      <c r="K25" s="11"/>
      <c r="L25" s="254" t="s">
        <v>16</v>
      </c>
      <c r="M25" s="258">
        <v>165</v>
      </c>
      <c r="N25" s="258">
        <v>0</v>
      </c>
      <c r="O25" s="11"/>
    </row>
    <row r="26" spans="1:17" ht="15" thickBot="1" x14ac:dyDescent="0.4">
      <c r="A26" s="9"/>
      <c r="B26" s="11"/>
      <c r="C26" s="13" t="s">
        <v>16</v>
      </c>
      <c r="D26" s="12">
        <v>260</v>
      </c>
      <c r="E26" s="12">
        <v>0</v>
      </c>
      <c r="F26" s="11"/>
      <c r="J26" s="9"/>
      <c r="K26" s="11"/>
      <c r="L26" s="255"/>
      <c r="M26" s="259"/>
      <c r="N26" s="259"/>
      <c r="O26" s="11"/>
    </row>
    <row r="27" spans="1:17" ht="15" thickBot="1" x14ac:dyDescent="0.4">
      <c r="A27" s="9"/>
      <c r="B27" s="11"/>
      <c r="C27" s="13" t="s">
        <v>17</v>
      </c>
      <c r="D27" s="12">
        <v>2604</v>
      </c>
      <c r="E27" s="12">
        <v>8</v>
      </c>
      <c r="F27" s="11"/>
      <c r="J27" s="9"/>
      <c r="K27" s="11"/>
      <c r="L27" s="13" t="s">
        <v>17</v>
      </c>
      <c r="M27" s="12">
        <v>1085</v>
      </c>
      <c r="N27" s="12">
        <v>8</v>
      </c>
      <c r="O27" s="11"/>
    </row>
    <row r="28" spans="1:17" ht="26.5" thickBot="1" x14ac:dyDescent="0.4">
      <c r="A28" s="9"/>
      <c r="B28" s="11"/>
      <c r="C28" s="13" t="s">
        <v>18</v>
      </c>
      <c r="D28" s="12">
        <v>389</v>
      </c>
      <c r="E28" s="12">
        <v>0</v>
      </c>
      <c r="F28" s="11"/>
      <c r="J28" s="9"/>
      <c r="K28" s="11"/>
      <c r="L28" s="13" t="s">
        <v>18</v>
      </c>
      <c r="M28" s="12">
        <v>389</v>
      </c>
      <c r="N28" s="12">
        <v>0</v>
      </c>
      <c r="O28" s="11"/>
    </row>
    <row r="29" spans="1:17" ht="39.5" thickBot="1" x14ac:dyDescent="0.4">
      <c r="A29" s="10">
        <v>20</v>
      </c>
      <c r="B29" s="12">
        <v>231</v>
      </c>
      <c r="C29" s="13" t="s">
        <v>19</v>
      </c>
      <c r="D29" s="12">
        <v>412</v>
      </c>
      <c r="E29" s="12" t="s">
        <v>20</v>
      </c>
      <c r="F29" s="12">
        <v>3.665</v>
      </c>
      <c r="J29" s="9"/>
      <c r="K29" s="11"/>
      <c r="L29" s="13" t="s">
        <v>23</v>
      </c>
      <c r="M29" s="12">
        <v>1654</v>
      </c>
      <c r="N29" s="12">
        <v>0</v>
      </c>
      <c r="O29" s="11"/>
    </row>
    <row r="30" spans="1:17" ht="39.5" thickBot="1" x14ac:dyDescent="0.4">
      <c r="A30" s="9"/>
      <c r="B30" s="11"/>
      <c r="C30" s="13" t="s">
        <v>16</v>
      </c>
      <c r="D30" s="12">
        <v>265</v>
      </c>
      <c r="E30" s="12">
        <v>0</v>
      </c>
      <c r="F30" s="11"/>
      <c r="J30" s="9"/>
      <c r="K30" s="11"/>
      <c r="L30" s="13" t="s">
        <v>24</v>
      </c>
      <c r="M30" s="12">
        <v>140</v>
      </c>
      <c r="N30" s="12">
        <v>8</v>
      </c>
      <c r="O30" s="11"/>
    </row>
    <row r="31" spans="1:17" ht="26.5" thickBot="1" x14ac:dyDescent="0.4">
      <c r="A31" s="9"/>
      <c r="B31" s="11"/>
      <c r="C31" s="13" t="s">
        <v>17</v>
      </c>
      <c r="D31" s="12">
        <v>2741</v>
      </c>
      <c r="E31" s="12">
        <v>8</v>
      </c>
      <c r="F31" s="11"/>
      <c r="J31" s="9"/>
      <c r="K31" s="11"/>
      <c r="L31" s="13" t="s">
        <v>25</v>
      </c>
      <c r="M31" s="12">
        <v>600</v>
      </c>
      <c r="N31" s="12">
        <v>0</v>
      </c>
      <c r="O31" s="11"/>
    </row>
    <row r="32" spans="1:17" ht="39.5" thickBot="1" x14ac:dyDescent="0.4">
      <c r="A32" s="9"/>
      <c r="B32" s="11"/>
      <c r="C32" s="13" t="s">
        <v>18</v>
      </c>
      <c r="D32" s="12">
        <v>389</v>
      </c>
      <c r="E32" s="12">
        <v>0</v>
      </c>
      <c r="F32" s="11"/>
      <c r="J32" s="9"/>
      <c r="K32" s="11"/>
      <c r="L32" s="13" t="s">
        <v>26</v>
      </c>
      <c r="M32" s="12">
        <v>140</v>
      </c>
      <c r="N32" s="12">
        <v>8</v>
      </c>
      <c r="O32" s="11"/>
    </row>
    <row r="33" spans="1:15" ht="39.5" thickBot="1" x14ac:dyDescent="0.4">
      <c r="A33" s="10">
        <v>21</v>
      </c>
      <c r="B33" s="12">
        <v>219</v>
      </c>
      <c r="C33" s="13" t="s">
        <v>19</v>
      </c>
      <c r="D33" s="12">
        <v>412</v>
      </c>
      <c r="E33" s="12" t="s">
        <v>20</v>
      </c>
      <c r="F33" s="12">
        <v>3.8069999999999999</v>
      </c>
      <c r="J33" s="9"/>
      <c r="K33" s="11"/>
      <c r="L33" s="13" t="s">
        <v>25</v>
      </c>
      <c r="M33" s="12">
        <v>400</v>
      </c>
      <c r="N33" s="12">
        <v>0</v>
      </c>
      <c r="O33" s="11"/>
    </row>
    <row r="34" spans="1:15" ht="39.5" thickBot="1" x14ac:dyDescent="0.4">
      <c r="A34" s="16"/>
      <c r="J34" s="10">
        <v>12</v>
      </c>
      <c r="K34" s="12">
        <v>336</v>
      </c>
      <c r="L34" s="13" t="s">
        <v>27</v>
      </c>
      <c r="M34" s="12">
        <v>140</v>
      </c>
      <c r="N34" s="12">
        <v>8</v>
      </c>
      <c r="O34" s="12">
        <v>4.7130000000000001</v>
      </c>
    </row>
    <row r="35" spans="1:15" ht="15" thickBot="1" x14ac:dyDescent="0.4">
      <c r="J35" s="9"/>
      <c r="K35" s="11"/>
      <c r="L35" s="13" t="s">
        <v>16</v>
      </c>
      <c r="M35" s="12">
        <v>264</v>
      </c>
      <c r="N35" s="12">
        <v>0</v>
      </c>
      <c r="O35" s="11"/>
    </row>
    <row r="36" spans="1:15" ht="15" thickBot="1" x14ac:dyDescent="0.4">
      <c r="J36" s="9"/>
      <c r="K36" s="11"/>
      <c r="L36" s="13" t="s">
        <v>17</v>
      </c>
      <c r="M36" s="12">
        <v>2439</v>
      </c>
      <c r="N36" s="12">
        <v>8</v>
      </c>
      <c r="O36" s="11"/>
    </row>
    <row r="37" spans="1:15" ht="26.5" thickBot="1" x14ac:dyDescent="0.4">
      <c r="J37" s="9"/>
      <c r="K37" s="11"/>
      <c r="L37" s="13" t="s">
        <v>18</v>
      </c>
      <c r="M37" s="12">
        <v>389</v>
      </c>
      <c r="N37" s="12">
        <v>0</v>
      </c>
      <c r="O37" s="11"/>
    </row>
    <row r="38" spans="1:15" ht="39.5" thickBot="1" x14ac:dyDescent="0.4">
      <c r="J38" s="9"/>
      <c r="K38" s="11"/>
      <c r="L38" s="13" t="s">
        <v>23</v>
      </c>
      <c r="M38" s="12">
        <v>765</v>
      </c>
      <c r="N38" s="12">
        <v>0</v>
      </c>
      <c r="O38" s="11"/>
    </row>
    <row r="39" spans="1:15" ht="39.5" thickBot="1" x14ac:dyDescent="0.4">
      <c r="J39" s="10">
        <v>19</v>
      </c>
      <c r="K39" s="12">
        <v>243</v>
      </c>
      <c r="L39" s="13" t="s">
        <v>24</v>
      </c>
      <c r="M39" s="12">
        <v>140</v>
      </c>
      <c r="N39" s="12">
        <v>8</v>
      </c>
      <c r="O39" s="12">
        <v>3.9969999999999999</v>
      </c>
    </row>
    <row r="40" spans="1:15" ht="15" thickBot="1" x14ac:dyDescent="0.4">
      <c r="J40" s="10">
        <v>20</v>
      </c>
      <c r="K40" s="12">
        <v>231</v>
      </c>
      <c r="L40" s="13" t="s">
        <v>16</v>
      </c>
      <c r="M40" s="12">
        <v>260</v>
      </c>
      <c r="N40" s="12">
        <v>0</v>
      </c>
      <c r="O40" s="12">
        <v>4.8979999999999997</v>
      </c>
    </row>
    <row r="42" spans="1:15" x14ac:dyDescent="0.35">
      <c r="J42" s="16"/>
    </row>
    <row r="43" spans="1:15" ht="15" thickBot="1" x14ac:dyDescent="0.4">
      <c r="J43" s="256"/>
      <c r="K43" s="256"/>
      <c r="L43" s="13" t="s">
        <v>17</v>
      </c>
      <c r="M43" s="12">
        <v>2604</v>
      </c>
      <c r="N43" s="12">
        <v>8</v>
      </c>
      <c r="O43" s="256"/>
    </row>
    <row r="44" spans="1:15" ht="26.5" thickBot="1" x14ac:dyDescent="0.4">
      <c r="J44" s="256"/>
      <c r="K44" s="256"/>
      <c r="L44" s="13" t="s">
        <v>18</v>
      </c>
      <c r="M44" s="12">
        <v>389</v>
      </c>
      <c r="N44" s="12">
        <v>0</v>
      </c>
      <c r="O44" s="256"/>
    </row>
    <row r="45" spans="1:15" ht="39.5" thickBot="1" x14ac:dyDescent="0.4">
      <c r="J45" s="256"/>
      <c r="K45" s="256"/>
      <c r="L45" s="13" t="s">
        <v>23</v>
      </c>
      <c r="M45" s="12">
        <v>765</v>
      </c>
      <c r="N45" s="12">
        <v>0</v>
      </c>
      <c r="O45" s="256"/>
    </row>
    <row r="46" spans="1:15" ht="39.5" thickBot="1" x14ac:dyDescent="0.4">
      <c r="J46" s="256"/>
      <c r="K46" s="256"/>
      <c r="L46" s="13" t="s">
        <v>24</v>
      </c>
      <c r="M46" s="12">
        <v>140</v>
      </c>
      <c r="N46" s="12">
        <v>8</v>
      </c>
      <c r="O46" s="256"/>
    </row>
    <row r="47" spans="1:15" ht="26.5" thickBot="1" x14ac:dyDescent="0.4">
      <c r="J47" s="256"/>
      <c r="K47" s="256"/>
      <c r="L47" s="13" t="s">
        <v>25</v>
      </c>
      <c r="M47" s="12">
        <v>600</v>
      </c>
      <c r="N47" s="12">
        <v>0</v>
      </c>
      <c r="O47" s="256"/>
    </row>
    <row r="48" spans="1:15" ht="39.5" thickBot="1" x14ac:dyDescent="0.4">
      <c r="J48" s="257"/>
      <c r="K48" s="257"/>
      <c r="L48" s="13" t="s">
        <v>26</v>
      </c>
      <c r="M48" s="12">
        <v>140</v>
      </c>
      <c r="N48" s="12">
        <v>0</v>
      </c>
      <c r="O48" s="257"/>
    </row>
    <row r="49" spans="10:15" x14ac:dyDescent="0.35">
      <c r="J49" s="9"/>
      <c r="K49" s="11"/>
      <c r="L49" s="254" t="s">
        <v>16</v>
      </c>
      <c r="M49" s="258">
        <v>265</v>
      </c>
      <c r="N49" s="258">
        <v>0</v>
      </c>
      <c r="O49" s="11"/>
    </row>
    <row r="50" spans="10:15" ht="15" thickBot="1" x14ac:dyDescent="0.4">
      <c r="J50" s="9"/>
      <c r="K50" s="11"/>
      <c r="L50" s="255"/>
      <c r="M50" s="259"/>
      <c r="N50" s="259"/>
      <c r="O50" s="11"/>
    </row>
    <row r="51" spans="10:15" ht="15" thickBot="1" x14ac:dyDescent="0.4">
      <c r="J51" s="9"/>
      <c r="K51" s="11"/>
      <c r="L51" s="13" t="s">
        <v>17</v>
      </c>
      <c r="M51" s="12">
        <v>2741</v>
      </c>
      <c r="N51" s="12">
        <v>8</v>
      </c>
      <c r="O51" s="11"/>
    </row>
    <row r="52" spans="10:15" ht="26.5" thickBot="1" x14ac:dyDescent="0.4">
      <c r="J52" s="9"/>
      <c r="K52" s="11"/>
      <c r="L52" s="13" t="s">
        <v>18</v>
      </c>
      <c r="M52" s="12">
        <v>389</v>
      </c>
      <c r="N52" s="12">
        <v>0</v>
      </c>
      <c r="O52" s="11"/>
    </row>
    <row r="53" spans="10:15" ht="39.5" thickBot="1" x14ac:dyDescent="0.4">
      <c r="J53" s="9"/>
      <c r="K53" s="11"/>
      <c r="L53" s="13" t="s">
        <v>23</v>
      </c>
      <c r="M53" s="12">
        <v>765</v>
      </c>
      <c r="N53" s="12">
        <v>0</v>
      </c>
      <c r="O53" s="11"/>
    </row>
    <row r="54" spans="10:15" ht="39.5" thickBot="1" x14ac:dyDescent="0.4">
      <c r="J54" s="9"/>
      <c r="K54" s="11"/>
      <c r="L54" s="13" t="s">
        <v>24</v>
      </c>
      <c r="M54" s="12">
        <v>140</v>
      </c>
      <c r="N54" s="12">
        <v>8</v>
      </c>
      <c r="O54" s="11"/>
    </row>
    <row r="55" spans="10:15" ht="26.5" thickBot="1" x14ac:dyDescent="0.4">
      <c r="J55" s="9"/>
      <c r="K55" s="11"/>
      <c r="L55" s="13" t="s">
        <v>25</v>
      </c>
      <c r="M55" s="12">
        <v>600</v>
      </c>
      <c r="N55" s="12">
        <v>0</v>
      </c>
      <c r="O55" s="11"/>
    </row>
    <row r="56" spans="10:15" ht="39.5" thickBot="1" x14ac:dyDescent="0.4">
      <c r="J56" s="9"/>
      <c r="K56" s="11"/>
      <c r="L56" s="13" t="s">
        <v>26</v>
      </c>
      <c r="M56" s="12">
        <v>140</v>
      </c>
      <c r="N56" s="12">
        <v>8</v>
      </c>
      <c r="O56" s="11"/>
    </row>
    <row r="57" spans="10:15" ht="26.5" thickBot="1" x14ac:dyDescent="0.4">
      <c r="J57" s="9"/>
      <c r="K57" s="11"/>
      <c r="L57" s="13" t="s">
        <v>25</v>
      </c>
      <c r="M57" s="12">
        <v>400</v>
      </c>
      <c r="N57" s="12">
        <v>0</v>
      </c>
      <c r="O57" s="11"/>
    </row>
    <row r="58" spans="10:15" ht="39.5" thickBot="1" x14ac:dyDescent="0.4">
      <c r="J58" s="10">
        <v>21</v>
      </c>
      <c r="K58" s="12">
        <v>219</v>
      </c>
      <c r="L58" s="13" t="s">
        <v>27</v>
      </c>
      <c r="M58" s="12">
        <v>140</v>
      </c>
      <c r="N58" s="12">
        <v>8</v>
      </c>
      <c r="O58" s="12">
        <v>5.58</v>
      </c>
    </row>
    <row r="59" spans="10:15" x14ac:dyDescent="0.35">
      <c r="J59" s="16"/>
    </row>
  </sheetData>
  <mergeCells count="17">
    <mergeCell ref="N49:N50"/>
    <mergeCell ref="J43:J48"/>
    <mergeCell ref="L49:L50"/>
    <mergeCell ref="M49:M50"/>
    <mergeCell ref="J3:J4"/>
    <mergeCell ref="K14:K16"/>
    <mergeCell ref="J14:J16"/>
    <mergeCell ref="L17:L18"/>
    <mergeCell ref="M17:M18"/>
    <mergeCell ref="L25:L26"/>
    <mergeCell ref="M25:M26"/>
    <mergeCell ref="R4:R5"/>
    <mergeCell ref="O14:O16"/>
    <mergeCell ref="N17:N18"/>
    <mergeCell ref="N25:N26"/>
    <mergeCell ref="K43:K48"/>
    <mergeCell ref="O43:O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F4B1-5358-4DB9-ACD3-F10AA68B9736}">
  <dimension ref="A1:J79"/>
  <sheetViews>
    <sheetView topLeftCell="A66" workbookViewId="0">
      <selection activeCell="O72" sqref="O72"/>
    </sheetView>
  </sheetViews>
  <sheetFormatPr defaultRowHeight="14.5" x14ac:dyDescent="0.35"/>
  <cols>
    <col min="2" max="2" width="10.6328125" customWidth="1"/>
    <col min="3" max="3" width="47.08984375" customWidth="1"/>
    <col min="4" max="5" width="21.36328125" customWidth="1"/>
  </cols>
  <sheetData>
    <row r="1" spans="1:10" ht="29.5" thickBot="1" x14ac:dyDescent="0.4">
      <c r="A1" s="29" t="s">
        <v>62</v>
      </c>
      <c r="B1" s="30" t="s">
        <v>63</v>
      </c>
      <c r="C1" s="29" t="s">
        <v>64</v>
      </c>
      <c r="D1" s="30" t="s">
        <v>65</v>
      </c>
      <c r="E1" s="30" t="s">
        <v>71</v>
      </c>
      <c r="F1" s="285" t="s">
        <v>66</v>
      </c>
      <c r="G1" s="285"/>
      <c r="H1" s="285"/>
      <c r="I1" s="285"/>
      <c r="J1" s="285"/>
    </row>
    <row r="2" spans="1:10" ht="18.75" customHeight="1" thickBot="1" x14ac:dyDescent="0.4">
      <c r="A2" s="274">
        <v>3</v>
      </c>
      <c r="B2" s="274">
        <v>345</v>
      </c>
      <c r="C2" s="37" t="s">
        <v>16</v>
      </c>
      <c r="D2" s="34">
        <v>650</v>
      </c>
      <c r="E2" s="36"/>
      <c r="F2" s="277">
        <f>D2+D3+D4+D5+D6+D7</f>
        <v>3218</v>
      </c>
      <c r="G2" s="278"/>
      <c r="H2" s="278"/>
      <c r="I2" s="278"/>
      <c r="J2" s="279"/>
    </row>
    <row r="3" spans="1:10" ht="16" thickBot="1" x14ac:dyDescent="0.4">
      <c r="A3" s="275"/>
      <c r="B3" s="275"/>
      <c r="C3" s="38" t="s">
        <v>17</v>
      </c>
      <c r="D3" s="34">
        <v>374</v>
      </c>
      <c r="E3" s="34">
        <v>8</v>
      </c>
      <c r="F3" s="280"/>
      <c r="G3" s="231"/>
      <c r="H3" s="231"/>
      <c r="I3" s="231"/>
      <c r="J3" s="281"/>
    </row>
    <row r="4" spans="1:10" ht="16" thickBot="1" x14ac:dyDescent="0.4">
      <c r="A4" s="275"/>
      <c r="B4" s="275"/>
      <c r="C4" s="38" t="s">
        <v>67</v>
      </c>
      <c r="D4" s="34">
        <v>909</v>
      </c>
      <c r="E4" s="34"/>
      <c r="F4" s="280"/>
      <c r="G4" s="231"/>
      <c r="H4" s="231"/>
      <c r="I4" s="231"/>
      <c r="J4" s="281"/>
    </row>
    <row r="5" spans="1:10" ht="31.5" thickBot="1" x14ac:dyDescent="0.4">
      <c r="A5" s="275"/>
      <c r="B5" s="275"/>
      <c r="C5" s="38" t="s">
        <v>68</v>
      </c>
      <c r="D5" s="34">
        <v>708</v>
      </c>
      <c r="E5" s="34">
        <v>8</v>
      </c>
      <c r="F5" s="280"/>
      <c r="G5" s="231"/>
      <c r="H5" s="231"/>
      <c r="I5" s="231"/>
      <c r="J5" s="281"/>
    </row>
    <row r="6" spans="1:10" ht="31.5" thickBot="1" x14ac:dyDescent="0.4">
      <c r="A6" s="275"/>
      <c r="B6" s="275"/>
      <c r="C6" s="38" t="s">
        <v>69</v>
      </c>
      <c r="D6" s="34">
        <v>177</v>
      </c>
      <c r="E6" s="34">
        <v>8</v>
      </c>
      <c r="F6" s="280"/>
      <c r="G6" s="231"/>
      <c r="H6" s="231"/>
      <c r="I6" s="231"/>
      <c r="J6" s="281"/>
    </row>
    <row r="7" spans="1:10" ht="16" thickBot="1" x14ac:dyDescent="0.4">
      <c r="A7" s="276"/>
      <c r="B7" s="276"/>
      <c r="C7" s="38" t="s">
        <v>70</v>
      </c>
      <c r="D7" s="40">
        <v>400</v>
      </c>
      <c r="E7" s="35">
        <v>8</v>
      </c>
      <c r="F7" s="282"/>
      <c r="G7" s="283"/>
      <c r="H7" s="283"/>
      <c r="I7" s="283"/>
      <c r="J7" s="284"/>
    </row>
    <row r="8" spans="1:10" ht="18.75" customHeight="1" thickBot="1" x14ac:dyDescent="0.4">
      <c r="A8" s="274">
        <v>4</v>
      </c>
      <c r="B8" s="274">
        <v>330</v>
      </c>
      <c r="C8" s="37" t="s">
        <v>16</v>
      </c>
      <c r="D8" s="39">
        <v>732</v>
      </c>
      <c r="E8" s="36"/>
      <c r="F8" s="277">
        <f t="shared" ref="F8" si="0">D8+D9+D10+D11+D12+D13</f>
        <v>3495</v>
      </c>
      <c r="G8" s="278"/>
      <c r="H8" s="278"/>
      <c r="I8" s="278"/>
      <c r="J8" s="279"/>
    </row>
    <row r="9" spans="1:10" ht="16" thickBot="1" x14ac:dyDescent="0.4">
      <c r="A9" s="275"/>
      <c r="B9" s="275"/>
      <c r="C9" s="38" t="s">
        <v>17</v>
      </c>
      <c r="D9" s="34">
        <v>569</v>
      </c>
      <c r="E9" s="34">
        <v>8</v>
      </c>
      <c r="F9" s="280"/>
      <c r="G9" s="231"/>
      <c r="H9" s="231"/>
      <c r="I9" s="231"/>
      <c r="J9" s="281"/>
    </row>
    <row r="10" spans="1:10" ht="16" thickBot="1" x14ac:dyDescent="0.4">
      <c r="A10" s="275"/>
      <c r="B10" s="275"/>
      <c r="C10" s="38" t="s">
        <v>67</v>
      </c>
      <c r="D10" s="34">
        <v>909</v>
      </c>
      <c r="E10" s="34"/>
      <c r="F10" s="280"/>
      <c r="G10" s="231"/>
      <c r="H10" s="231"/>
      <c r="I10" s="231"/>
      <c r="J10" s="281"/>
    </row>
    <row r="11" spans="1:10" ht="31.5" thickBot="1" x14ac:dyDescent="0.4">
      <c r="A11" s="275"/>
      <c r="B11" s="275"/>
      <c r="C11" s="38" t="s">
        <v>68</v>
      </c>
      <c r="D11" s="34">
        <v>708</v>
      </c>
      <c r="E11" s="34">
        <v>8</v>
      </c>
      <c r="F11" s="280"/>
      <c r="G11" s="231"/>
      <c r="H11" s="231"/>
      <c r="I11" s="231"/>
      <c r="J11" s="281"/>
    </row>
    <row r="12" spans="1:10" ht="31.5" thickBot="1" x14ac:dyDescent="0.4">
      <c r="A12" s="275"/>
      <c r="B12" s="275"/>
      <c r="C12" s="38" t="s">
        <v>69</v>
      </c>
      <c r="D12" s="34">
        <v>177</v>
      </c>
      <c r="E12" s="34">
        <v>8</v>
      </c>
      <c r="F12" s="280"/>
      <c r="G12" s="231"/>
      <c r="H12" s="231"/>
      <c r="I12" s="231"/>
      <c r="J12" s="281"/>
    </row>
    <row r="13" spans="1:10" ht="16" thickBot="1" x14ac:dyDescent="0.4">
      <c r="A13" s="276"/>
      <c r="B13" s="276"/>
      <c r="C13" s="38" t="s">
        <v>70</v>
      </c>
      <c r="D13" s="40">
        <v>400</v>
      </c>
      <c r="E13" s="35">
        <v>8</v>
      </c>
      <c r="F13" s="282"/>
      <c r="G13" s="283"/>
      <c r="H13" s="283"/>
      <c r="I13" s="283"/>
      <c r="J13" s="284"/>
    </row>
    <row r="14" spans="1:10" ht="18.75" customHeight="1" thickBot="1" x14ac:dyDescent="0.4">
      <c r="A14" s="274">
        <v>5</v>
      </c>
      <c r="B14" s="274">
        <v>315</v>
      </c>
      <c r="C14" s="37" t="s">
        <v>16</v>
      </c>
      <c r="D14" s="34">
        <v>682</v>
      </c>
      <c r="E14" s="36"/>
      <c r="F14" s="277">
        <f t="shared" ref="F14" si="1">D14+D15+D16+D17+D18+D19</f>
        <v>3691</v>
      </c>
      <c r="G14" s="278"/>
      <c r="H14" s="278"/>
      <c r="I14" s="278"/>
      <c r="J14" s="279"/>
    </row>
    <row r="15" spans="1:10" ht="16" thickBot="1" x14ac:dyDescent="0.4">
      <c r="A15" s="275"/>
      <c r="B15" s="275"/>
      <c r="C15" s="38" t="s">
        <v>17</v>
      </c>
      <c r="D15" s="34">
        <v>815</v>
      </c>
      <c r="E15" s="34">
        <v>8</v>
      </c>
      <c r="F15" s="280"/>
      <c r="G15" s="231"/>
      <c r="H15" s="231"/>
      <c r="I15" s="231"/>
      <c r="J15" s="281"/>
    </row>
    <row r="16" spans="1:10" ht="16" thickBot="1" x14ac:dyDescent="0.4">
      <c r="A16" s="275"/>
      <c r="B16" s="275"/>
      <c r="C16" s="38" t="s">
        <v>67</v>
      </c>
      <c r="D16" s="34">
        <v>909</v>
      </c>
      <c r="E16" s="34"/>
      <c r="F16" s="280"/>
      <c r="G16" s="231"/>
      <c r="H16" s="231"/>
      <c r="I16" s="231"/>
      <c r="J16" s="281"/>
    </row>
    <row r="17" spans="1:10" ht="31.5" thickBot="1" x14ac:dyDescent="0.4">
      <c r="A17" s="275"/>
      <c r="B17" s="275"/>
      <c r="C17" s="38" t="s">
        <v>68</v>
      </c>
      <c r="D17" s="34">
        <v>708</v>
      </c>
      <c r="E17" s="34">
        <v>8</v>
      </c>
      <c r="F17" s="280"/>
      <c r="G17" s="231"/>
      <c r="H17" s="231"/>
      <c r="I17" s="231"/>
      <c r="J17" s="281"/>
    </row>
    <row r="18" spans="1:10" ht="31.5" thickBot="1" x14ac:dyDescent="0.4">
      <c r="A18" s="275"/>
      <c r="B18" s="275"/>
      <c r="C18" s="38" t="s">
        <v>72</v>
      </c>
      <c r="D18" s="34">
        <v>177</v>
      </c>
      <c r="E18" s="34">
        <v>8</v>
      </c>
      <c r="F18" s="280"/>
      <c r="G18" s="231"/>
      <c r="H18" s="231"/>
      <c r="I18" s="231"/>
      <c r="J18" s="281"/>
    </row>
    <row r="19" spans="1:10" ht="16" thickBot="1" x14ac:dyDescent="0.4">
      <c r="A19" s="276"/>
      <c r="B19" s="276"/>
      <c r="C19" s="38" t="s">
        <v>70</v>
      </c>
      <c r="D19" s="40">
        <v>400</v>
      </c>
      <c r="E19" s="35">
        <v>8</v>
      </c>
      <c r="F19" s="282"/>
      <c r="G19" s="283"/>
      <c r="H19" s="283"/>
      <c r="I19" s="283"/>
      <c r="J19" s="284"/>
    </row>
    <row r="20" spans="1:10" ht="18.75" customHeight="1" thickBot="1" x14ac:dyDescent="0.4">
      <c r="A20" s="274">
        <v>6</v>
      </c>
      <c r="B20" s="274">
        <v>303</v>
      </c>
      <c r="C20" s="37" t="s">
        <v>16</v>
      </c>
      <c r="D20" s="34">
        <v>565</v>
      </c>
      <c r="E20" s="36"/>
      <c r="F20" s="277">
        <f t="shared" ref="F20" si="2">D20+D21+D22+D23+D24+D25</f>
        <v>3730</v>
      </c>
      <c r="G20" s="278"/>
      <c r="H20" s="278"/>
      <c r="I20" s="278"/>
      <c r="J20" s="279"/>
    </row>
    <row r="21" spans="1:10" ht="16" thickBot="1" x14ac:dyDescent="0.4">
      <c r="A21" s="275"/>
      <c r="B21" s="275"/>
      <c r="C21" s="38" t="s">
        <v>17</v>
      </c>
      <c r="D21" s="34">
        <v>971</v>
      </c>
      <c r="E21" s="34">
        <v>8</v>
      </c>
      <c r="F21" s="280"/>
      <c r="G21" s="231"/>
      <c r="H21" s="231"/>
      <c r="I21" s="231"/>
      <c r="J21" s="281"/>
    </row>
    <row r="22" spans="1:10" ht="16" thickBot="1" x14ac:dyDescent="0.4">
      <c r="A22" s="275"/>
      <c r="B22" s="275"/>
      <c r="C22" s="38" t="s">
        <v>67</v>
      </c>
      <c r="D22" s="34">
        <v>909</v>
      </c>
      <c r="E22" s="34"/>
      <c r="F22" s="280"/>
      <c r="G22" s="231"/>
      <c r="H22" s="231"/>
      <c r="I22" s="231"/>
      <c r="J22" s="281"/>
    </row>
    <row r="23" spans="1:10" ht="31.5" thickBot="1" x14ac:dyDescent="0.4">
      <c r="A23" s="275"/>
      <c r="B23" s="275"/>
      <c r="C23" s="38" t="s">
        <v>68</v>
      </c>
      <c r="D23" s="34">
        <v>708</v>
      </c>
      <c r="E23" s="34">
        <v>8</v>
      </c>
      <c r="F23" s="280"/>
      <c r="G23" s="231"/>
      <c r="H23" s="231"/>
      <c r="I23" s="231"/>
      <c r="J23" s="281"/>
    </row>
    <row r="24" spans="1:10" ht="31.5" thickBot="1" x14ac:dyDescent="0.4">
      <c r="A24" s="275"/>
      <c r="B24" s="275"/>
      <c r="C24" s="38" t="s">
        <v>72</v>
      </c>
      <c r="D24" s="34">
        <v>177</v>
      </c>
      <c r="E24" s="34">
        <v>8</v>
      </c>
      <c r="F24" s="280"/>
      <c r="G24" s="231"/>
      <c r="H24" s="231"/>
      <c r="I24" s="231"/>
      <c r="J24" s="281"/>
    </row>
    <row r="25" spans="1:10" ht="16" thickBot="1" x14ac:dyDescent="0.4">
      <c r="A25" s="276"/>
      <c r="B25" s="276"/>
      <c r="C25" s="38" t="s">
        <v>70</v>
      </c>
      <c r="D25" s="40">
        <v>400</v>
      </c>
      <c r="E25" s="35">
        <v>8</v>
      </c>
      <c r="F25" s="282"/>
      <c r="G25" s="283"/>
      <c r="H25" s="283"/>
      <c r="I25" s="283"/>
      <c r="J25" s="284"/>
    </row>
    <row r="26" spans="1:10" ht="18.75" customHeight="1" thickBot="1" x14ac:dyDescent="0.4">
      <c r="A26" s="274">
        <v>7</v>
      </c>
      <c r="B26" s="274">
        <v>291</v>
      </c>
      <c r="C26" s="37" t="s">
        <v>16</v>
      </c>
      <c r="D26" s="34">
        <v>463</v>
      </c>
      <c r="E26" s="36"/>
      <c r="F26" s="277">
        <f t="shared" ref="F26" si="3">D26+D27+D28+D29+D30+D31</f>
        <v>3898</v>
      </c>
      <c r="G26" s="278"/>
      <c r="H26" s="278"/>
      <c r="I26" s="278"/>
      <c r="J26" s="279"/>
    </row>
    <row r="27" spans="1:10" ht="16" thickBot="1" x14ac:dyDescent="0.4">
      <c r="A27" s="275"/>
      <c r="B27" s="275"/>
      <c r="C27" s="38" t="s">
        <v>17</v>
      </c>
      <c r="D27" s="34">
        <v>1122</v>
      </c>
      <c r="E27" s="34">
        <v>8</v>
      </c>
      <c r="F27" s="280"/>
      <c r="G27" s="231"/>
      <c r="H27" s="231"/>
      <c r="I27" s="231"/>
      <c r="J27" s="281"/>
    </row>
    <row r="28" spans="1:10" ht="16" thickBot="1" x14ac:dyDescent="0.4">
      <c r="A28" s="275"/>
      <c r="B28" s="275"/>
      <c r="C28" s="38" t="s">
        <v>67</v>
      </c>
      <c r="D28" s="34">
        <v>909</v>
      </c>
      <c r="E28" s="34"/>
      <c r="F28" s="280"/>
      <c r="G28" s="231"/>
      <c r="H28" s="231"/>
      <c r="I28" s="231"/>
      <c r="J28" s="281"/>
    </row>
    <row r="29" spans="1:10" ht="31.5" thickBot="1" x14ac:dyDescent="0.4">
      <c r="A29" s="275"/>
      <c r="B29" s="275"/>
      <c r="C29" s="38" t="s">
        <v>68</v>
      </c>
      <c r="D29" s="34">
        <v>708</v>
      </c>
      <c r="E29" s="34">
        <v>8</v>
      </c>
      <c r="F29" s="280"/>
      <c r="G29" s="231"/>
      <c r="H29" s="231"/>
      <c r="I29" s="231"/>
      <c r="J29" s="281"/>
    </row>
    <row r="30" spans="1:10" ht="31.5" thickBot="1" x14ac:dyDescent="0.4">
      <c r="A30" s="275"/>
      <c r="B30" s="275"/>
      <c r="C30" s="38" t="s">
        <v>73</v>
      </c>
      <c r="D30" s="34">
        <v>371</v>
      </c>
      <c r="E30" s="34">
        <v>8</v>
      </c>
      <c r="F30" s="280"/>
      <c r="G30" s="231"/>
      <c r="H30" s="231"/>
      <c r="I30" s="231"/>
      <c r="J30" s="281"/>
    </row>
    <row r="31" spans="1:10" ht="16" thickBot="1" x14ac:dyDescent="0.4">
      <c r="A31" s="276"/>
      <c r="B31" s="276"/>
      <c r="C31" s="38" t="s">
        <v>74</v>
      </c>
      <c r="D31" s="40">
        <v>325</v>
      </c>
      <c r="E31" s="35">
        <v>8</v>
      </c>
      <c r="F31" s="282"/>
      <c r="G31" s="283"/>
      <c r="H31" s="283"/>
      <c r="I31" s="283"/>
      <c r="J31" s="284"/>
    </row>
    <row r="32" spans="1:10" ht="18.75" customHeight="1" thickBot="1" x14ac:dyDescent="0.4">
      <c r="A32" s="274">
        <v>8</v>
      </c>
      <c r="B32" s="274">
        <v>279</v>
      </c>
      <c r="C32" s="37" t="s">
        <v>16</v>
      </c>
      <c r="D32" s="34">
        <v>376</v>
      </c>
      <c r="E32" s="36"/>
      <c r="F32" s="277">
        <f t="shared" ref="F32" si="4">D32+D33+D34+D35+D36+D37</f>
        <v>3961</v>
      </c>
      <c r="G32" s="278"/>
      <c r="H32" s="278"/>
      <c r="I32" s="278"/>
      <c r="J32" s="279"/>
    </row>
    <row r="33" spans="1:10" ht="16" thickBot="1" x14ac:dyDescent="0.4">
      <c r="A33" s="275"/>
      <c r="B33" s="275"/>
      <c r="C33" s="38" t="s">
        <v>17</v>
      </c>
      <c r="D33" s="34">
        <v>1272</v>
      </c>
      <c r="E33" s="34">
        <v>8</v>
      </c>
      <c r="F33" s="280"/>
      <c r="G33" s="231"/>
      <c r="H33" s="231"/>
      <c r="I33" s="231"/>
      <c r="J33" s="281"/>
    </row>
    <row r="34" spans="1:10" ht="16" thickBot="1" x14ac:dyDescent="0.4">
      <c r="A34" s="275"/>
      <c r="B34" s="275"/>
      <c r="C34" s="38" t="s">
        <v>67</v>
      </c>
      <c r="D34" s="34">
        <v>909</v>
      </c>
      <c r="E34" s="34"/>
      <c r="F34" s="280"/>
      <c r="G34" s="231"/>
      <c r="H34" s="231"/>
      <c r="I34" s="231"/>
      <c r="J34" s="281"/>
    </row>
    <row r="35" spans="1:10" ht="31.5" thickBot="1" x14ac:dyDescent="0.4">
      <c r="A35" s="275"/>
      <c r="B35" s="275"/>
      <c r="C35" s="38" t="s">
        <v>68</v>
      </c>
      <c r="D35" s="34">
        <v>708</v>
      </c>
      <c r="E35" s="34">
        <v>8</v>
      </c>
      <c r="F35" s="280"/>
      <c r="G35" s="231"/>
      <c r="H35" s="231"/>
      <c r="I35" s="231"/>
      <c r="J35" s="281"/>
    </row>
    <row r="36" spans="1:10" ht="31.5" thickBot="1" x14ac:dyDescent="0.4">
      <c r="A36" s="275"/>
      <c r="B36" s="275"/>
      <c r="C36" s="38" t="s">
        <v>73</v>
      </c>
      <c r="D36" s="34">
        <v>371</v>
      </c>
      <c r="E36" s="34">
        <v>8</v>
      </c>
      <c r="F36" s="280"/>
      <c r="G36" s="231"/>
      <c r="H36" s="231"/>
      <c r="I36" s="231"/>
      <c r="J36" s="281"/>
    </row>
    <row r="37" spans="1:10" ht="16" thickBot="1" x14ac:dyDescent="0.4">
      <c r="A37" s="276"/>
      <c r="B37" s="276"/>
      <c r="C37" s="38" t="s">
        <v>74</v>
      </c>
      <c r="D37" s="40">
        <v>325</v>
      </c>
      <c r="E37" s="35">
        <v>8</v>
      </c>
      <c r="F37" s="282"/>
      <c r="G37" s="283"/>
      <c r="H37" s="283"/>
      <c r="I37" s="283"/>
      <c r="J37" s="284"/>
    </row>
    <row r="38" spans="1:10" ht="18.75" customHeight="1" thickBot="1" x14ac:dyDescent="0.4">
      <c r="A38" s="274">
        <v>9</v>
      </c>
      <c r="B38" s="274">
        <v>267</v>
      </c>
      <c r="C38" s="37" t="s">
        <v>16</v>
      </c>
      <c r="D38" s="34">
        <v>332</v>
      </c>
      <c r="E38" s="36"/>
      <c r="F38" s="277">
        <f t="shared" ref="F38" si="5">D38+D39+D40+D41+D42+D43</f>
        <v>4068</v>
      </c>
      <c r="G38" s="278"/>
      <c r="H38" s="278"/>
      <c r="I38" s="278"/>
      <c r="J38" s="279"/>
    </row>
    <row r="39" spans="1:10" ht="16" thickBot="1" x14ac:dyDescent="0.4">
      <c r="A39" s="275"/>
      <c r="B39" s="275"/>
      <c r="C39" s="38" t="s">
        <v>17</v>
      </c>
      <c r="D39" s="34">
        <v>1423</v>
      </c>
      <c r="E39" s="34">
        <v>8</v>
      </c>
      <c r="F39" s="280"/>
      <c r="G39" s="231"/>
      <c r="H39" s="231"/>
      <c r="I39" s="231"/>
      <c r="J39" s="281"/>
    </row>
    <row r="40" spans="1:10" ht="16" thickBot="1" x14ac:dyDescent="0.4">
      <c r="A40" s="275"/>
      <c r="B40" s="275"/>
      <c r="C40" s="38" t="s">
        <v>67</v>
      </c>
      <c r="D40" s="34">
        <v>909</v>
      </c>
      <c r="E40" s="34"/>
      <c r="F40" s="280"/>
      <c r="G40" s="231"/>
      <c r="H40" s="231"/>
      <c r="I40" s="231"/>
      <c r="J40" s="281"/>
    </row>
    <row r="41" spans="1:10" ht="31.5" thickBot="1" x14ac:dyDescent="0.4">
      <c r="A41" s="275"/>
      <c r="B41" s="275"/>
      <c r="C41" s="38" t="s">
        <v>68</v>
      </c>
      <c r="D41" s="34">
        <v>708</v>
      </c>
      <c r="E41" s="34">
        <v>8</v>
      </c>
      <c r="F41" s="280"/>
      <c r="G41" s="231"/>
      <c r="H41" s="231"/>
      <c r="I41" s="231"/>
      <c r="J41" s="281"/>
    </row>
    <row r="42" spans="1:10" ht="31.5" thickBot="1" x14ac:dyDescent="0.4">
      <c r="A42" s="275"/>
      <c r="B42" s="275"/>
      <c r="C42" s="38" t="s">
        <v>73</v>
      </c>
      <c r="D42" s="34">
        <v>371</v>
      </c>
      <c r="E42" s="34">
        <v>8</v>
      </c>
      <c r="F42" s="280"/>
      <c r="G42" s="231"/>
      <c r="H42" s="231"/>
      <c r="I42" s="231"/>
      <c r="J42" s="281"/>
    </row>
    <row r="43" spans="1:10" ht="16" thickBot="1" x14ac:dyDescent="0.4">
      <c r="A43" s="276"/>
      <c r="B43" s="276"/>
      <c r="C43" s="38" t="s">
        <v>74</v>
      </c>
      <c r="D43" s="40">
        <v>325</v>
      </c>
      <c r="E43" s="35">
        <v>8</v>
      </c>
      <c r="F43" s="282"/>
      <c r="G43" s="283"/>
      <c r="H43" s="283"/>
      <c r="I43" s="283"/>
      <c r="J43" s="284"/>
    </row>
    <row r="44" spans="1:10" x14ac:dyDescent="0.35">
      <c r="G44" s="96"/>
      <c r="H44" s="96"/>
      <c r="I44" s="96"/>
      <c r="J44" s="96"/>
    </row>
    <row r="45" spans="1:10" ht="15" thickBot="1" x14ac:dyDescent="0.4">
      <c r="G45" s="96"/>
      <c r="H45" s="96"/>
      <c r="I45" s="96"/>
      <c r="J45" s="96"/>
    </row>
    <row r="46" spans="1:10" ht="15.5" x14ac:dyDescent="0.35">
      <c r="A46" s="245" t="s">
        <v>93</v>
      </c>
      <c r="B46" s="56" t="s">
        <v>94</v>
      </c>
      <c r="C46" s="247" t="s">
        <v>96</v>
      </c>
      <c r="D46" s="249" t="s">
        <v>97</v>
      </c>
      <c r="E46" s="249" t="s">
        <v>98</v>
      </c>
      <c r="F46" s="251" t="s">
        <v>99</v>
      </c>
      <c r="G46" s="96"/>
      <c r="H46" s="96"/>
      <c r="I46" s="96"/>
      <c r="J46" s="96"/>
    </row>
    <row r="47" spans="1:10" ht="31.5" thickBot="1" x14ac:dyDescent="0.4">
      <c r="A47" s="246"/>
      <c r="B47" s="57" t="s">
        <v>95</v>
      </c>
      <c r="C47" s="248"/>
      <c r="D47" s="250"/>
      <c r="E47" s="250"/>
      <c r="F47" s="252"/>
      <c r="G47" s="96"/>
      <c r="H47" s="96"/>
      <c r="I47" s="96"/>
      <c r="J47" s="96"/>
    </row>
    <row r="48" spans="1:10" ht="16" thickBot="1" x14ac:dyDescent="0.4">
      <c r="A48" s="58" t="s">
        <v>100</v>
      </c>
      <c r="B48" s="60" t="s">
        <v>100</v>
      </c>
      <c r="C48" s="62" t="s">
        <v>16</v>
      </c>
      <c r="D48" s="61">
        <v>650</v>
      </c>
      <c r="E48" s="61">
        <v>0</v>
      </c>
      <c r="F48" s="60" t="s">
        <v>100</v>
      </c>
      <c r="G48" s="96"/>
      <c r="H48" s="96"/>
      <c r="I48" s="96"/>
      <c r="J48" s="96"/>
    </row>
    <row r="49" spans="1:10" ht="16" thickBot="1" x14ac:dyDescent="0.4">
      <c r="A49" s="58" t="s">
        <v>100</v>
      </c>
      <c r="B49" s="60" t="s">
        <v>100</v>
      </c>
      <c r="C49" s="62" t="s">
        <v>17</v>
      </c>
      <c r="D49" s="61">
        <v>374</v>
      </c>
      <c r="E49" s="61">
        <v>8</v>
      </c>
      <c r="F49" s="60" t="s">
        <v>100</v>
      </c>
      <c r="G49" s="96"/>
      <c r="H49" s="96"/>
      <c r="I49" s="96"/>
      <c r="J49" s="96"/>
    </row>
    <row r="50" spans="1:10" ht="16" thickBot="1" x14ac:dyDescent="0.4">
      <c r="A50" s="58" t="s">
        <v>100</v>
      </c>
      <c r="B50" s="60" t="s">
        <v>100</v>
      </c>
      <c r="C50" s="62" t="s">
        <v>101</v>
      </c>
      <c r="D50" s="63">
        <v>536</v>
      </c>
      <c r="E50" s="61">
        <v>0</v>
      </c>
      <c r="F50" s="60" t="s">
        <v>100</v>
      </c>
      <c r="G50" s="96"/>
      <c r="H50" s="96"/>
      <c r="I50" s="96"/>
      <c r="J50" s="96"/>
    </row>
    <row r="51" spans="1:10" ht="31.5" thickBot="1" x14ac:dyDescent="0.4">
      <c r="A51" s="59">
        <v>3</v>
      </c>
      <c r="B51" s="61">
        <v>345</v>
      </c>
      <c r="C51" s="62" t="s">
        <v>102</v>
      </c>
      <c r="D51" s="63">
        <v>185</v>
      </c>
      <c r="E51" s="61">
        <v>0</v>
      </c>
      <c r="F51" s="61">
        <v>1.7450000000000001</v>
      </c>
      <c r="G51" s="96"/>
      <c r="H51" s="96"/>
      <c r="I51" s="96"/>
      <c r="J51" s="96"/>
    </row>
    <row r="52" spans="1:10" ht="15.5" x14ac:dyDescent="0.35">
      <c r="A52" s="58" t="s">
        <v>100</v>
      </c>
      <c r="B52" s="60" t="s">
        <v>100</v>
      </c>
      <c r="C52" s="262" t="s">
        <v>16</v>
      </c>
      <c r="D52" s="272">
        <v>732</v>
      </c>
      <c r="E52" s="272">
        <v>0</v>
      </c>
      <c r="F52" s="60" t="s">
        <v>100</v>
      </c>
      <c r="G52" s="96"/>
      <c r="H52" s="96"/>
      <c r="I52" s="96"/>
      <c r="J52" s="96"/>
    </row>
    <row r="53" spans="1:10" ht="16" thickBot="1" x14ac:dyDescent="0.4">
      <c r="A53" s="58" t="s">
        <v>100</v>
      </c>
      <c r="B53" s="60" t="s">
        <v>100</v>
      </c>
      <c r="C53" s="263"/>
      <c r="D53" s="273"/>
      <c r="E53" s="273"/>
      <c r="F53" s="60" t="s">
        <v>100</v>
      </c>
      <c r="G53" s="96"/>
      <c r="H53" s="96"/>
      <c r="I53" s="96"/>
      <c r="J53" s="96"/>
    </row>
    <row r="54" spans="1:10" ht="16" thickBot="1" x14ac:dyDescent="0.4">
      <c r="A54" s="58" t="s">
        <v>100</v>
      </c>
      <c r="B54" s="60" t="s">
        <v>100</v>
      </c>
      <c r="C54" s="62" t="s">
        <v>17</v>
      </c>
      <c r="D54" s="61">
        <v>569</v>
      </c>
      <c r="E54" s="61">
        <v>8</v>
      </c>
      <c r="F54" s="60" t="s">
        <v>100</v>
      </c>
      <c r="G54" s="96"/>
      <c r="H54" s="96"/>
      <c r="I54" s="96"/>
      <c r="J54" s="96"/>
    </row>
    <row r="55" spans="1:10" ht="16" thickBot="1" x14ac:dyDescent="0.4">
      <c r="A55" s="64">
        <v>4</v>
      </c>
      <c r="B55" s="66">
        <v>330</v>
      </c>
      <c r="C55" s="62" t="s">
        <v>101</v>
      </c>
      <c r="D55" s="63">
        <v>536</v>
      </c>
      <c r="E55" s="61">
        <v>0</v>
      </c>
      <c r="F55" s="66">
        <v>2.0219999999999998</v>
      </c>
      <c r="G55" s="96"/>
      <c r="H55" s="96"/>
      <c r="I55" s="96"/>
      <c r="J55" s="96"/>
    </row>
    <row r="56" spans="1:10" ht="31.5" thickBot="1" x14ac:dyDescent="0.4">
      <c r="A56" s="65"/>
      <c r="B56" s="67"/>
      <c r="C56" s="62" t="s">
        <v>102</v>
      </c>
      <c r="D56" s="63">
        <v>185</v>
      </c>
      <c r="E56" s="61" t="s">
        <v>20</v>
      </c>
      <c r="F56" s="61" t="s">
        <v>100</v>
      </c>
      <c r="G56" s="96"/>
      <c r="H56" s="96"/>
      <c r="I56" s="96"/>
      <c r="J56" s="96"/>
    </row>
    <row r="57" spans="1:10" ht="16" thickBot="1" x14ac:dyDescent="0.4">
      <c r="A57" s="58" t="s">
        <v>100</v>
      </c>
      <c r="B57" s="60" t="s">
        <v>100</v>
      </c>
      <c r="C57" s="62" t="s">
        <v>16</v>
      </c>
      <c r="D57" s="61">
        <v>682</v>
      </c>
      <c r="E57" s="61">
        <v>0</v>
      </c>
      <c r="F57" s="60" t="s">
        <v>100</v>
      </c>
      <c r="G57" s="96"/>
      <c r="H57" s="96"/>
      <c r="I57" s="96"/>
      <c r="J57" s="96"/>
    </row>
    <row r="58" spans="1:10" ht="16" thickBot="1" x14ac:dyDescent="0.4">
      <c r="A58" s="58" t="s">
        <v>100</v>
      </c>
      <c r="B58" s="60" t="s">
        <v>100</v>
      </c>
      <c r="C58" s="62" t="s">
        <v>17</v>
      </c>
      <c r="D58" s="61">
        <v>815</v>
      </c>
      <c r="E58" s="61">
        <v>8</v>
      </c>
      <c r="F58" s="60" t="s">
        <v>100</v>
      </c>
      <c r="G58" s="96"/>
      <c r="H58" s="96"/>
      <c r="I58" s="96"/>
      <c r="J58" s="96"/>
    </row>
    <row r="59" spans="1:10" ht="16" thickBot="1" x14ac:dyDescent="0.4">
      <c r="A59" s="58" t="s">
        <v>100</v>
      </c>
      <c r="B59" s="60" t="s">
        <v>100</v>
      </c>
      <c r="C59" s="62" t="s">
        <v>101</v>
      </c>
      <c r="D59" s="63">
        <v>536</v>
      </c>
      <c r="E59" s="61">
        <v>0</v>
      </c>
      <c r="F59" s="60" t="s">
        <v>100</v>
      </c>
      <c r="G59" s="96"/>
      <c r="H59" s="96"/>
      <c r="I59" s="96"/>
      <c r="J59" s="96"/>
    </row>
    <row r="60" spans="1:10" ht="31.5" thickBot="1" x14ac:dyDescent="0.4">
      <c r="A60" s="59">
        <v>5</v>
      </c>
      <c r="B60" s="61">
        <v>315</v>
      </c>
      <c r="C60" s="62" t="s">
        <v>102</v>
      </c>
      <c r="D60" s="63">
        <v>185</v>
      </c>
      <c r="E60" s="61">
        <v>0</v>
      </c>
      <c r="F60" s="61">
        <v>2.218</v>
      </c>
      <c r="G60" s="96"/>
      <c r="H60" s="96"/>
      <c r="I60" s="96"/>
      <c r="J60" s="96"/>
    </row>
    <row r="61" spans="1:10" ht="16" thickBot="1" x14ac:dyDescent="0.4">
      <c r="A61" s="58" t="s">
        <v>100</v>
      </c>
      <c r="B61" s="60" t="s">
        <v>100</v>
      </c>
      <c r="C61" s="62" t="s">
        <v>16</v>
      </c>
      <c r="D61" s="61">
        <v>565</v>
      </c>
      <c r="E61" s="61">
        <v>0</v>
      </c>
      <c r="F61" s="60" t="s">
        <v>100</v>
      </c>
      <c r="G61" s="96"/>
      <c r="H61" s="96"/>
      <c r="I61" s="96"/>
      <c r="J61" s="96"/>
    </row>
    <row r="62" spans="1:10" ht="16" thickBot="1" x14ac:dyDescent="0.4">
      <c r="A62" s="58" t="s">
        <v>100</v>
      </c>
      <c r="B62" s="60" t="s">
        <v>100</v>
      </c>
      <c r="C62" s="62" t="s">
        <v>17</v>
      </c>
      <c r="D62" s="61">
        <v>971</v>
      </c>
      <c r="E62" s="61">
        <v>8</v>
      </c>
      <c r="F62" s="60" t="s">
        <v>100</v>
      </c>
      <c r="G62" s="96"/>
      <c r="H62" s="96"/>
      <c r="I62" s="96"/>
      <c r="J62" s="96"/>
    </row>
    <row r="63" spans="1:10" ht="16" thickBot="1" x14ac:dyDescent="0.4">
      <c r="A63" s="58" t="s">
        <v>100</v>
      </c>
      <c r="B63" s="60" t="s">
        <v>100</v>
      </c>
      <c r="C63" s="62" t="s">
        <v>101</v>
      </c>
      <c r="D63" s="61">
        <v>536</v>
      </c>
      <c r="E63" s="61">
        <v>0</v>
      </c>
      <c r="F63" s="60" t="s">
        <v>100</v>
      </c>
      <c r="G63" s="96"/>
      <c r="H63" s="96"/>
      <c r="I63" s="96"/>
      <c r="J63" s="96"/>
    </row>
    <row r="64" spans="1:10" ht="31.5" thickBot="1" x14ac:dyDescent="0.4">
      <c r="A64" s="64">
        <v>6</v>
      </c>
      <c r="B64" s="66">
        <v>303</v>
      </c>
      <c r="C64" s="68" t="s">
        <v>102</v>
      </c>
      <c r="D64" s="66">
        <v>185</v>
      </c>
      <c r="E64" s="66">
        <v>0</v>
      </c>
      <c r="F64" s="66">
        <v>2.2570000000000001</v>
      </c>
      <c r="G64" s="96"/>
      <c r="H64" s="96"/>
      <c r="I64" s="96"/>
      <c r="J64" s="96"/>
    </row>
    <row r="65" spans="1:10" ht="16" thickBot="1" x14ac:dyDescent="0.4">
      <c r="A65" s="269">
        <v>7</v>
      </c>
      <c r="B65" s="266">
        <v>291</v>
      </c>
      <c r="C65" s="72" t="s">
        <v>16</v>
      </c>
      <c r="D65" s="73">
        <v>463</v>
      </c>
      <c r="E65" s="73">
        <v>0</v>
      </c>
      <c r="F65" s="74" t="s">
        <v>100</v>
      </c>
      <c r="G65" s="96"/>
      <c r="H65" s="96"/>
      <c r="I65" s="96"/>
      <c r="J65" s="96"/>
    </row>
    <row r="66" spans="1:10" ht="16" thickBot="1" x14ac:dyDescent="0.4">
      <c r="A66" s="270"/>
      <c r="B66" s="267"/>
      <c r="C66" s="62" t="s">
        <v>17</v>
      </c>
      <c r="D66" s="61">
        <v>1122</v>
      </c>
      <c r="E66" s="61">
        <v>8</v>
      </c>
      <c r="F66" s="75" t="s">
        <v>100</v>
      </c>
      <c r="G66" s="96"/>
      <c r="H66" s="96"/>
      <c r="I66" s="96"/>
      <c r="J66" s="96"/>
    </row>
    <row r="67" spans="1:10" ht="16" thickBot="1" x14ac:dyDescent="0.4">
      <c r="A67" s="270"/>
      <c r="B67" s="267"/>
      <c r="C67" s="62" t="s">
        <v>101</v>
      </c>
      <c r="D67" s="61">
        <v>536</v>
      </c>
      <c r="E67" s="61">
        <v>0</v>
      </c>
      <c r="F67" s="76">
        <v>2.306</v>
      </c>
      <c r="G67" s="96"/>
      <c r="H67" s="96"/>
      <c r="I67" s="96"/>
      <c r="J67" s="96"/>
    </row>
    <row r="68" spans="1:10" ht="31.5" thickBot="1" x14ac:dyDescent="0.4">
      <c r="A68" s="271"/>
      <c r="B68" s="268"/>
      <c r="C68" s="77" t="s">
        <v>102</v>
      </c>
      <c r="D68" s="77">
        <v>185</v>
      </c>
      <c r="E68" s="78">
        <v>0</v>
      </c>
      <c r="F68" s="79" t="s">
        <v>100</v>
      </c>
      <c r="G68" s="96"/>
      <c r="H68" s="96"/>
      <c r="I68" s="96"/>
      <c r="J68" s="96"/>
    </row>
    <row r="69" spans="1:10" ht="16" thickBot="1" x14ac:dyDescent="0.4">
      <c r="A69" s="58" t="s">
        <v>100</v>
      </c>
      <c r="B69" s="60" t="s">
        <v>100</v>
      </c>
      <c r="C69" s="62" t="s">
        <v>16</v>
      </c>
      <c r="D69" s="61">
        <v>376</v>
      </c>
      <c r="E69" s="61">
        <v>0</v>
      </c>
      <c r="F69" s="60" t="s">
        <v>100</v>
      </c>
      <c r="G69" s="96"/>
      <c r="H69" s="96"/>
      <c r="I69" s="96"/>
      <c r="J69" s="96"/>
    </row>
    <row r="70" spans="1:10" ht="16" thickBot="1" x14ac:dyDescent="0.4">
      <c r="A70" s="58" t="s">
        <v>100</v>
      </c>
      <c r="B70" s="60" t="s">
        <v>100</v>
      </c>
      <c r="C70" s="62" t="s">
        <v>17</v>
      </c>
      <c r="D70" s="61">
        <v>1272</v>
      </c>
      <c r="E70" s="61">
        <v>8</v>
      </c>
      <c r="F70" s="60" t="s">
        <v>100</v>
      </c>
      <c r="G70" s="96"/>
      <c r="H70" s="96"/>
      <c r="I70" s="96"/>
      <c r="J70" s="96"/>
    </row>
    <row r="71" spans="1:10" ht="16" thickBot="1" x14ac:dyDescent="0.4">
      <c r="A71" s="58" t="s">
        <v>100</v>
      </c>
      <c r="B71" s="60" t="s">
        <v>100</v>
      </c>
      <c r="C71" s="62" t="s">
        <v>101</v>
      </c>
      <c r="D71" s="63">
        <v>536</v>
      </c>
      <c r="E71" s="61">
        <v>0</v>
      </c>
      <c r="F71" s="60" t="s">
        <v>100</v>
      </c>
      <c r="G71" s="96"/>
      <c r="H71" s="96"/>
      <c r="I71" s="96"/>
      <c r="J71" s="96"/>
    </row>
    <row r="72" spans="1:10" ht="31.5" thickBot="1" x14ac:dyDescent="0.4">
      <c r="A72" s="59">
        <v>8</v>
      </c>
      <c r="B72" s="61">
        <v>279</v>
      </c>
      <c r="C72" s="62" t="s">
        <v>102</v>
      </c>
      <c r="D72" s="69">
        <v>185</v>
      </c>
      <c r="E72" s="61">
        <v>0</v>
      </c>
      <c r="F72" s="61">
        <v>2.3690000000000002</v>
      </c>
      <c r="G72" s="96"/>
      <c r="H72" s="96"/>
      <c r="I72" s="96"/>
      <c r="J72" s="96"/>
    </row>
    <row r="73" spans="1:10" ht="15.5" x14ac:dyDescent="0.35">
      <c r="A73" s="58" t="s">
        <v>100</v>
      </c>
      <c r="B73" s="60" t="s">
        <v>100</v>
      </c>
      <c r="C73" s="262" t="s">
        <v>16</v>
      </c>
      <c r="D73" s="272">
        <v>332</v>
      </c>
      <c r="E73" s="272">
        <v>0</v>
      </c>
      <c r="F73" s="60" t="s">
        <v>100</v>
      </c>
      <c r="G73" s="96"/>
      <c r="H73" s="96"/>
      <c r="I73" s="96"/>
      <c r="J73" s="96"/>
    </row>
    <row r="74" spans="1:10" ht="16" thickBot="1" x14ac:dyDescent="0.4">
      <c r="A74" s="58" t="s">
        <v>100</v>
      </c>
      <c r="B74" s="60" t="s">
        <v>100</v>
      </c>
      <c r="C74" s="263"/>
      <c r="D74" s="273"/>
      <c r="E74" s="273"/>
      <c r="F74" s="60" t="s">
        <v>100</v>
      </c>
      <c r="G74" s="96"/>
      <c r="H74" s="96"/>
      <c r="I74" s="96"/>
      <c r="J74" s="96"/>
    </row>
    <row r="75" spans="1:10" ht="16" thickBot="1" x14ac:dyDescent="0.4">
      <c r="A75" s="58" t="s">
        <v>100</v>
      </c>
      <c r="B75" s="60" t="s">
        <v>100</v>
      </c>
      <c r="C75" s="62" t="s">
        <v>17</v>
      </c>
      <c r="D75" s="61">
        <v>1423</v>
      </c>
      <c r="E75" s="61">
        <v>8</v>
      </c>
      <c r="F75" s="60" t="s">
        <v>100</v>
      </c>
      <c r="G75" s="96"/>
      <c r="H75" s="96"/>
      <c r="I75" s="96"/>
      <c r="J75" s="96"/>
    </row>
    <row r="76" spans="1:10" ht="16" thickBot="1" x14ac:dyDescent="0.4">
      <c r="A76" s="64">
        <v>9</v>
      </c>
      <c r="B76" s="66">
        <v>267</v>
      </c>
      <c r="C76" s="62" t="s">
        <v>101</v>
      </c>
      <c r="D76" s="63">
        <v>536</v>
      </c>
      <c r="E76" s="61">
        <v>0</v>
      </c>
      <c r="F76" s="66">
        <v>2.476</v>
      </c>
      <c r="G76" s="96"/>
      <c r="H76" s="96"/>
      <c r="I76" s="96"/>
      <c r="J76" s="96"/>
    </row>
    <row r="77" spans="1:10" ht="15.5" x14ac:dyDescent="0.35">
      <c r="A77" s="70"/>
      <c r="B77" s="71"/>
      <c r="C77" s="262" t="s">
        <v>102</v>
      </c>
      <c r="D77" s="264">
        <v>185</v>
      </c>
      <c r="E77" s="66">
        <v>0</v>
      </c>
      <c r="F77" s="66" t="s">
        <v>100</v>
      </c>
      <c r="G77" s="96"/>
      <c r="H77" s="96"/>
      <c r="I77" s="96"/>
      <c r="J77" s="96"/>
    </row>
    <row r="78" spans="1:10" ht="16" thickBot="1" x14ac:dyDescent="0.4">
      <c r="A78" s="65"/>
      <c r="B78" s="67"/>
      <c r="C78" s="263"/>
      <c r="D78" s="265"/>
      <c r="E78" s="61" t="s">
        <v>100</v>
      </c>
      <c r="F78" s="67"/>
      <c r="G78" s="96"/>
      <c r="H78" s="96"/>
      <c r="I78" s="96"/>
      <c r="J78" s="96"/>
    </row>
    <row r="79" spans="1:10" x14ac:dyDescent="0.35">
      <c r="G79" s="96"/>
      <c r="H79" s="96"/>
      <c r="I79" s="96"/>
      <c r="J79" s="96"/>
    </row>
  </sheetData>
  <mergeCells count="37">
    <mergeCell ref="F2:J7"/>
    <mergeCell ref="F1:J1"/>
    <mergeCell ref="A2:A7"/>
    <mergeCell ref="B2:B7"/>
    <mergeCell ref="A8:A13"/>
    <mergeCell ref="B8:B13"/>
    <mergeCell ref="F8:J13"/>
    <mergeCell ref="A14:A19"/>
    <mergeCell ref="B14:B19"/>
    <mergeCell ref="F14:J19"/>
    <mergeCell ref="A20:A25"/>
    <mergeCell ref="B20:B25"/>
    <mergeCell ref="F20:J25"/>
    <mergeCell ref="A26:A31"/>
    <mergeCell ref="B26:B31"/>
    <mergeCell ref="F26:J31"/>
    <mergeCell ref="F46:F47"/>
    <mergeCell ref="A32:A37"/>
    <mergeCell ref="B32:B37"/>
    <mergeCell ref="F32:J37"/>
    <mergeCell ref="A38:A43"/>
    <mergeCell ref="B38:B43"/>
    <mergeCell ref="F38:J43"/>
    <mergeCell ref="E52:E53"/>
    <mergeCell ref="C73:C74"/>
    <mergeCell ref="D73:D74"/>
    <mergeCell ref="E73:E74"/>
    <mergeCell ref="A46:A47"/>
    <mergeCell ref="C46:C47"/>
    <mergeCell ref="D46:D47"/>
    <mergeCell ref="E46:E47"/>
    <mergeCell ref="C77:C78"/>
    <mergeCell ref="D77:D78"/>
    <mergeCell ref="B65:B68"/>
    <mergeCell ref="A65:A68"/>
    <mergeCell ref="C52:C53"/>
    <mergeCell ref="D52:D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9D501-CC94-4EC0-86F7-2038CFFC5282}">
  <dimension ref="A1:E32"/>
  <sheetViews>
    <sheetView workbookViewId="0">
      <selection activeCell="C2" sqref="C2"/>
    </sheetView>
  </sheetViews>
  <sheetFormatPr defaultRowHeight="14.5" x14ac:dyDescent="0.35"/>
  <cols>
    <col min="1" max="1" width="57.90625" bestFit="1" customWidth="1"/>
    <col min="2" max="2" width="14.6328125" customWidth="1"/>
    <col min="3" max="3" width="14.36328125" customWidth="1"/>
    <col min="4" max="4" width="15.6328125" customWidth="1"/>
    <col min="5" max="5" width="21.08984375" customWidth="1"/>
  </cols>
  <sheetData>
    <row r="1" spans="1:5" ht="26.25" customHeight="1" thickBot="1" x14ac:dyDescent="0.4">
      <c r="A1" s="286" t="s">
        <v>75</v>
      </c>
      <c r="B1" s="287"/>
      <c r="C1" s="287"/>
      <c r="D1" s="287"/>
      <c r="E1" s="288"/>
    </row>
    <row r="2" spans="1:5" ht="36.75" customHeight="1" x14ac:dyDescent="0.35">
      <c r="A2" s="47" t="s">
        <v>76</v>
      </c>
      <c r="B2" s="48" t="s">
        <v>79</v>
      </c>
      <c r="C2" s="48" t="s">
        <v>80</v>
      </c>
      <c r="D2" s="48" t="s">
        <v>81</v>
      </c>
      <c r="E2" s="55" t="s">
        <v>78</v>
      </c>
    </row>
    <row r="3" spans="1:5" ht="15.5" x14ac:dyDescent="0.35">
      <c r="A3" s="41" t="s">
        <v>77</v>
      </c>
      <c r="B3" s="1"/>
      <c r="C3" s="1"/>
      <c r="D3" s="1"/>
      <c r="E3" s="42"/>
    </row>
    <row r="4" spans="1:5" x14ac:dyDescent="0.35">
      <c r="A4" s="43" t="s">
        <v>110</v>
      </c>
      <c r="B4" s="1" t="s">
        <v>83</v>
      </c>
      <c r="C4" s="80">
        <v>1347520.4718941867</v>
      </c>
      <c r="D4" s="1"/>
      <c r="E4" s="81">
        <f>C4*D4</f>
        <v>0</v>
      </c>
    </row>
    <row r="5" spans="1:5" x14ac:dyDescent="0.35">
      <c r="A5" s="43" t="s">
        <v>111</v>
      </c>
      <c r="B5" s="1" t="s">
        <v>83</v>
      </c>
      <c r="C5" s="80">
        <v>4339615.9530881699</v>
      </c>
      <c r="D5" s="1"/>
      <c r="E5" s="42"/>
    </row>
    <row r="6" spans="1:5" x14ac:dyDescent="0.35">
      <c r="A6" s="43" t="s">
        <v>112</v>
      </c>
      <c r="B6" s="1" t="s">
        <v>83</v>
      </c>
      <c r="C6" s="80">
        <v>7881094.5437399456</v>
      </c>
      <c r="D6" s="1"/>
      <c r="E6" s="42"/>
    </row>
    <row r="7" spans="1:5" x14ac:dyDescent="0.35">
      <c r="A7" s="43" t="s">
        <v>113</v>
      </c>
      <c r="B7" s="1" t="s">
        <v>83</v>
      </c>
      <c r="C7" s="80">
        <v>12141002.555854958</v>
      </c>
      <c r="D7" s="1"/>
      <c r="E7" s="42"/>
    </row>
    <row r="8" spans="1:5" x14ac:dyDescent="0.35">
      <c r="A8" s="43" t="s">
        <v>114</v>
      </c>
      <c r="B8" s="1" t="s">
        <v>83</v>
      </c>
      <c r="C8" s="80">
        <v>17417567.142629113</v>
      </c>
      <c r="D8" s="1"/>
      <c r="E8" s="42"/>
    </row>
    <row r="9" spans="1:5" x14ac:dyDescent="0.35">
      <c r="A9" s="43" t="s">
        <v>115</v>
      </c>
      <c r="B9" s="1" t="s">
        <v>83</v>
      </c>
      <c r="C9" s="80">
        <v>24141080.906042725</v>
      </c>
      <c r="D9" s="1"/>
      <c r="E9" s="42"/>
    </row>
    <row r="10" spans="1:5" x14ac:dyDescent="0.35">
      <c r="A10" s="43" t="s">
        <v>116</v>
      </c>
      <c r="B10" s="1" t="s">
        <v>83</v>
      </c>
      <c r="C10" s="80">
        <v>25921422.967386499</v>
      </c>
      <c r="D10" s="1"/>
      <c r="E10" s="42"/>
    </row>
    <row r="11" spans="1:5" x14ac:dyDescent="0.35">
      <c r="A11" s="43" t="s">
        <v>82</v>
      </c>
      <c r="B11" s="1" t="s">
        <v>83</v>
      </c>
      <c r="C11" s="1"/>
      <c r="D11" s="1"/>
      <c r="E11" s="42"/>
    </row>
    <row r="12" spans="1:5" ht="15" customHeight="1" x14ac:dyDescent="0.35">
      <c r="A12" s="43"/>
      <c r="B12" s="1"/>
      <c r="C12" s="1"/>
      <c r="D12" s="1"/>
      <c r="E12" s="42"/>
    </row>
    <row r="13" spans="1:5" ht="15" customHeight="1" x14ac:dyDescent="0.35">
      <c r="A13" s="44" t="s">
        <v>84</v>
      </c>
      <c r="B13" s="45"/>
      <c r="C13" s="45"/>
      <c r="D13" s="45"/>
      <c r="E13" s="46"/>
    </row>
    <row r="14" spans="1:5" x14ac:dyDescent="0.35">
      <c r="A14" s="43"/>
      <c r="B14" s="1"/>
      <c r="C14" s="1"/>
      <c r="D14" s="1"/>
      <c r="E14" s="42"/>
    </row>
    <row r="15" spans="1:5" ht="15.5" x14ac:dyDescent="0.35">
      <c r="A15" s="41" t="s">
        <v>85</v>
      </c>
      <c r="B15" s="1"/>
      <c r="C15" s="1"/>
      <c r="D15" s="1"/>
      <c r="E15" s="42"/>
    </row>
    <row r="16" spans="1:5" x14ac:dyDescent="0.35">
      <c r="A16" s="43" t="s">
        <v>109</v>
      </c>
      <c r="B16" s="1" t="s">
        <v>83</v>
      </c>
      <c r="C16" s="80">
        <v>501107.26929683943</v>
      </c>
      <c r="D16" s="1"/>
      <c r="E16" s="42"/>
    </row>
    <row r="17" spans="1:5" x14ac:dyDescent="0.35">
      <c r="A17" s="43" t="s">
        <v>108</v>
      </c>
      <c r="B17" s="1" t="s">
        <v>83</v>
      </c>
      <c r="C17" s="80">
        <v>783865.9136726401</v>
      </c>
      <c r="D17" s="1"/>
      <c r="E17" s="42"/>
    </row>
    <row r="18" spans="1:5" x14ac:dyDescent="0.35">
      <c r="A18" s="43" t="s">
        <v>107</v>
      </c>
      <c r="B18" s="1" t="s">
        <v>83</v>
      </c>
      <c r="C18" s="80">
        <v>1032224.3141117033</v>
      </c>
      <c r="D18" s="1"/>
      <c r="E18" s="42"/>
    </row>
    <row r="19" spans="1:5" x14ac:dyDescent="0.35">
      <c r="A19" s="43" t="s">
        <v>106</v>
      </c>
      <c r="B19" s="1" t="s">
        <v>83</v>
      </c>
      <c r="C19" s="80">
        <v>1183362.218409542</v>
      </c>
      <c r="D19" s="1"/>
      <c r="E19" s="42"/>
    </row>
    <row r="20" spans="1:5" x14ac:dyDescent="0.35">
      <c r="A20" s="43" t="s">
        <v>105</v>
      </c>
      <c r="B20" s="1" t="s">
        <v>83</v>
      </c>
      <c r="C20" s="80">
        <v>1436382.7474927132</v>
      </c>
      <c r="D20" s="1"/>
      <c r="E20" s="42"/>
    </row>
    <row r="21" spans="1:5" x14ac:dyDescent="0.35">
      <c r="A21" s="43" t="s">
        <v>104</v>
      </c>
      <c r="B21" s="1" t="s">
        <v>83</v>
      </c>
      <c r="C21" s="80">
        <v>1948132.8428522118</v>
      </c>
      <c r="D21" s="1"/>
      <c r="E21" s="42"/>
    </row>
    <row r="22" spans="1:5" x14ac:dyDescent="0.35">
      <c r="A22" s="43" t="s">
        <v>103</v>
      </c>
      <c r="B22" s="1" t="s">
        <v>83</v>
      </c>
      <c r="C22" s="80">
        <v>2121031.7939613</v>
      </c>
      <c r="D22" s="1"/>
      <c r="E22" s="42"/>
    </row>
    <row r="23" spans="1:5" ht="15" customHeight="1" x14ac:dyDescent="0.35">
      <c r="A23" s="43"/>
      <c r="B23" s="1"/>
      <c r="C23" s="1"/>
      <c r="D23" s="1"/>
      <c r="E23" s="42"/>
    </row>
    <row r="24" spans="1:5" ht="15" customHeight="1" x14ac:dyDescent="0.35">
      <c r="A24" s="44" t="s">
        <v>86</v>
      </c>
      <c r="B24" s="45"/>
      <c r="C24" s="45"/>
      <c r="D24" s="45"/>
      <c r="E24" s="46"/>
    </row>
    <row r="25" spans="1:5" x14ac:dyDescent="0.35">
      <c r="A25" s="43"/>
      <c r="B25" s="1"/>
      <c r="C25" s="1"/>
      <c r="D25" s="1"/>
      <c r="E25" s="42"/>
    </row>
    <row r="26" spans="1:5" ht="15" customHeight="1" x14ac:dyDescent="0.35">
      <c r="A26" s="44" t="s">
        <v>87</v>
      </c>
      <c r="B26" s="45"/>
      <c r="C26" s="45"/>
      <c r="D26" s="45"/>
      <c r="E26" s="46"/>
    </row>
    <row r="27" spans="1:5" x14ac:dyDescent="0.35">
      <c r="A27" s="43"/>
      <c r="B27" s="1"/>
      <c r="C27" s="1"/>
      <c r="D27" s="1"/>
      <c r="E27" s="42"/>
    </row>
    <row r="28" spans="1:5" x14ac:dyDescent="0.35">
      <c r="A28" s="43"/>
      <c r="B28" s="1"/>
      <c r="C28" s="1"/>
      <c r="D28" s="1"/>
      <c r="E28" s="42"/>
    </row>
    <row r="29" spans="1:5" x14ac:dyDescent="0.35">
      <c r="A29" s="43" t="s">
        <v>88</v>
      </c>
      <c r="B29" s="1" t="s">
        <v>91</v>
      </c>
      <c r="C29" s="1"/>
      <c r="D29" s="1"/>
      <c r="E29" s="42"/>
    </row>
    <row r="30" spans="1:5" x14ac:dyDescent="0.35">
      <c r="A30" s="43"/>
      <c r="B30" s="1"/>
      <c r="C30" s="1"/>
      <c r="D30" s="1"/>
      <c r="E30" s="42"/>
    </row>
    <row r="31" spans="1:5" s="49" customFormat="1" x14ac:dyDescent="0.35">
      <c r="A31" s="50" t="s">
        <v>89</v>
      </c>
      <c r="B31" s="4"/>
      <c r="C31" s="4"/>
      <c r="D31" s="4"/>
      <c r="E31" s="51"/>
    </row>
    <row r="32" spans="1:5" ht="15" thickBot="1" x14ac:dyDescent="0.4">
      <c r="A32" s="52" t="s">
        <v>90</v>
      </c>
      <c r="B32" s="53" t="s">
        <v>92</v>
      </c>
      <c r="C32" s="53"/>
      <c r="D32" s="53"/>
      <c r="E32" s="54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9C44-CE24-485E-B7EC-998B8DBCE6A3}">
  <dimension ref="A1:J41"/>
  <sheetViews>
    <sheetView workbookViewId="0">
      <selection activeCell="L17" sqref="L17"/>
    </sheetView>
  </sheetViews>
  <sheetFormatPr defaultRowHeight="14.5" x14ac:dyDescent="0.35"/>
  <cols>
    <col min="1" max="1" width="68" customWidth="1"/>
    <col min="2" max="2" width="14.6328125" customWidth="1"/>
    <col min="3" max="3" width="24.453125" customWidth="1"/>
    <col min="4" max="4" width="15.6328125" customWidth="1"/>
    <col min="5" max="5" width="21.08984375" customWidth="1"/>
    <col min="8" max="8" width="10.36328125" bestFit="1" customWidth="1"/>
    <col min="10" max="10" width="12.90625" bestFit="1" customWidth="1"/>
  </cols>
  <sheetData>
    <row r="1" spans="1:10" ht="26.25" customHeight="1" thickBot="1" x14ac:dyDescent="0.4">
      <c r="A1" s="286" t="s">
        <v>191</v>
      </c>
      <c r="B1" s="287"/>
      <c r="C1" s="287"/>
      <c r="D1" s="287"/>
      <c r="E1" s="288"/>
    </row>
    <row r="2" spans="1:10" ht="36.75" customHeight="1" x14ac:dyDescent="0.35">
      <c r="A2" s="47" t="s">
        <v>76</v>
      </c>
      <c r="B2" s="48" t="s">
        <v>79</v>
      </c>
      <c r="C2" s="48" t="s">
        <v>165</v>
      </c>
      <c r="D2" s="48" t="s">
        <v>81</v>
      </c>
      <c r="E2" s="55" t="s">
        <v>78</v>
      </c>
    </row>
    <row r="3" spans="1:10" ht="15.5" x14ac:dyDescent="0.35">
      <c r="A3" s="41" t="s">
        <v>77</v>
      </c>
      <c r="B3" s="1"/>
      <c r="C3" s="1"/>
      <c r="D3" s="1"/>
      <c r="E3" s="42"/>
      <c r="J3" s="85"/>
    </row>
    <row r="4" spans="1:10" x14ac:dyDescent="0.35">
      <c r="A4" s="43" t="s">
        <v>110</v>
      </c>
      <c r="B4" s="1" t="s">
        <v>83</v>
      </c>
      <c r="C4" s="80">
        <v>890369</v>
      </c>
      <c r="D4" s="1"/>
      <c r="E4" s="81"/>
      <c r="J4" s="85"/>
    </row>
    <row r="5" spans="1:10" x14ac:dyDescent="0.35">
      <c r="A5" s="43" t="s">
        <v>111</v>
      </c>
      <c r="B5" s="1" t="s">
        <v>83</v>
      </c>
      <c r="C5" s="80">
        <v>4083588</v>
      </c>
      <c r="D5" s="1"/>
      <c r="E5" s="42"/>
      <c r="J5" s="85"/>
    </row>
    <row r="6" spans="1:10" x14ac:dyDescent="0.35">
      <c r="A6" s="43" t="s">
        <v>112</v>
      </c>
      <c r="B6" s="1" t="s">
        <v>83</v>
      </c>
      <c r="C6" s="80">
        <v>7619179</v>
      </c>
      <c r="D6" s="1"/>
      <c r="E6" s="42"/>
      <c r="J6" s="85"/>
    </row>
    <row r="7" spans="1:10" x14ac:dyDescent="0.35">
      <c r="A7" s="43" t="s">
        <v>113</v>
      </c>
      <c r="B7" s="1" t="s">
        <v>83</v>
      </c>
      <c r="C7" s="80">
        <v>12080779</v>
      </c>
      <c r="D7" s="1"/>
      <c r="E7" s="42"/>
      <c r="J7" s="85"/>
    </row>
    <row r="8" spans="1:10" x14ac:dyDescent="0.35">
      <c r="A8" s="43" t="s">
        <v>114</v>
      </c>
      <c r="B8" s="1" t="s">
        <v>83</v>
      </c>
      <c r="C8" s="80">
        <v>15029069</v>
      </c>
      <c r="D8" s="1"/>
      <c r="E8" s="42"/>
      <c r="J8" s="85"/>
    </row>
    <row r="9" spans="1:10" x14ac:dyDescent="0.35">
      <c r="A9" s="43" t="s">
        <v>115</v>
      </c>
      <c r="B9" s="1" t="s">
        <v>83</v>
      </c>
      <c r="C9" s="80">
        <v>13676611</v>
      </c>
      <c r="D9" s="1"/>
      <c r="E9" s="42"/>
      <c r="J9" s="85"/>
    </row>
    <row r="10" spans="1:10" x14ac:dyDescent="0.35">
      <c r="A10" s="43" t="s">
        <v>116</v>
      </c>
      <c r="B10" s="1" t="s">
        <v>83</v>
      </c>
      <c r="C10" s="80">
        <v>406284</v>
      </c>
      <c r="D10" s="1"/>
      <c r="E10" s="42"/>
      <c r="J10" s="85"/>
    </row>
    <row r="11" spans="1:10" x14ac:dyDescent="0.35">
      <c r="A11" s="43" t="s">
        <v>82</v>
      </c>
      <c r="B11" s="1" t="s">
        <v>83</v>
      </c>
      <c r="C11" s="80">
        <v>8067881.8499999996</v>
      </c>
      <c r="D11" s="1"/>
      <c r="E11" s="42"/>
      <c r="J11" s="85"/>
    </row>
    <row r="12" spans="1:10" ht="15" customHeight="1" x14ac:dyDescent="0.35">
      <c r="A12" s="43"/>
      <c r="B12" s="1"/>
      <c r="C12" s="1"/>
      <c r="D12" s="1"/>
      <c r="E12" s="42"/>
      <c r="J12" s="85"/>
    </row>
    <row r="13" spans="1:10" ht="15" customHeight="1" x14ac:dyDescent="0.35">
      <c r="A13" s="44" t="s">
        <v>84</v>
      </c>
      <c r="B13" s="45"/>
      <c r="C13" s="82">
        <f>SUM(C4:C11)</f>
        <v>61853760.850000001</v>
      </c>
      <c r="D13" s="45"/>
      <c r="E13" s="46"/>
      <c r="F13" s="83"/>
      <c r="J13" s="86"/>
    </row>
    <row r="14" spans="1:10" x14ac:dyDescent="0.35">
      <c r="A14" s="43"/>
      <c r="B14" s="1"/>
      <c r="C14" s="1"/>
      <c r="D14" s="1"/>
      <c r="E14" s="42"/>
    </row>
    <row r="15" spans="1:10" ht="15.5" x14ac:dyDescent="0.35">
      <c r="A15" s="41" t="s">
        <v>85</v>
      </c>
      <c r="B15" s="1"/>
      <c r="C15" s="1"/>
      <c r="D15" s="1"/>
      <c r="E15" s="42"/>
    </row>
    <row r="16" spans="1:10" x14ac:dyDescent="0.35">
      <c r="A16" s="43" t="s">
        <v>109</v>
      </c>
      <c r="B16" s="1" t="s">
        <v>83</v>
      </c>
      <c r="C16" s="80">
        <v>1170633</v>
      </c>
      <c r="D16" s="1"/>
      <c r="E16" s="42"/>
    </row>
    <row r="17" spans="1:8" x14ac:dyDescent="0.35">
      <c r="A17" s="43" t="s">
        <v>108</v>
      </c>
      <c r="B17" s="1" t="s">
        <v>83</v>
      </c>
      <c r="C17" s="80">
        <v>2681228</v>
      </c>
      <c r="D17" s="1"/>
      <c r="E17" s="42"/>
    </row>
    <row r="18" spans="1:8" x14ac:dyDescent="0.35">
      <c r="A18" s="43" t="s">
        <v>107</v>
      </c>
      <c r="B18" s="1" t="s">
        <v>83</v>
      </c>
      <c r="C18" s="80">
        <v>2994610</v>
      </c>
      <c r="D18" s="1"/>
      <c r="E18" s="42"/>
    </row>
    <row r="19" spans="1:8" x14ac:dyDescent="0.35">
      <c r="A19" s="43" t="s">
        <v>106</v>
      </c>
      <c r="B19" s="1" t="s">
        <v>83</v>
      </c>
      <c r="C19" s="80">
        <v>3183362</v>
      </c>
      <c r="D19" s="1"/>
      <c r="E19" s="42"/>
      <c r="H19" s="87"/>
    </row>
    <row r="20" spans="1:8" x14ac:dyDescent="0.35">
      <c r="A20" s="43" t="s">
        <v>105</v>
      </c>
      <c r="B20" s="1" t="s">
        <v>83</v>
      </c>
      <c r="C20" s="80">
        <v>2077228</v>
      </c>
      <c r="D20" s="1"/>
      <c r="E20" s="42"/>
    </row>
    <row r="21" spans="1:8" x14ac:dyDescent="0.35">
      <c r="A21" s="43" t="s">
        <v>104</v>
      </c>
      <c r="B21" s="1" t="s">
        <v>83</v>
      </c>
      <c r="C21" s="80">
        <v>2692730</v>
      </c>
      <c r="D21" s="1"/>
      <c r="E21" s="42"/>
    </row>
    <row r="22" spans="1:8" x14ac:dyDescent="0.35">
      <c r="A22" s="43" t="s">
        <v>103</v>
      </c>
      <c r="B22" s="1" t="s">
        <v>83</v>
      </c>
      <c r="C22" s="80">
        <v>1133456</v>
      </c>
      <c r="D22" s="1"/>
      <c r="E22" s="42"/>
    </row>
    <row r="23" spans="1:8" ht="15" customHeight="1" x14ac:dyDescent="0.35">
      <c r="A23" s="43"/>
      <c r="B23" s="1"/>
      <c r="C23" s="1"/>
      <c r="D23" s="1"/>
      <c r="E23" s="42"/>
    </row>
    <row r="24" spans="1:8" ht="15" customHeight="1" x14ac:dyDescent="0.35">
      <c r="A24" s="44" t="s">
        <v>86</v>
      </c>
      <c r="B24" s="45"/>
      <c r="C24" s="82">
        <f>SUM(C16:C22)</f>
        <v>15933247</v>
      </c>
      <c r="D24" s="45"/>
      <c r="E24" s="46"/>
      <c r="F24" s="83"/>
    </row>
    <row r="25" spans="1:8" x14ac:dyDescent="0.35">
      <c r="A25" s="43"/>
      <c r="B25" s="1"/>
      <c r="C25" s="1"/>
      <c r="D25" s="1"/>
      <c r="E25" s="42"/>
    </row>
    <row r="26" spans="1:8" ht="15" customHeight="1" x14ac:dyDescent="0.35">
      <c r="A26" s="44" t="s">
        <v>87</v>
      </c>
      <c r="B26" s="45"/>
      <c r="C26" s="82">
        <f>53785879+C24</f>
        <v>69719126</v>
      </c>
      <c r="D26" s="45"/>
      <c r="E26" s="46"/>
      <c r="F26" s="83"/>
    </row>
    <row r="27" spans="1:8" x14ac:dyDescent="0.35">
      <c r="A27" s="43"/>
      <c r="B27" s="1"/>
      <c r="C27" s="1"/>
      <c r="D27" s="1"/>
      <c r="E27" s="42"/>
    </row>
    <row r="28" spans="1:8" x14ac:dyDescent="0.35">
      <c r="A28" s="43"/>
      <c r="B28" s="1"/>
      <c r="C28" s="1"/>
      <c r="D28" s="1"/>
      <c r="E28" s="42"/>
    </row>
    <row r="29" spans="1:8" x14ac:dyDescent="0.35">
      <c r="A29" s="43" t="s">
        <v>88</v>
      </c>
      <c r="B29" s="1" t="s">
        <v>91</v>
      </c>
      <c r="C29" s="1"/>
      <c r="D29" s="1"/>
      <c r="E29" s="42"/>
    </row>
    <row r="30" spans="1:8" x14ac:dyDescent="0.35">
      <c r="A30" s="43"/>
      <c r="B30" s="1"/>
      <c r="C30" s="1"/>
      <c r="D30" s="1"/>
      <c r="E30" s="42"/>
    </row>
    <row r="31" spans="1:8" s="49" customFormat="1" x14ac:dyDescent="0.35">
      <c r="A31" s="50" t="s">
        <v>89</v>
      </c>
      <c r="B31" s="4"/>
      <c r="C31" s="4"/>
      <c r="D31" s="4"/>
      <c r="E31" s="51"/>
    </row>
    <row r="32" spans="1:8" ht="15" thickBot="1" x14ac:dyDescent="0.4">
      <c r="A32" s="111" t="s">
        <v>90</v>
      </c>
      <c r="B32" s="112" t="s">
        <v>92</v>
      </c>
      <c r="C32" s="53"/>
      <c r="D32" s="53"/>
      <c r="E32" s="54"/>
    </row>
    <row r="33" spans="1:5" x14ac:dyDescent="0.35">
      <c r="A33" s="1" t="s">
        <v>117</v>
      </c>
      <c r="B33" s="88" t="s">
        <v>119</v>
      </c>
      <c r="C33" s="1"/>
      <c r="D33" s="1"/>
      <c r="E33" s="42"/>
    </row>
    <row r="34" spans="1:5" ht="15" customHeight="1" x14ac:dyDescent="0.35">
      <c r="A34" s="4" t="s">
        <v>118</v>
      </c>
      <c r="B34" s="88"/>
      <c r="C34" s="1"/>
      <c r="D34" s="1"/>
      <c r="E34" s="42"/>
    </row>
    <row r="35" spans="1:5" ht="15.75" customHeight="1" x14ac:dyDescent="0.35">
      <c r="A35" s="1" t="s">
        <v>120</v>
      </c>
      <c r="B35" s="88" t="s">
        <v>119</v>
      </c>
      <c r="C35" s="1"/>
      <c r="D35" s="1"/>
      <c r="E35" s="42"/>
    </row>
    <row r="36" spans="1:5" x14ac:dyDescent="0.35">
      <c r="A36" s="1" t="s">
        <v>121</v>
      </c>
      <c r="B36" s="88" t="s">
        <v>119</v>
      </c>
      <c r="C36" s="1"/>
      <c r="D36" s="1"/>
      <c r="E36" s="42"/>
    </row>
    <row r="37" spans="1:5" x14ac:dyDescent="0.35">
      <c r="A37" s="96"/>
      <c r="B37" s="96"/>
      <c r="C37" s="96"/>
      <c r="D37" s="96"/>
      <c r="E37" s="96"/>
    </row>
    <row r="38" spans="1:5" ht="15" thickBot="1" x14ac:dyDescent="0.4">
      <c r="A38" s="96"/>
      <c r="B38" s="96"/>
      <c r="C38" s="96"/>
      <c r="D38" s="96"/>
      <c r="E38" s="96"/>
    </row>
    <row r="39" spans="1:5" ht="27.75" customHeight="1" thickBot="1" x14ac:dyDescent="0.4">
      <c r="A39" s="95" t="s">
        <v>122</v>
      </c>
      <c r="B39" s="89"/>
      <c r="C39" s="89"/>
      <c r="D39" s="90"/>
      <c r="E39" s="91">
        <v>0</v>
      </c>
    </row>
    <row r="40" spans="1:5" ht="15" thickBot="1" x14ac:dyDescent="0.4"/>
    <row r="41" spans="1:5" ht="15" thickBot="1" x14ac:dyDescent="0.4">
      <c r="B41" s="92" t="s">
        <v>123</v>
      </c>
      <c r="C41" s="93"/>
      <c r="D41" s="89"/>
      <c r="E41" s="94">
        <v>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2695-2596-47AA-8CA8-4E5B61428FC6}">
  <dimension ref="A1:J42"/>
  <sheetViews>
    <sheetView workbookViewId="0">
      <selection activeCell="B42" sqref="B42:E42"/>
    </sheetView>
  </sheetViews>
  <sheetFormatPr defaultRowHeight="14.5" x14ac:dyDescent="0.35"/>
  <cols>
    <col min="1" max="1" width="68" customWidth="1"/>
    <col min="2" max="2" width="14.6328125" customWidth="1"/>
    <col min="3" max="3" width="14.36328125" customWidth="1"/>
    <col min="4" max="4" width="15.6328125" customWidth="1"/>
    <col min="5" max="5" width="21.08984375" customWidth="1"/>
    <col min="7" max="7" width="11.36328125" bestFit="1" customWidth="1"/>
    <col min="8" max="8" width="10.36328125" bestFit="1" customWidth="1"/>
    <col min="9" max="9" width="13.90625" customWidth="1"/>
    <col min="10" max="10" width="12.90625" bestFit="1" customWidth="1"/>
  </cols>
  <sheetData>
    <row r="1" spans="1:10" ht="26.25" customHeight="1" thickBot="1" x14ac:dyDescent="0.4">
      <c r="A1" s="286" t="s">
        <v>191</v>
      </c>
      <c r="B1" s="287"/>
      <c r="C1" s="287"/>
      <c r="D1" s="287"/>
      <c r="E1" s="288"/>
    </row>
    <row r="2" spans="1:10" ht="59.4" customHeight="1" x14ac:dyDescent="0.35">
      <c r="A2" s="191" t="s">
        <v>76</v>
      </c>
      <c r="B2" s="192" t="s">
        <v>79</v>
      </c>
      <c r="C2" s="192" t="s">
        <v>249</v>
      </c>
      <c r="D2" s="192" t="s">
        <v>81</v>
      </c>
      <c r="E2" s="193" t="s">
        <v>253</v>
      </c>
    </row>
    <row r="3" spans="1:10" ht="15.5" x14ac:dyDescent="0.35">
      <c r="A3" s="151" t="s">
        <v>77</v>
      </c>
      <c r="B3" s="1"/>
      <c r="C3" s="1"/>
      <c r="D3" s="1"/>
      <c r="E3" s="42"/>
      <c r="J3" s="85"/>
    </row>
    <row r="4" spans="1:10" ht="15.5" x14ac:dyDescent="0.35">
      <c r="A4" s="152" t="s">
        <v>192</v>
      </c>
      <c r="B4" s="153" t="s">
        <v>193</v>
      </c>
      <c r="C4" s="201">
        <v>978368.47587964626</v>
      </c>
      <c r="D4" s="1" t="s">
        <v>254</v>
      </c>
      <c r="E4" s="42" t="s">
        <v>254</v>
      </c>
      <c r="J4" s="85"/>
    </row>
    <row r="5" spans="1:10" ht="15.5" x14ac:dyDescent="0.35">
      <c r="A5" s="152" t="s">
        <v>194</v>
      </c>
      <c r="B5" s="153" t="s">
        <v>193</v>
      </c>
      <c r="C5" s="201">
        <v>2138155.1996937073</v>
      </c>
      <c r="D5" s="1" t="s">
        <v>254</v>
      </c>
      <c r="E5" s="42" t="s">
        <v>254</v>
      </c>
      <c r="J5" s="85"/>
    </row>
    <row r="6" spans="1:10" ht="15.5" x14ac:dyDescent="0.35">
      <c r="A6" s="152" t="s">
        <v>195</v>
      </c>
      <c r="B6" s="153" t="s">
        <v>193</v>
      </c>
      <c r="C6" s="201">
        <v>4407438.7749368707</v>
      </c>
      <c r="D6" s="1" t="s">
        <v>254</v>
      </c>
      <c r="E6" s="42" t="s">
        <v>254</v>
      </c>
      <c r="J6" s="85"/>
    </row>
    <row r="7" spans="1:10" ht="15.5" x14ac:dyDescent="0.35">
      <c r="A7" s="152" t="s">
        <v>196</v>
      </c>
      <c r="B7" s="153" t="s">
        <v>193</v>
      </c>
      <c r="C7" s="201">
        <v>6943777.2111388771</v>
      </c>
      <c r="D7" s="1" t="s">
        <v>254</v>
      </c>
      <c r="E7" s="42" t="s">
        <v>254</v>
      </c>
      <c r="J7" s="85"/>
    </row>
    <row r="8" spans="1:10" ht="15.5" x14ac:dyDescent="0.35">
      <c r="A8" s="152" t="s">
        <v>197</v>
      </c>
      <c r="B8" s="153" t="s">
        <v>193</v>
      </c>
      <c r="C8" s="201">
        <v>5256259.5808687471</v>
      </c>
      <c r="D8" s="1" t="s">
        <v>254</v>
      </c>
      <c r="E8" s="42" t="s">
        <v>254</v>
      </c>
      <c r="J8" s="85"/>
    </row>
    <row r="9" spans="1:10" ht="15.5" x14ac:dyDescent="0.35">
      <c r="A9" s="152" t="s">
        <v>198</v>
      </c>
      <c r="B9" s="153" t="s">
        <v>193</v>
      </c>
      <c r="C9" s="201">
        <v>889263.91007242794</v>
      </c>
      <c r="D9" s="1" t="s">
        <v>254</v>
      </c>
      <c r="E9" s="42" t="s">
        <v>254</v>
      </c>
      <c r="J9" s="85"/>
    </row>
    <row r="10" spans="1:10" ht="15.5" x14ac:dyDescent="0.35">
      <c r="A10" s="152" t="s">
        <v>199</v>
      </c>
      <c r="B10" s="153" t="s">
        <v>193</v>
      </c>
      <c r="C10" s="201">
        <v>1006398.2770572701</v>
      </c>
      <c r="D10" s="1" t="s">
        <v>254</v>
      </c>
      <c r="E10" s="42" t="s">
        <v>254</v>
      </c>
      <c r="J10" s="85"/>
    </row>
    <row r="11" spans="1:10" ht="15.5" x14ac:dyDescent="0.35">
      <c r="A11" s="152" t="s">
        <v>200</v>
      </c>
      <c r="B11" s="153" t="s">
        <v>193</v>
      </c>
      <c r="C11" s="201">
        <v>3850658.4691137658</v>
      </c>
      <c r="D11" s="1" t="s">
        <v>254</v>
      </c>
      <c r="E11" s="42" t="s">
        <v>254</v>
      </c>
      <c r="J11" s="85"/>
    </row>
    <row r="12" spans="1:10" ht="15.5" x14ac:dyDescent="0.35">
      <c r="A12" s="152" t="s">
        <v>201</v>
      </c>
      <c r="B12" s="153" t="s">
        <v>193</v>
      </c>
      <c r="C12" s="201">
        <v>623000</v>
      </c>
      <c r="D12" s="1" t="s">
        <v>254</v>
      </c>
      <c r="E12" s="42" t="s">
        <v>254</v>
      </c>
      <c r="J12" s="85"/>
    </row>
    <row r="13" spans="1:10" ht="15" customHeight="1" x14ac:dyDescent="0.35">
      <c r="A13" s="152" t="s">
        <v>242</v>
      </c>
      <c r="B13" s="154" t="s">
        <v>193</v>
      </c>
      <c r="C13" s="155">
        <f>SUM(C4:C12)*15%</f>
        <v>3913997.9848141968</v>
      </c>
      <c r="D13" s="1" t="s">
        <v>254</v>
      </c>
      <c r="E13" s="42" t="s">
        <v>254</v>
      </c>
      <c r="F13" s="83"/>
      <c r="J13" s="86"/>
    </row>
    <row r="14" spans="1:10" ht="15" customHeight="1" x14ac:dyDescent="0.35">
      <c r="A14" s="156"/>
      <c r="B14" s="157"/>
      <c r="C14" s="158"/>
      <c r="E14" s="42"/>
      <c r="F14" s="83"/>
      <c r="J14" s="86"/>
    </row>
    <row r="15" spans="1:10" ht="15.75" customHeight="1" x14ac:dyDescent="0.35">
      <c r="A15" s="194" t="s">
        <v>250</v>
      </c>
      <c r="B15" s="195"/>
      <c r="C15" s="196">
        <f>SUM(C4:C13)</f>
        <v>30007317.88357551</v>
      </c>
      <c r="D15" s="195"/>
      <c r="E15" s="197" t="s">
        <v>254</v>
      </c>
      <c r="J15" s="159"/>
    </row>
    <row r="16" spans="1:10" ht="15" customHeight="1" x14ac:dyDescent="0.35">
      <c r="A16" s="160"/>
      <c r="B16" s="161"/>
      <c r="C16" s="1"/>
      <c r="D16" s="161"/>
      <c r="E16" s="162"/>
    </row>
    <row r="17" spans="1:8" ht="15.75" customHeight="1" x14ac:dyDescent="0.35">
      <c r="A17" s="194" t="s">
        <v>85</v>
      </c>
      <c r="B17" s="195"/>
      <c r="C17" s="195"/>
      <c r="D17" s="195"/>
      <c r="E17" s="198"/>
    </row>
    <row r="18" spans="1:8" ht="16" thickBot="1" x14ac:dyDescent="0.4">
      <c r="A18" s="163" t="s">
        <v>202</v>
      </c>
      <c r="B18" s="153" t="s">
        <v>193</v>
      </c>
      <c r="C18" s="201">
        <v>1964498.8885907633</v>
      </c>
      <c r="D18" s="1" t="s">
        <v>254</v>
      </c>
      <c r="E18" s="42" t="s">
        <v>254</v>
      </c>
      <c r="G18" s="87"/>
    </row>
    <row r="19" spans="1:8" ht="16" thickBot="1" x14ac:dyDescent="0.4">
      <c r="A19" s="163" t="s">
        <v>203</v>
      </c>
      <c r="B19" s="153" t="s">
        <v>193</v>
      </c>
      <c r="C19" s="201">
        <v>2481020.3020303557</v>
      </c>
      <c r="D19" s="1" t="s">
        <v>254</v>
      </c>
      <c r="E19" s="42" t="s">
        <v>254</v>
      </c>
      <c r="H19" s="87"/>
    </row>
    <row r="20" spans="1:8" ht="16" thickBot="1" x14ac:dyDescent="0.4">
      <c r="A20" s="163" t="s">
        <v>204</v>
      </c>
      <c r="B20" s="153" t="s">
        <v>193</v>
      </c>
      <c r="C20" s="201">
        <v>2032381.5399413372</v>
      </c>
      <c r="D20" s="1" t="s">
        <v>254</v>
      </c>
      <c r="E20" s="42" t="s">
        <v>254</v>
      </c>
    </row>
    <row r="21" spans="1:8" ht="16" thickBot="1" x14ac:dyDescent="0.4">
      <c r="A21" s="163" t="s">
        <v>205</v>
      </c>
      <c r="B21" s="153" t="s">
        <v>193</v>
      </c>
      <c r="C21" s="201">
        <v>1968308.823683324</v>
      </c>
      <c r="D21" s="1" t="s">
        <v>254</v>
      </c>
      <c r="E21" s="42" t="s">
        <v>254</v>
      </c>
    </row>
    <row r="22" spans="1:8" ht="16" thickBot="1" x14ac:dyDescent="0.4">
      <c r="A22" s="163" t="s">
        <v>206</v>
      </c>
      <c r="B22" s="153" t="s">
        <v>193</v>
      </c>
      <c r="C22" s="201">
        <v>1878335.9582177</v>
      </c>
      <c r="D22" s="1" t="s">
        <v>254</v>
      </c>
      <c r="E22" s="42" t="s">
        <v>254</v>
      </c>
    </row>
    <row r="23" spans="1:8" ht="16" thickBot="1" x14ac:dyDescent="0.4">
      <c r="A23" s="163" t="s">
        <v>207</v>
      </c>
      <c r="B23" s="153" t="s">
        <v>193</v>
      </c>
      <c r="C23" s="201">
        <v>500000</v>
      </c>
      <c r="D23" s="1" t="s">
        <v>254</v>
      </c>
      <c r="E23" s="42" t="s">
        <v>254</v>
      </c>
    </row>
    <row r="24" spans="1:8" ht="16" thickBot="1" x14ac:dyDescent="0.4">
      <c r="A24" s="163" t="s">
        <v>208</v>
      </c>
      <c r="B24" s="153" t="s">
        <v>193</v>
      </c>
      <c r="C24" s="201">
        <v>319831.25739320402</v>
      </c>
      <c r="D24" s="1" t="s">
        <v>254</v>
      </c>
      <c r="E24" s="42" t="s">
        <v>254</v>
      </c>
    </row>
    <row r="25" spans="1:8" ht="16" thickBot="1" x14ac:dyDescent="0.4">
      <c r="A25" s="163" t="s">
        <v>209</v>
      </c>
      <c r="B25" s="153" t="s">
        <v>193</v>
      </c>
      <c r="C25" s="201">
        <v>489229.94654351909</v>
      </c>
      <c r="D25" s="1" t="s">
        <v>254</v>
      </c>
      <c r="E25" s="42" t="s">
        <v>254</v>
      </c>
    </row>
    <row r="26" spans="1:8" ht="16" thickBot="1" x14ac:dyDescent="0.4">
      <c r="A26" s="163" t="s">
        <v>210</v>
      </c>
      <c r="B26" s="153" t="s">
        <v>193</v>
      </c>
      <c r="C26" s="201">
        <v>41066.66293848426</v>
      </c>
      <c r="D26" s="1" t="s">
        <v>254</v>
      </c>
      <c r="E26" s="42" t="s">
        <v>254</v>
      </c>
    </row>
    <row r="27" spans="1:8" ht="15" customHeight="1" x14ac:dyDescent="0.35">
      <c r="A27" s="43"/>
      <c r="B27" s="1"/>
      <c r="C27" s="155"/>
      <c r="D27" s="1"/>
      <c r="E27" s="42"/>
    </row>
    <row r="28" spans="1:8" ht="15" customHeight="1" x14ac:dyDescent="0.35">
      <c r="A28" s="194" t="s">
        <v>251</v>
      </c>
      <c r="B28" s="195"/>
      <c r="C28" s="196">
        <f>SUM(C18:C26)</f>
        <v>11674673.379338687</v>
      </c>
      <c r="D28" s="195"/>
      <c r="E28" s="198" t="s">
        <v>254</v>
      </c>
      <c r="F28" s="83"/>
    </row>
    <row r="29" spans="1:8" x14ac:dyDescent="0.35">
      <c r="A29" s="43"/>
      <c r="B29" s="1"/>
      <c r="C29" s="1"/>
      <c r="D29" s="1"/>
      <c r="E29" s="42"/>
    </row>
    <row r="30" spans="1:8" ht="15" customHeight="1" x14ac:dyDescent="0.35">
      <c r="A30" s="194" t="s">
        <v>252</v>
      </c>
      <c r="B30" s="195"/>
      <c r="C30" s="196">
        <f>26093320+C28</f>
        <v>37767993.379338689</v>
      </c>
      <c r="D30" s="195"/>
      <c r="E30" s="198" t="s">
        <v>254</v>
      </c>
      <c r="F30" s="83"/>
    </row>
    <row r="31" spans="1:8" x14ac:dyDescent="0.35">
      <c r="A31" s="43"/>
      <c r="B31" s="1"/>
      <c r="C31" s="1"/>
      <c r="D31" s="1"/>
      <c r="E31" s="42"/>
    </row>
    <row r="32" spans="1:8" s="49" customFormat="1" x14ac:dyDescent="0.35">
      <c r="A32" s="50" t="s">
        <v>256</v>
      </c>
      <c r="B32" s="4"/>
      <c r="C32" s="4"/>
      <c r="D32" s="4"/>
      <c r="E32" s="51"/>
    </row>
    <row r="33" spans="1:5" ht="15" thickBot="1" x14ac:dyDescent="0.4">
      <c r="A33" s="209" t="s">
        <v>90</v>
      </c>
      <c r="B33" s="210" t="s">
        <v>92</v>
      </c>
      <c r="C33" s="211">
        <v>60</v>
      </c>
      <c r="D33" s="212" t="s">
        <v>254</v>
      </c>
      <c r="E33" s="213" t="s">
        <v>254</v>
      </c>
    </row>
    <row r="34" spans="1:5" x14ac:dyDescent="0.35">
      <c r="A34" s="1" t="s">
        <v>117</v>
      </c>
      <c r="B34" s="88" t="s">
        <v>119</v>
      </c>
      <c r="C34" s="186">
        <v>1</v>
      </c>
      <c r="D34" s="1" t="s">
        <v>254</v>
      </c>
      <c r="E34" s="42" t="s">
        <v>254</v>
      </c>
    </row>
    <row r="35" spans="1:5" ht="15" customHeight="1" x14ac:dyDescent="0.35">
      <c r="A35" s="4" t="s">
        <v>257</v>
      </c>
      <c r="B35" s="88"/>
      <c r="C35" s="186"/>
      <c r="D35" s="1"/>
      <c r="E35" s="42"/>
    </row>
    <row r="36" spans="1:5" ht="15.75" customHeight="1" x14ac:dyDescent="0.35">
      <c r="A36" s="1" t="s">
        <v>120</v>
      </c>
      <c r="B36" s="88" t="s">
        <v>119</v>
      </c>
      <c r="C36" s="186">
        <v>1</v>
      </c>
      <c r="D36" s="1" t="s">
        <v>254</v>
      </c>
      <c r="E36" s="42" t="s">
        <v>254</v>
      </c>
    </row>
    <row r="37" spans="1:5" x14ac:dyDescent="0.35">
      <c r="A37" s="1" t="s">
        <v>121</v>
      </c>
      <c r="B37" s="88" t="s">
        <v>119</v>
      </c>
      <c r="C37" s="186">
        <v>1</v>
      </c>
      <c r="D37" s="1" t="s">
        <v>254</v>
      </c>
      <c r="E37" s="42" t="s">
        <v>254</v>
      </c>
    </row>
    <row r="38" spans="1:5" x14ac:dyDescent="0.35">
      <c r="A38" s="96"/>
      <c r="B38" s="96"/>
      <c r="C38" s="96"/>
      <c r="D38" s="96"/>
      <c r="E38" s="96"/>
    </row>
    <row r="39" spans="1:5" ht="15" thickBot="1" x14ac:dyDescent="0.4">
      <c r="A39" s="96"/>
      <c r="B39" s="96"/>
      <c r="C39" s="96"/>
      <c r="D39" s="96"/>
      <c r="E39" s="96"/>
    </row>
    <row r="40" spans="1:5" ht="27.75" customHeight="1" thickBot="1" x14ac:dyDescent="0.4">
      <c r="A40" s="289" t="s">
        <v>255</v>
      </c>
      <c r="B40" s="290"/>
      <c r="C40" s="290"/>
      <c r="D40" s="291"/>
      <c r="E40" s="199" t="s">
        <v>254</v>
      </c>
    </row>
    <row r="41" spans="1:5" ht="15" thickBot="1" x14ac:dyDescent="0.4"/>
    <row r="42" spans="1:5" s="200" customFormat="1" ht="28.25" customHeight="1" thickBot="1" x14ac:dyDescent="0.4">
      <c r="B42" s="214" t="s">
        <v>123</v>
      </c>
      <c r="C42" s="215"/>
      <c r="D42" s="216" t="s">
        <v>266</v>
      </c>
      <c r="E42" s="217" t="s">
        <v>254</v>
      </c>
    </row>
  </sheetData>
  <mergeCells count="2">
    <mergeCell ref="A1:E1"/>
    <mergeCell ref="A40:D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82FA-C079-409A-87C5-3450D6BDCF69}">
  <dimension ref="A1:AA63"/>
  <sheetViews>
    <sheetView tabSelected="1" zoomScaleNormal="100" workbookViewId="0">
      <selection activeCell="I11" sqref="I11"/>
    </sheetView>
  </sheetViews>
  <sheetFormatPr defaultRowHeight="14.5" x14ac:dyDescent="0.35"/>
  <cols>
    <col min="2" max="2" width="31.36328125" bestFit="1" customWidth="1"/>
    <col min="3" max="3" width="20.54296875" customWidth="1"/>
    <col min="5" max="5" width="21.90625" customWidth="1"/>
    <col min="6" max="6" width="28.36328125" customWidth="1"/>
  </cols>
  <sheetData>
    <row r="1" spans="1:27" s="168" customFormat="1" ht="13.5" thickBot="1" x14ac:dyDescent="0.35">
      <c r="A1" s="181" t="s">
        <v>258</v>
      </c>
      <c r="B1" s="181" t="s">
        <v>76</v>
      </c>
      <c r="C1" s="181" t="s">
        <v>211</v>
      </c>
      <c r="D1" s="181" t="s">
        <v>243</v>
      </c>
      <c r="E1" s="181" t="s">
        <v>259</v>
      </c>
      <c r="F1" s="181" t="s">
        <v>260</v>
      </c>
      <c r="G1" s="169"/>
    </row>
    <row r="2" spans="1:27" s="183" customFormat="1" ht="15" thickBot="1" x14ac:dyDescent="0.4">
      <c r="A2" s="187">
        <v>1</v>
      </c>
      <c r="B2" s="187" t="s">
        <v>89</v>
      </c>
      <c r="C2"/>
      <c r="D2"/>
      <c r="E2"/>
      <c r="F2" s="165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x14ac:dyDescent="0.35">
      <c r="A3" s="170">
        <v>1.1000000000000001</v>
      </c>
      <c r="B3" s="184" t="s">
        <v>220</v>
      </c>
      <c r="D3" s="203">
        <v>3</v>
      </c>
      <c r="E3" t="s">
        <v>254</v>
      </c>
      <c r="F3" s="165" t="s">
        <v>254</v>
      </c>
    </row>
    <row r="4" spans="1:27" x14ac:dyDescent="0.35">
      <c r="A4" s="171">
        <v>1.2</v>
      </c>
      <c r="B4" s="184" t="s">
        <v>221</v>
      </c>
      <c r="D4" s="203">
        <v>11</v>
      </c>
      <c r="E4" t="s">
        <v>254</v>
      </c>
      <c r="F4" s="165" t="s">
        <v>254</v>
      </c>
    </row>
    <row r="5" spans="1:27" x14ac:dyDescent="0.35">
      <c r="A5" s="171">
        <v>1.3</v>
      </c>
      <c r="B5" s="184" t="s">
        <v>222</v>
      </c>
      <c r="D5" s="203">
        <v>2</v>
      </c>
      <c r="E5" t="s">
        <v>254</v>
      </c>
      <c r="F5" s="165" t="s">
        <v>254</v>
      </c>
    </row>
    <row r="6" spans="1:27" x14ac:dyDescent="0.35">
      <c r="A6" s="171">
        <v>1.5</v>
      </c>
      <c r="B6" s="184" t="s">
        <v>223</v>
      </c>
      <c r="D6" s="203">
        <v>2</v>
      </c>
      <c r="E6" t="s">
        <v>254</v>
      </c>
      <c r="F6" s="165" t="s">
        <v>254</v>
      </c>
    </row>
    <row r="7" spans="1:27" x14ac:dyDescent="0.35">
      <c r="A7" s="171">
        <v>1.6</v>
      </c>
      <c r="B7" s="184" t="s">
        <v>224</v>
      </c>
      <c r="D7" s="203">
        <v>2</v>
      </c>
      <c r="E7" t="s">
        <v>254</v>
      </c>
      <c r="F7" s="165" t="s">
        <v>254</v>
      </c>
    </row>
    <row r="8" spans="1:27" x14ac:dyDescent="0.35">
      <c r="A8" s="171">
        <v>1.7000000000000002</v>
      </c>
      <c r="B8" s="184" t="s">
        <v>225</v>
      </c>
      <c r="D8" s="203">
        <v>1</v>
      </c>
      <c r="E8" t="s">
        <v>254</v>
      </c>
      <c r="F8" s="165" t="s">
        <v>254</v>
      </c>
    </row>
    <row r="9" spans="1:27" x14ac:dyDescent="0.35">
      <c r="A9" s="171">
        <v>1.8000000000000003</v>
      </c>
      <c r="B9" s="184" t="s">
        <v>239</v>
      </c>
      <c r="D9" s="203" t="s">
        <v>261</v>
      </c>
      <c r="E9" t="s">
        <v>254</v>
      </c>
      <c r="F9" s="165" t="s">
        <v>254</v>
      </c>
    </row>
    <row r="10" spans="1:27" x14ac:dyDescent="0.35">
      <c r="A10" s="171">
        <v>1.9000000000000004</v>
      </c>
      <c r="B10" s="184" t="s">
        <v>240</v>
      </c>
      <c r="D10" s="203" t="s">
        <v>261</v>
      </c>
      <c r="E10" t="s">
        <v>254</v>
      </c>
      <c r="F10" s="165" t="s">
        <v>254</v>
      </c>
    </row>
    <row r="11" spans="1:27" x14ac:dyDescent="0.35">
      <c r="A11" s="172">
        <v>1.1000000000000001</v>
      </c>
      <c r="B11" s="184" t="s">
        <v>212</v>
      </c>
      <c r="D11" s="203" t="s">
        <v>261</v>
      </c>
      <c r="E11" t="s">
        <v>254</v>
      </c>
      <c r="F11" s="165" t="s">
        <v>254</v>
      </c>
    </row>
    <row r="12" spans="1:27" x14ac:dyDescent="0.35">
      <c r="A12" s="171">
        <v>1.1100000000000001</v>
      </c>
      <c r="B12" s="184" t="s">
        <v>213</v>
      </c>
      <c r="D12" s="203" t="s">
        <v>261</v>
      </c>
      <c r="E12" t="s">
        <v>254</v>
      </c>
      <c r="F12" s="165" t="s">
        <v>254</v>
      </c>
    </row>
    <row r="13" spans="1:27" ht="15" thickBot="1" x14ac:dyDescent="0.4">
      <c r="A13" s="171">
        <v>1.1200000000000001</v>
      </c>
      <c r="B13" s="184" t="s">
        <v>241</v>
      </c>
      <c r="D13" s="203" t="s">
        <v>261</v>
      </c>
      <c r="E13" t="s">
        <v>254</v>
      </c>
      <c r="F13" s="165" t="s">
        <v>254</v>
      </c>
    </row>
    <row r="14" spans="1:27" s="183" customFormat="1" ht="23.4" customHeight="1" thickBot="1" x14ac:dyDescent="0.4">
      <c r="A14" s="188"/>
      <c r="B14" s="292" t="s">
        <v>267</v>
      </c>
      <c r="C14" s="290"/>
      <c r="D14" s="290"/>
      <c r="E14" s="291"/>
      <c r="F14" s="202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5" thickBot="1" x14ac:dyDescent="0.4">
      <c r="A15" s="185"/>
      <c r="F15" s="165"/>
    </row>
    <row r="16" spans="1:27" s="183" customFormat="1" ht="15" thickBot="1" x14ac:dyDescent="0.4">
      <c r="A16" s="204">
        <v>2</v>
      </c>
      <c r="B16" s="188" t="s">
        <v>214</v>
      </c>
      <c r="C16"/>
      <c r="D16"/>
      <c r="E16"/>
      <c r="F16" s="165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183" customFormat="1" x14ac:dyDescent="0.35">
      <c r="A17" s="171">
        <v>2.1</v>
      </c>
      <c r="B17" s="173" t="s">
        <v>226</v>
      </c>
      <c r="C17"/>
      <c r="D17" s="203">
        <v>3</v>
      </c>
      <c r="E17" t="s">
        <v>254</v>
      </c>
      <c r="F17" s="165" t="s">
        <v>254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x14ac:dyDescent="0.35">
      <c r="A18" s="171">
        <v>2.2000000000000002</v>
      </c>
      <c r="B18" s="173" t="s">
        <v>227</v>
      </c>
      <c r="D18" s="203">
        <v>11</v>
      </c>
      <c r="E18" t="s">
        <v>254</v>
      </c>
      <c r="F18" s="165" t="s">
        <v>254</v>
      </c>
    </row>
    <row r="19" spans="1:27" x14ac:dyDescent="0.35">
      <c r="A19" s="171">
        <v>2.2999999999999998</v>
      </c>
      <c r="B19" s="173" t="s">
        <v>228</v>
      </c>
      <c r="D19" s="203">
        <v>2</v>
      </c>
      <c r="E19" t="s">
        <v>254</v>
      </c>
      <c r="F19" s="165" t="s">
        <v>254</v>
      </c>
    </row>
    <row r="20" spans="1:27" x14ac:dyDescent="0.35">
      <c r="A20" s="171">
        <v>2.4</v>
      </c>
      <c r="B20" s="173" t="s">
        <v>229</v>
      </c>
      <c r="D20" s="203">
        <v>2</v>
      </c>
      <c r="E20" t="s">
        <v>254</v>
      </c>
      <c r="F20" s="165" t="s">
        <v>254</v>
      </c>
    </row>
    <row r="21" spans="1:27" x14ac:dyDescent="0.35">
      <c r="A21" s="171">
        <v>2.5</v>
      </c>
      <c r="B21" s="173" t="s">
        <v>230</v>
      </c>
      <c r="D21" s="203">
        <v>2</v>
      </c>
      <c r="E21" t="s">
        <v>254</v>
      </c>
      <c r="F21" s="165" t="s">
        <v>254</v>
      </c>
    </row>
    <row r="22" spans="1:27" x14ac:dyDescent="0.35">
      <c r="A22" s="171">
        <v>2.6</v>
      </c>
      <c r="B22" s="173" t="s">
        <v>231</v>
      </c>
      <c r="D22" s="203">
        <v>1</v>
      </c>
      <c r="E22" t="s">
        <v>254</v>
      </c>
      <c r="F22" s="165" t="s">
        <v>254</v>
      </c>
    </row>
    <row r="23" spans="1:27" x14ac:dyDescent="0.35">
      <c r="A23" s="171">
        <v>2.7</v>
      </c>
      <c r="B23" s="173" t="s">
        <v>215</v>
      </c>
      <c r="D23" t="s">
        <v>262</v>
      </c>
      <c r="E23" t="s">
        <v>254</v>
      </c>
      <c r="F23" s="165" t="s">
        <v>254</v>
      </c>
    </row>
    <row r="24" spans="1:27" ht="15" thickBot="1" x14ac:dyDescent="0.4">
      <c r="A24" s="171"/>
      <c r="B24" s="174"/>
      <c r="F24" s="165"/>
    </row>
    <row r="25" spans="1:27" s="183" customFormat="1" ht="21.65" customHeight="1" thickBot="1" x14ac:dyDescent="0.4">
      <c r="A25" s="189"/>
      <c r="B25" s="292" t="s">
        <v>268</v>
      </c>
      <c r="C25" s="290"/>
      <c r="D25" s="290"/>
      <c r="E25" s="291"/>
      <c r="F25" s="202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15" thickBot="1" x14ac:dyDescent="0.4">
      <c r="A26" s="185"/>
      <c r="F26" s="165"/>
    </row>
    <row r="27" spans="1:27" s="183" customFormat="1" ht="15" thickBot="1" x14ac:dyDescent="0.4">
      <c r="A27" s="190">
        <v>3</v>
      </c>
      <c r="B27" s="188" t="s">
        <v>216</v>
      </c>
      <c r="C27"/>
      <c r="D27"/>
      <c r="E27"/>
      <c r="F27" s="165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x14ac:dyDescent="0.35">
      <c r="A28" s="170">
        <v>3.1</v>
      </c>
      <c r="B28" s="175" t="s">
        <v>217</v>
      </c>
      <c r="D28">
        <v>60</v>
      </c>
      <c r="E28" t="s">
        <v>254</v>
      </c>
      <c r="F28" s="165" t="s">
        <v>254</v>
      </c>
    </row>
    <row r="29" spans="1:27" x14ac:dyDescent="0.35">
      <c r="A29" s="171">
        <v>3.2</v>
      </c>
      <c r="B29" s="176" t="s">
        <v>232</v>
      </c>
      <c r="D29">
        <v>60</v>
      </c>
      <c r="E29" t="s">
        <v>254</v>
      </c>
      <c r="F29" s="165" t="s">
        <v>254</v>
      </c>
    </row>
    <row r="30" spans="1:27" ht="15" thickBot="1" x14ac:dyDescent="0.4">
      <c r="A30" s="171">
        <v>3.3</v>
      </c>
      <c r="B30" s="177" t="s">
        <v>238</v>
      </c>
      <c r="D30">
        <v>60</v>
      </c>
      <c r="E30" t="s">
        <v>254</v>
      </c>
      <c r="F30" s="165" t="s">
        <v>254</v>
      </c>
    </row>
    <row r="31" spans="1:27" s="183" customFormat="1" ht="19.75" customHeight="1" thickBot="1" x14ac:dyDescent="0.4">
      <c r="A31" s="189"/>
      <c r="B31" s="292" t="s">
        <v>218</v>
      </c>
      <c r="C31" s="290"/>
      <c r="D31" s="290"/>
      <c r="E31" s="291"/>
      <c r="F31" s="202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5" thickBot="1" x14ac:dyDescent="0.4">
      <c r="A32" s="185"/>
      <c r="F32" s="165"/>
    </row>
    <row r="33" spans="1:27" s="183" customFormat="1" ht="52.5" thickBot="1" x14ac:dyDescent="0.4">
      <c r="A33" s="190">
        <v>4</v>
      </c>
      <c r="B33" s="188" t="s">
        <v>219</v>
      </c>
      <c r="C33" s="182" t="s">
        <v>244</v>
      </c>
      <c r="D33" s="182" t="s">
        <v>245</v>
      </c>
      <c r="E33" s="182" t="s">
        <v>263</v>
      </c>
      <c r="F33" s="182" t="s">
        <v>246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35">
      <c r="A34" s="178">
        <v>4.0999999999999996</v>
      </c>
      <c r="B34" s="179" t="s">
        <v>233</v>
      </c>
      <c r="C34" s="164">
        <f>360*60</f>
        <v>21600</v>
      </c>
      <c r="D34" s="205">
        <v>3</v>
      </c>
      <c r="E34" t="s">
        <v>254</v>
      </c>
      <c r="F34" s="165" t="s">
        <v>254</v>
      </c>
    </row>
    <row r="35" spans="1:27" x14ac:dyDescent="0.35">
      <c r="A35" s="178">
        <v>4.2</v>
      </c>
      <c r="B35" s="179" t="s">
        <v>234</v>
      </c>
      <c r="C35" s="164">
        <f>344*60</f>
        <v>20640</v>
      </c>
      <c r="D35" s="205">
        <v>11</v>
      </c>
      <c r="E35" t="s">
        <v>254</v>
      </c>
      <c r="F35" s="165" t="s">
        <v>254</v>
      </c>
    </row>
    <row r="36" spans="1:27" x14ac:dyDescent="0.35">
      <c r="A36" s="178">
        <v>4.3</v>
      </c>
      <c r="B36" s="179" t="s">
        <v>235</v>
      </c>
      <c r="C36" s="164">
        <f>336*60</f>
        <v>20160</v>
      </c>
      <c r="D36" s="205">
        <v>2</v>
      </c>
      <c r="E36" t="s">
        <v>254</v>
      </c>
      <c r="F36" s="165" t="s">
        <v>254</v>
      </c>
    </row>
    <row r="37" spans="1:27" x14ac:dyDescent="0.35">
      <c r="A37" s="178">
        <v>4.4000000000000004</v>
      </c>
      <c r="B37" s="179" t="s">
        <v>236</v>
      </c>
      <c r="C37" s="164">
        <f>200*60</f>
        <v>12000</v>
      </c>
      <c r="D37" s="205">
        <v>2</v>
      </c>
      <c r="E37" t="s">
        <v>254</v>
      </c>
      <c r="F37" s="165" t="s">
        <v>254</v>
      </c>
    </row>
    <row r="38" spans="1:27" x14ac:dyDescent="0.35">
      <c r="A38" s="178">
        <v>4.5</v>
      </c>
      <c r="B38" s="179" t="s">
        <v>237</v>
      </c>
      <c r="C38" s="164">
        <f>184*60</f>
        <v>11040</v>
      </c>
      <c r="D38" s="205">
        <v>2</v>
      </c>
      <c r="E38" t="s">
        <v>254</v>
      </c>
      <c r="F38" s="165" t="s">
        <v>254</v>
      </c>
    </row>
    <row r="39" spans="1:27" ht="15" thickBot="1" x14ac:dyDescent="0.4">
      <c r="A39" s="178">
        <v>4.5999999999999996</v>
      </c>
      <c r="B39" s="179" t="s">
        <v>247</v>
      </c>
      <c r="C39" t="s">
        <v>248</v>
      </c>
      <c r="D39" s="205">
        <v>1</v>
      </c>
      <c r="E39" t="s">
        <v>254</v>
      </c>
      <c r="F39" s="165" t="s">
        <v>254</v>
      </c>
    </row>
    <row r="40" spans="1:27" ht="28.25" customHeight="1" thickBot="1" x14ac:dyDescent="0.4">
      <c r="A40" s="189"/>
      <c r="B40" s="292" t="s">
        <v>264</v>
      </c>
      <c r="C40" s="290"/>
      <c r="D40" s="290"/>
      <c r="E40" s="291"/>
      <c r="F40" s="202"/>
    </row>
    <row r="41" spans="1:27" s="183" customFormat="1" ht="15" thickBot="1" x14ac:dyDescent="0.4">
      <c r="A41" s="206"/>
      <c r="B41" s="166"/>
      <c r="C41" s="166"/>
      <c r="D41" s="166"/>
      <c r="E41" s="166"/>
      <c r="F41" s="167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ht="15" thickBot="1" x14ac:dyDescent="0.4"/>
    <row r="43" spans="1:27" ht="29.4" customHeight="1" thickBot="1" x14ac:dyDescent="0.4">
      <c r="A43" s="207"/>
      <c r="B43" s="293" t="s">
        <v>265</v>
      </c>
      <c r="C43" s="293"/>
      <c r="D43" s="293"/>
      <c r="E43" s="294"/>
      <c r="F43" s="208" t="s">
        <v>254</v>
      </c>
    </row>
    <row r="44" spans="1:27" x14ac:dyDescent="0.35">
      <c r="A44" s="168"/>
      <c r="B44" s="168"/>
    </row>
    <row r="45" spans="1:27" x14ac:dyDescent="0.35">
      <c r="A45" s="180"/>
    </row>
    <row r="46" spans="1:27" x14ac:dyDescent="0.35">
      <c r="A46" s="168"/>
    </row>
    <row r="47" spans="1:27" x14ac:dyDescent="0.35">
      <c r="A47" s="168"/>
      <c r="C47" s="200"/>
    </row>
    <row r="48" spans="1:27" x14ac:dyDescent="0.35">
      <c r="A48" s="168"/>
    </row>
    <row r="49" spans="1:2" x14ac:dyDescent="0.35">
      <c r="A49" s="168"/>
    </row>
    <row r="50" spans="1:2" x14ac:dyDescent="0.35">
      <c r="A50" s="168"/>
    </row>
    <row r="51" spans="1:2" x14ac:dyDescent="0.35">
      <c r="A51" s="168"/>
    </row>
    <row r="52" spans="1:2" x14ac:dyDescent="0.35">
      <c r="A52" s="168"/>
      <c r="B52" s="168"/>
    </row>
    <row r="53" spans="1:2" x14ac:dyDescent="0.35">
      <c r="A53" s="168"/>
      <c r="B53" s="169"/>
    </row>
    <row r="54" spans="1:2" x14ac:dyDescent="0.35">
      <c r="A54" s="168"/>
      <c r="B54" s="169"/>
    </row>
    <row r="55" spans="1:2" x14ac:dyDescent="0.35">
      <c r="A55" s="168"/>
      <c r="B55" s="168"/>
    </row>
    <row r="56" spans="1:2" x14ac:dyDescent="0.35">
      <c r="A56" s="168"/>
      <c r="B56" s="168"/>
    </row>
    <row r="57" spans="1:2" x14ac:dyDescent="0.35">
      <c r="A57" s="168"/>
      <c r="B57" s="168"/>
    </row>
    <row r="58" spans="1:2" x14ac:dyDescent="0.35">
      <c r="A58" s="168"/>
      <c r="B58" s="168"/>
    </row>
    <row r="59" spans="1:2" x14ac:dyDescent="0.35">
      <c r="A59" s="168"/>
      <c r="B59" s="168"/>
    </row>
    <row r="60" spans="1:2" x14ac:dyDescent="0.35">
      <c r="A60" s="168"/>
      <c r="B60" s="168"/>
    </row>
    <row r="61" spans="1:2" x14ac:dyDescent="0.35">
      <c r="A61" s="168"/>
      <c r="B61" s="168"/>
    </row>
    <row r="62" spans="1:2" x14ac:dyDescent="0.35">
      <c r="A62" s="168"/>
      <c r="B62" s="168"/>
    </row>
    <row r="63" spans="1:2" x14ac:dyDescent="0.35">
      <c r="A63" s="168"/>
      <c r="B63" s="168"/>
    </row>
  </sheetData>
  <mergeCells count="5">
    <mergeCell ref="B14:E14"/>
    <mergeCell ref="B43:E43"/>
    <mergeCell ref="B25:E25"/>
    <mergeCell ref="B31:E31"/>
    <mergeCell ref="B40:E4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03D2-C65F-421D-A578-717C1A3DF1F4}">
  <dimension ref="A1:S170"/>
  <sheetViews>
    <sheetView topLeftCell="A62" zoomScale="115" zoomScaleNormal="115" workbookViewId="0">
      <selection activeCell="F24" sqref="F24:J29"/>
    </sheetView>
  </sheetViews>
  <sheetFormatPr defaultRowHeight="14.5" x14ac:dyDescent="0.35"/>
  <cols>
    <col min="2" max="2" width="12.6328125" customWidth="1"/>
    <col min="3" max="3" width="47.08984375" customWidth="1"/>
    <col min="4" max="5" width="21.36328125" customWidth="1"/>
    <col min="6" max="6" width="22.36328125" bestFit="1" customWidth="1"/>
    <col min="13" max="13" width="12.36328125" bestFit="1" customWidth="1"/>
    <col min="14" max="14" width="16.6328125" customWidth="1"/>
    <col min="15" max="15" width="15" bestFit="1" customWidth="1"/>
    <col min="16" max="16" width="8.90625" bestFit="1" customWidth="1"/>
    <col min="17" max="17" width="9" bestFit="1" customWidth="1"/>
    <col min="18" max="19" width="15.453125" bestFit="1" customWidth="1"/>
  </cols>
  <sheetData>
    <row r="1" spans="1:19" ht="29.5" thickBot="1" x14ac:dyDescent="0.4">
      <c r="A1" s="116" t="s">
        <v>62</v>
      </c>
      <c r="B1" s="117" t="s">
        <v>63</v>
      </c>
      <c r="C1" s="29" t="s">
        <v>64</v>
      </c>
      <c r="D1" s="29" t="s">
        <v>65</v>
      </c>
      <c r="E1" s="29" t="s">
        <v>71</v>
      </c>
      <c r="F1" s="218" t="s">
        <v>66</v>
      </c>
      <c r="G1" s="219"/>
      <c r="H1" s="219"/>
      <c r="I1" s="219"/>
      <c r="J1" s="220"/>
    </row>
    <row r="2" spans="1:19" ht="18.75" hidden="1" customHeight="1" thickBot="1" x14ac:dyDescent="0.4">
      <c r="A2" s="221">
        <v>9</v>
      </c>
      <c r="B2" s="224">
        <v>372</v>
      </c>
      <c r="C2" s="118" t="s">
        <v>16</v>
      </c>
      <c r="D2" s="119">
        <v>258</v>
      </c>
      <c r="E2" s="120"/>
      <c r="F2" s="227">
        <f>D2+D3+D4+D5+D6</f>
        <v>3060</v>
      </c>
      <c r="G2" s="228"/>
      <c r="H2" s="228"/>
      <c r="I2" s="228"/>
      <c r="J2" s="229"/>
    </row>
    <row r="3" spans="1:19" ht="16" hidden="1" thickBot="1" x14ac:dyDescent="0.4">
      <c r="A3" s="222"/>
      <c r="B3" s="225"/>
      <c r="C3" s="62" t="s">
        <v>17</v>
      </c>
      <c r="D3" s="119">
        <v>619</v>
      </c>
      <c r="E3" s="120">
        <v>8</v>
      </c>
      <c r="F3" s="230"/>
      <c r="G3" s="231"/>
      <c r="H3" s="231"/>
      <c r="I3" s="231"/>
      <c r="J3" s="232"/>
    </row>
    <row r="4" spans="1:19" ht="16" hidden="1" thickBot="1" x14ac:dyDescent="0.4">
      <c r="A4" s="222"/>
      <c r="B4" s="225"/>
      <c r="C4" s="62" t="s">
        <v>18</v>
      </c>
      <c r="D4" s="119">
        <v>389</v>
      </c>
      <c r="E4" s="120"/>
      <c r="F4" s="230"/>
      <c r="G4" s="231"/>
      <c r="H4" s="231"/>
      <c r="I4" s="231"/>
      <c r="J4" s="232"/>
    </row>
    <row r="5" spans="1:19" ht="16" hidden="1" thickBot="1" x14ac:dyDescent="0.4">
      <c r="A5" s="222"/>
      <c r="B5" s="225"/>
      <c r="C5" s="121" t="s">
        <v>166</v>
      </c>
      <c r="D5" s="119">
        <v>1654</v>
      </c>
      <c r="E5" s="120"/>
      <c r="F5" s="230"/>
      <c r="G5" s="231"/>
      <c r="H5" s="231"/>
      <c r="I5" s="231"/>
      <c r="J5" s="232"/>
    </row>
    <row r="6" spans="1:19" ht="16" hidden="1" thickBot="1" x14ac:dyDescent="0.4">
      <c r="A6" s="223"/>
      <c r="B6" s="226"/>
      <c r="C6" s="62" t="s">
        <v>167</v>
      </c>
      <c r="D6" s="119">
        <v>140</v>
      </c>
      <c r="E6" s="120"/>
      <c r="F6" s="233"/>
      <c r="G6" s="234"/>
      <c r="H6" s="234"/>
      <c r="I6" s="234"/>
      <c r="J6" s="235"/>
    </row>
    <row r="7" spans="1:19" ht="18.75" hidden="1" customHeight="1" thickBot="1" x14ac:dyDescent="0.4">
      <c r="A7" s="221">
        <v>10</v>
      </c>
      <c r="B7" s="224">
        <v>360</v>
      </c>
      <c r="C7" s="118" t="s">
        <v>16</v>
      </c>
      <c r="D7" s="61">
        <v>547</v>
      </c>
      <c r="E7" s="120"/>
      <c r="F7" s="227">
        <f>D7+D8+D9+D10+D11</f>
        <v>3500</v>
      </c>
      <c r="G7" s="228"/>
      <c r="H7" s="228"/>
      <c r="I7" s="228"/>
      <c r="J7" s="229"/>
    </row>
    <row r="8" spans="1:19" ht="16" hidden="1" thickBot="1" x14ac:dyDescent="0.4">
      <c r="A8" s="222"/>
      <c r="B8" s="225"/>
      <c r="C8" s="62" t="s">
        <v>17</v>
      </c>
      <c r="D8" s="61">
        <v>770</v>
      </c>
      <c r="E8" s="120">
        <v>8</v>
      </c>
      <c r="F8" s="230"/>
      <c r="G8" s="231"/>
      <c r="H8" s="231"/>
      <c r="I8" s="231"/>
      <c r="J8" s="232"/>
    </row>
    <row r="9" spans="1:19" ht="16" hidden="1" thickBot="1" x14ac:dyDescent="0.4">
      <c r="A9" s="222"/>
      <c r="B9" s="225"/>
      <c r="C9" s="62" t="s">
        <v>18</v>
      </c>
      <c r="D9" s="122">
        <v>389</v>
      </c>
      <c r="E9" s="120"/>
      <c r="F9" s="230"/>
      <c r="G9" s="231"/>
      <c r="H9" s="231"/>
      <c r="I9" s="231"/>
      <c r="J9" s="232"/>
    </row>
    <row r="10" spans="1:19" ht="16" hidden="1" thickBot="1" x14ac:dyDescent="0.4">
      <c r="A10" s="222"/>
      <c r="B10" s="225"/>
      <c r="C10" s="121" t="s">
        <v>166</v>
      </c>
      <c r="D10" s="122">
        <v>1654</v>
      </c>
      <c r="E10" s="120"/>
      <c r="F10" s="230"/>
      <c r="G10" s="231"/>
      <c r="H10" s="231"/>
      <c r="I10" s="231"/>
      <c r="J10" s="232"/>
    </row>
    <row r="11" spans="1:19" ht="16" hidden="1" thickBot="1" x14ac:dyDescent="0.4">
      <c r="A11" s="223"/>
      <c r="B11" s="226"/>
      <c r="C11" s="62" t="s">
        <v>168</v>
      </c>
      <c r="D11" s="122">
        <v>140</v>
      </c>
      <c r="E11" s="120"/>
      <c r="F11" s="233"/>
      <c r="G11" s="234"/>
      <c r="H11" s="234"/>
      <c r="I11" s="234"/>
      <c r="J11" s="235"/>
    </row>
    <row r="12" spans="1:19" ht="18.75" customHeight="1" thickBot="1" x14ac:dyDescent="0.4">
      <c r="A12" s="221">
        <v>10</v>
      </c>
      <c r="B12" s="221">
        <v>360</v>
      </c>
      <c r="C12" s="118" t="s">
        <v>16</v>
      </c>
      <c r="D12" s="61">
        <v>547</v>
      </c>
      <c r="E12" s="120"/>
      <c r="F12" s="227"/>
      <c r="G12" s="228"/>
      <c r="H12" s="228"/>
      <c r="I12" s="228"/>
      <c r="J12" s="229"/>
    </row>
    <row r="13" spans="1:19" ht="16" thickBot="1" x14ac:dyDescent="0.4">
      <c r="A13" s="222"/>
      <c r="B13" s="222"/>
      <c r="C13" s="62" t="s">
        <v>17</v>
      </c>
      <c r="D13" s="61">
        <v>770</v>
      </c>
      <c r="E13" s="120">
        <v>8</v>
      </c>
      <c r="F13" s="230"/>
      <c r="G13" s="231"/>
      <c r="H13" s="231"/>
      <c r="I13" s="231"/>
      <c r="J13" s="232"/>
      <c r="M13" s="123" t="s">
        <v>169</v>
      </c>
      <c r="N13" s="124" t="s">
        <v>170</v>
      </c>
      <c r="O13" s="124" t="s">
        <v>171</v>
      </c>
      <c r="P13" s="124" t="s">
        <v>172</v>
      </c>
      <c r="Q13" s="124" t="s">
        <v>173</v>
      </c>
      <c r="R13" s="124" t="s">
        <v>174</v>
      </c>
      <c r="S13" s="125" t="s">
        <v>175</v>
      </c>
    </row>
    <row r="14" spans="1:19" ht="16" thickBot="1" x14ac:dyDescent="0.4">
      <c r="A14" s="222"/>
      <c r="B14" s="222"/>
      <c r="C14" s="62" t="s">
        <v>18</v>
      </c>
      <c r="D14" s="119">
        <v>389</v>
      </c>
      <c r="E14" s="120"/>
      <c r="F14" s="230"/>
      <c r="G14" s="231"/>
      <c r="H14" s="231"/>
      <c r="I14" s="231"/>
      <c r="J14" s="232"/>
      <c r="M14" s="126">
        <v>1</v>
      </c>
      <c r="N14">
        <v>432</v>
      </c>
      <c r="O14">
        <v>150</v>
      </c>
      <c r="P14" s="127">
        <v>0.08</v>
      </c>
      <c r="Q14" s="128">
        <v>357</v>
      </c>
      <c r="R14" s="129">
        <v>5985327.0898836469</v>
      </c>
      <c r="S14" s="129">
        <v>1870414.7155886395</v>
      </c>
    </row>
    <row r="15" spans="1:19" ht="16" thickBot="1" x14ac:dyDescent="0.4">
      <c r="A15" s="222"/>
      <c r="B15" s="222"/>
      <c r="C15" s="121" t="s">
        <v>166</v>
      </c>
      <c r="D15" s="119">
        <v>1654</v>
      </c>
      <c r="E15" s="120"/>
      <c r="F15" s="230"/>
      <c r="G15" s="231"/>
      <c r="H15" s="231"/>
      <c r="I15" s="231"/>
      <c r="J15" s="232"/>
      <c r="M15" s="126">
        <v>2</v>
      </c>
      <c r="N15">
        <v>444</v>
      </c>
      <c r="O15">
        <v>300</v>
      </c>
      <c r="P15" s="127">
        <v>0.08</v>
      </c>
      <c r="Q15" s="128">
        <v>458</v>
      </c>
      <c r="R15" s="129">
        <v>10150136.806575585</v>
      </c>
      <c r="S15" s="129">
        <v>3171917.7520548701</v>
      </c>
    </row>
    <row r="16" spans="1:19" ht="16" thickBot="1" x14ac:dyDescent="0.4">
      <c r="A16" s="222"/>
      <c r="B16" s="222"/>
      <c r="C16" s="62" t="s">
        <v>176</v>
      </c>
      <c r="D16" s="130">
        <v>150</v>
      </c>
      <c r="E16" s="120"/>
      <c r="F16" s="230"/>
      <c r="G16" s="231"/>
      <c r="H16" s="231"/>
      <c r="I16" s="231"/>
      <c r="J16" s="232"/>
      <c r="M16" s="126">
        <v>3</v>
      </c>
      <c r="N16">
        <v>456</v>
      </c>
      <c r="O16">
        <v>450</v>
      </c>
      <c r="P16" s="127">
        <v>0.08</v>
      </c>
      <c r="Q16" s="128">
        <v>508</v>
      </c>
      <c r="R16" s="129">
        <v>10950056.341634132</v>
      </c>
      <c r="S16" s="129">
        <v>3421892.6067606658</v>
      </c>
    </row>
    <row r="17" spans="1:19" ht="16.5" customHeight="1" thickBot="1" x14ac:dyDescent="0.4">
      <c r="A17" s="222"/>
      <c r="B17" s="222"/>
      <c r="C17" s="62" t="s">
        <v>177</v>
      </c>
      <c r="D17" s="130">
        <v>357</v>
      </c>
      <c r="E17" s="120"/>
      <c r="F17" s="230"/>
      <c r="G17" s="231"/>
      <c r="H17" s="231"/>
      <c r="I17" s="231"/>
      <c r="J17" s="232"/>
      <c r="M17" s="126">
        <v>4</v>
      </c>
      <c r="N17">
        <v>468</v>
      </c>
      <c r="O17">
        <v>600</v>
      </c>
      <c r="P17" s="127">
        <v>0.08</v>
      </c>
      <c r="Q17" s="128">
        <v>450</v>
      </c>
      <c r="R17" s="129">
        <v>8978232.6843360476</v>
      </c>
      <c r="S17" s="129">
        <v>2805697.7138550146</v>
      </c>
    </row>
    <row r="18" spans="1:19" ht="18.75" customHeight="1" thickBot="1" x14ac:dyDescent="0.4">
      <c r="A18" s="221">
        <v>11</v>
      </c>
      <c r="B18" s="221">
        <v>348</v>
      </c>
      <c r="C18" s="118" t="s">
        <v>16</v>
      </c>
      <c r="D18" s="61">
        <v>663</v>
      </c>
      <c r="E18" s="120"/>
      <c r="F18" s="236">
        <f>SUM(D18:D23)</f>
        <v>4153</v>
      </c>
      <c r="G18" s="237"/>
      <c r="H18" s="237"/>
      <c r="I18" s="237"/>
      <c r="J18" s="238"/>
      <c r="M18" s="126">
        <v>5</v>
      </c>
      <c r="N18">
        <v>480</v>
      </c>
      <c r="O18">
        <f>O17+O14</f>
        <v>750</v>
      </c>
      <c r="P18" s="127">
        <v>0.08</v>
      </c>
      <c r="Q18" s="128">
        <v>339</v>
      </c>
      <c r="R18" s="129">
        <v>6802170.5306510543</v>
      </c>
      <c r="S18" s="129">
        <v>2125678.2908284543</v>
      </c>
    </row>
    <row r="19" spans="1:19" ht="16" thickBot="1" x14ac:dyDescent="0.4">
      <c r="A19" s="222"/>
      <c r="B19" s="222"/>
      <c r="C19" s="62" t="s">
        <v>17</v>
      </c>
      <c r="D19" s="61">
        <v>940</v>
      </c>
      <c r="E19" s="120">
        <v>8</v>
      </c>
      <c r="F19" s="239"/>
      <c r="G19" s="240"/>
      <c r="H19" s="240"/>
      <c r="I19" s="240"/>
      <c r="J19" s="241"/>
      <c r="M19" s="131" t="s">
        <v>178</v>
      </c>
      <c r="N19" s="132"/>
      <c r="O19" s="132"/>
      <c r="P19" s="132"/>
      <c r="Q19" s="132"/>
      <c r="R19" s="133">
        <f>SUM(R14:R18)</f>
        <v>42865923.453080468</v>
      </c>
      <c r="S19" s="133">
        <f>SUM(S14:S18)</f>
        <v>13395601.079087645</v>
      </c>
    </row>
    <row r="20" spans="1:19" ht="16" thickBot="1" x14ac:dyDescent="0.4">
      <c r="A20" s="222"/>
      <c r="B20" s="222"/>
      <c r="C20" s="62" t="s">
        <v>18</v>
      </c>
      <c r="D20" s="119">
        <v>389</v>
      </c>
      <c r="E20" s="120"/>
      <c r="F20" s="239"/>
      <c r="G20" s="240"/>
      <c r="H20" s="240"/>
      <c r="I20" s="240"/>
      <c r="J20" s="241"/>
    </row>
    <row r="21" spans="1:19" ht="16" thickBot="1" x14ac:dyDescent="0.4">
      <c r="A21" s="222"/>
      <c r="B21" s="222"/>
      <c r="C21" s="121" t="s">
        <v>166</v>
      </c>
      <c r="D21" s="119">
        <v>1654</v>
      </c>
      <c r="E21" s="120"/>
      <c r="F21" s="239"/>
      <c r="G21" s="240"/>
      <c r="H21" s="240"/>
      <c r="I21" s="240"/>
      <c r="J21" s="241"/>
    </row>
    <row r="22" spans="1:19" ht="16" thickBot="1" x14ac:dyDescent="0.4">
      <c r="A22" s="222"/>
      <c r="B22" s="222"/>
      <c r="C22" s="62" t="s">
        <v>176</v>
      </c>
      <c r="D22" s="130">
        <v>150</v>
      </c>
      <c r="E22" s="120"/>
      <c r="F22" s="239"/>
      <c r="G22" s="240"/>
      <c r="H22" s="240"/>
      <c r="I22" s="240"/>
      <c r="J22" s="241"/>
    </row>
    <row r="23" spans="1:19" ht="16.5" customHeight="1" thickBot="1" x14ac:dyDescent="0.4">
      <c r="A23" s="222"/>
      <c r="B23" s="222"/>
      <c r="C23" s="62" t="s">
        <v>177</v>
      </c>
      <c r="D23" s="130">
        <v>357</v>
      </c>
      <c r="E23" s="120"/>
      <c r="F23" s="239"/>
      <c r="G23" s="240"/>
      <c r="H23" s="240"/>
      <c r="I23" s="240"/>
      <c r="J23" s="241"/>
    </row>
    <row r="24" spans="1:19" ht="18.75" customHeight="1" thickBot="1" x14ac:dyDescent="0.4">
      <c r="A24" s="242">
        <v>12</v>
      </c>
      <c r="B24" s="242">
        <v>336</v>
      </c>
      <c r="C24" s="118" t="s">
        <v>16</v>
      </c>
      <c r="D24" s="61">
        <v>697</v>
      </c>
      <c r="E24" s="120"/>
      <c r="F24" s="236">
        <f>D24+D25+D26+D27+D28+D29</f>
        <v>4338</v>
      </c>
      <c r="G24" s="237"/>
      <c r="H24" s="237"/>
      <c r="I24" s="237"/>
      <c r="J24" s="238"/>
    </row>
    <row r="25" spans="1:19" ht="16" thickBot="1" x14ac:dyDescent="0.4">
      <c r="A25" s="243"/>
      <c r="B25" s="243"/>
      <c r="C25" s="62" t="s">
        <v>17</v>
      </c>
      <c r="D25" s="61">
        <v>1091</v>
      </c>
      <c r="E25" s="120">
        <v>8</v>
      </c>
      <c r="F25" s="239"/>
      <c r="G25" s="240"/>
      <c r="H25" s="240"/>
      <c r="I25" s="240"/>
      <c r="J25" s="241"/>
    </row>
    <row r="26" spans="1:19" ht="16" thickBot="1" x14ac:dyDescent="0.4">
      <c r="A26" s="243"/>
      <c r="B26" s="243"/>
      <c r="C26" s="62" t="s">
        <v>18</v>
      </c>
      <c r="D26" s="119">
        <v>389</v>
      </c>
      <c r="E26" s="120"/>
      <c r="F26" s="239"/>
      <c r="G26" s="240"/>
      <c r="H26" s="240"/>
      <c r="I26" s="240"/>
      <c r="J26" s="241"/>
    </row>
    <row r="27" spans="1:19" ht="16" thickBot="1" x14ac:dyDescent="0.4">
      <c r="A27" s="243"/>
      <c r="B27" s="243"/>
      <c r="C27" s="121" t="s">
        <v>166</v>
      </c>
      <c r="D27" s="119">
        <v>1654</v>
      </c>
      <c r="E27" s="120"/>
      <c r="F27" s="239"/>
      <c r="G27" s="240"/>
      <c r="H27" s="240"/>
      <c r="I27" s="240"/>
      <c r="J27" s="241"/>
    </row>
    <row r="28" spans="1:19" ht="16" thickBot="1" x14ac:dyDescent="0.4">
      <c r="A28" s="243"/>
      <c r="B28" s="243"/>
      <c r="C28" s="62" t="s">
        <v>176</v>
      </c>
      <c r="D28" s="119">
        <v>150</v>
      </c>
      <c r="E28" s="120">
        <v>8</v>
      </c>
      <c r="F28" s="239"/>
      <c r="G28" s="240"/>
      <c r="H28" s="240"/>
      <c r="I28" s="240"/>
      <c r="J28" s="241"/>
    </row>
    <row r="29" spans="1:19" ht="16.5" customHeight="1" thickBot="1" x14ac:dyDescent="0.4">
      <c r="A29" s="243"/>
      <c r="B29" s="243"/>
      <c r="C29" s="62" t="s">
        <v>177</v>
      </c>
      <c r="D29" s="130">
        <v>357</v>
      </c>
      <c r="E29" s="120"/>
      <c r="F29" s="239"/>
      <c r="G29" s="240"/>
      <c r="H29" s="240"/>
      <c r="I29" s="240"/>
      <c r="J29" s="241"/>
    </row>
    <row r="30" spans="1:19" ht="18.75" customHeight="1" thickBot="1" x14ac:dyDescent="0.4">
      <c r="A30" s="242">
        <v>13</v>
      </c>
      <c r="B30" s="242">
        <v>336</v>
      </c>
      <c r="C30" s="118" t="s">
        <v>16</v>
      </c>
      <c r="D30" s="61">
        <v>558</v>
      </c>
      <c r="E30" s="120"/>
      <c r="F30" s="236">
        <f>D30+D31+D32+D33+D34+D35</f>
        <v>3694</v>
      </c>
      <c r="G30" s="237"/>
      <c r="H30" s="237"/>
      <c r="I30" s="237"/>
      <c r="J30" s="238"/>
    </row>
    <row r="31" spans="1:19" ht="16" thickBot="1" x14ac:dyDescent="0.4">
      <c r="A31" s="243"/>
      <c r="B31" s="243"/>
      <c r="C31" s="62" t="s">
        <v>17</v>
      </c>
      <c r="D31" s="61">
        <v>1169</v>
      </c>
      <c r="E31" s="120">
        <v>8</v>
      </c>
      <c r="F31" s="239"/>
      <c r="G31" s="240"/>
      <c r="H31" s="240"/>
      <c r="I31" s="240"/>
      <c r="J31" s="241"/>
    </row>
    <row r="32" spans="1:19" ht="16" thickBot="1" x14ac:dyDescent="0.4">
      <c r="A32" s="243"/>
      <c r="B32" s="243"/>
      <c r="C32" s="62" t="s">
        <v>179</v>
      </c>
      <c r="D32" s="119">
        <v>638</v>
      </c>
      <c r="E32" s="120"/>
      <c r="F32" s="239"/>
      <c r="G32" s="240"/>
      <c r="H32" s="240"/>
      <c r="I32" s="240"/>
      <c r="J32" s="241"/>
    </row>
    <row r="33" spans="1:10" ht="31.5" thickBot="1" x14ac:dyDescent="0.4">
      <c r="A33" s="243"/>
      <c r="B33" s="243"/>
      <c r="C33" s="62" t="s">
        <v>180</v>
      </c>
      <c r="D33" s="119">
        <v>822</v>
      </c>
      <c r="E33" s="120"/>
      <c r="F33" s="239"/>
      <c r="G33" s="240"/>
      <c r="H33" s="240"/>
      <c r="I33" s="240"/>
      <c r="J33" s="241"/>
    </row>
    <row r="34" spans="1:10" ht="16" thickBot="1" x14ac:dyDescent="0.4">
      <c r="A34" s="243"/>
      <c r="B34" s="243"/>
      <c r="C34" s="62" t="s">
        <v>176</v>
      </c>
      <c r="D34" s="130">
        <v>150</v>
      </c>
      <c r="E34" s="120">
        <v>8</v>
      </c>
      <c r="F34" s="239"/>
      <c r="G34" s="240"/>
      <c r="H34" s="240"/>
      <c r="I34" s="240"/>
      <c r="J34" s="241"/>
    </row>
    <row r="35" spans="1:10" ht="16.5" customHeight="1" thickBot="1" x14ac:dyDescent="0.4">
      <c r="A35" s="243"/>
      <c r="B35" s="243"/>
      <c r="C35" s="62" t="s">
        <v>177</v>
      </c>
      <c r="D35" s="130">
        <v>357</v>
      </c>
      <c r="E35" s="120"/>
      <c r="F35" s="239"/>
      <c r="G35" s="240"/>
      <c r="H35" s="240"/>
      <c r="I35" s="240"/>
      <c r="J35" s="241"/>
    </row>
    <row r="36" spans="1:10" ht="18.75" customHeight="1" thickBot="1" x14ac:dyDescent="0.4">
      <c r="A36" s="242">
        <v>14</v>
      </c>
      <c r="B36" s="242">
        <v>309</v>
      </c>
      <c r="C36" s="118" t="s">
        <v>16</v>
      </c>
      <c r="D36" s="61">
        <v>486</v>
      </c>
      <c r="E36" s="120"/>
      <c r="F36" s="236">
        <f t="shared" ref="F36" si="0">D36+D37+D38+D39+D40+D41</f>
        <v>4061</v>
      </c>
      <c r="G36" s="237"/>
      <c r="H36" s="237"/>
      <c r="I36" s="237"/>
      <c r="J36" s="238"/>
    </row>
    <row r="37" spans="1:10" ht="16" thickBot="1" x14ac:dyDescent="0.4">
      <c r="A37" s="243"/>
      <c r="B37" s="243"/>
      <c r="C37" s="62" t="s">
        <v>17</v>
      </c>
      <c r="D37" s="61">
        <f>D31+188</f>
        <v>1357</v>
      </c>
      <c r="E37" s="120">
        <v>8</v>
      </c>
      <c r="F37" s="239"/>
      <c r="G37" s="240"/>
      <c r="H37" s="240"/>
      <c r="I37" s="240"/>
      <c r="J37" s="241"/>
    </row>
    <row r="38" spans="1:10" ht="16" thickBot="1" x14ac:dyDescent="0.4">
      <c r="A38" s="243"/>
      <c r="B38" s="243"/>
      <c r="C38" s="62" t="s">
        <v>179</v>
      </c>
      <c r="D38" s="119">
        <v>638</v>
      </c>
      <c r="E38" s="120"/>
      <c r="F38" s="239"/>
      <c r="G38" s="240"/>
      <c r="H38" s="240"/>
      <c r="I38" s="240"/>
      <c r="J38" s="241"/>
    </row>
    <row r="39" spans="1:10" ht="31.5" thickBot="1" x14ac:dyDescent="0.4">
      <c r="A39" s="243"/>
      <c r="B39" s="243"/>
      <c r="C39" s="62" t="s">
        <v>180</v>
      </c>
      <c r="D39" s="119">
        <v>822</v>
      </c>
      <c r="E39" s="120"/>
      <c r="F39" s="239"/>
      <c r="G39" s="240"/>
      <c r="H39" s="240"/>
      <c r="I39" s="240"/>
      <c r="J39" s="241"/>
    </row>
    <row r="40" spans="1:10" ht="16" thickBot="1" x14ac:dyDescent="0.4">
      <c r="A40" s="243"/>
      <c r="B40" s="243"/>
      <c r="C40" s="62" t="s">
        <v>176</v>
      </c>
      <c r="D40" s="130">
        <v>300</v>
      </c>
      <c r="E40" s="120">
        <v>8</v>
      </c>
      <c r="F40" s="239"/>
      <c r="G40" s="240"/>
      <c r="H40" s="240"/>
      <c r="I40" s="240"/>
      <c r="J40" s="241"/>
    </row>
    <row r="41" spans="1:10" ht="16.5" customHeight="1" thickBot="1" x14ac:dyDescent="0.4">
      <c r="A41" s="243"/>
      <c r="B41" s="243"/>
      <c r="C41" s="62" t="s">
        <v>177</v>
      </c>
      <c r="D41" s="130">
        <v>458</v>
      </c>
      <c r="E41" s="120"/>
      <c r="F41" s="239"/>
      <c r="G41" s="240"/>
      <c r="H41" s="240"/>
      <c r="I41" s="240"/>
      <c r="J41" s="241"/>
    </row>
    <row r="42" spans="1:10" ht="18.75" customHeight="1" thickBot="1" x14ac:dyDescent="0.4">
      <c r="A42" s="242">
        <v>15</v>
      </c>
      <c r="B42" s="242">
        <v>297</v>
      </c>
      <c r="C42" s="118" t="s">
        <v>16</v>
      </c>
      <c r="D42" s="61">
        <v>417</v>
      </c>
      <c r="E42" s="120"/>
      <c r="F42" s="236">
        <f t="shared" ref="F42" si="1">D42+D43+D44+D45+D46+D47</f>
        <v>4142</v>
      </c>
      <c r="G42" s="237"/>
      <c r="H42" s="237"/>
      <c r="I42" s="237"/>
      <c r="J42" s="238"/>
    </row>
    <row r="43" spans="1:10" ht="16" thickBot="1" x14ac:dyDescent="0.4">
      <c r="A43" s="243"/>
      <c r="B43" s="243"/>
      <c r="C43" s="62" t="s">
        <v>17</v>
      </c>
      <c r="D43" s="61">
        <f>D37+150</f>
        <v>1507</v>
      </c>
      <c r="E43" s="120">
        <v>8</v>
      </c>
      <c r="F43" s="239"/>
      <c r="G43" s="240"/>
      <c r="H43" s="240"/>
      <c r="I43" s="240"/>
      <c r="J43" s="241"/>
    </row>
    <row r="44" spans="1:10" ht="16" thickBot="1" x14ac:dyDescent="0.4">
      <c r="A44" s="243"/>
      <c r="B44" s="243"/>
      <c r="C44" s="62" t="s">
        <v>179</v>
      </c>
      <c r="D44" s="119">
        <v>638</v>
      </c>
      <c r="E44" s="120"/>
      <c r="F44" s="239"/>
      <c r="G44" s="240"/>
      <c r="H44" s="240"/>
      <c r="I44" s="240"/>
      <c r="J44" s="241"/>
    </row>
    <row r="45" spans="1:10" ht="31.5" thickBot="1" x14ac:dyDescent="0.4">
      <c r="A45" s="243"/>
      <c r="B45" s="243"/>
      <c r="C45" s="62" t="s">
        <v>180</v>
      </c>
      <c r="D45" s="119">
        <v>822</v>
      </c>
      <c r="E45" s="120"/>
      <c r="F45" s="239"/>
      <c r="G45" s="240"/>
      <c r="H45" s="240"/>
      <c r="I45" s="240"/>
      <c r="J45" s="241"/>
    </row>
    <row r="46" spans="1:10" ht="16" thickBot="1" x14ac:dyDescent="0.4">
      <c r="A46" s="243"/>
      <c r="B46" s="243"/>
      <c r="C46" s="62" t="s">
        <v>176</v>
      </c>
      <c r="D46" s="130">
        <v>300</v>
      </c>
      <c r="E46" s="120">
        <v>8</v>
      </c>
      <c r="F46" s="239"/>
      <c r="G46" s="240"/>
      <c r="H46" s="240"/>
      <c r="I46" s="240"/>
      <c r="J46" s="241"/>
    </row>
    <row r="47" spans="1:10" ht="16.5" customHeight="1" thickBot="1" x14ac:dyDescent="0.4">
      <c r="A47" s="243"/>
      <c r="B47" s="243"/>
      <c r="C47" s="62" t="s">
        <v>177</v>
      </c>
      <c r="D47" s="130">
        <v>458</v>
      </c>
      <c r="E47" s="120"/>
      <c r="F47" s="239"/>
      <c r="G47" s="240"/>
      <c r="H47" s="240"/>
      <c r="I47" s="240"/>
      <c r="J47" s="241"/>
    </row>
    <row r="48" spans="1:10" ht="18.75" customHeight="1" thickBot="1" x14ac:dyDescent="0.4">
      <c r="A48" s="242">
        <v>16</v>
      </c>
      <c r="B48" s="242">
        <v>282</v>
      </c>
      <c r="C48" s="118" t="s">
        <v>16</v>
      </c>
      <c r="D48" s="61">
        <v>341</v>
      </c>
      <c r="E48" s="120"/>
      <c r="F48" s="236">
        <f>D48+D49+D50+D51+D52+D53</f>
        <v>4216</v>
      </c>
      <c r="G48" s="237"/>
      <c r="H48" s="237"/>
      <c r="I48" s="237"/>
      <c r="J48" s="238"/>
    </row>
    <row r="49" spans="1:10" ht="16" thickBot="1" x14ac:dyDescent="0.4">
      <c r="A49" s="243"/>
      <c r="B49" s="243"/>
      <c r="C49" s="62" t="s">
        <v>17</v>
      </c>
      <c r="D49" s="61">
        <f>D43+150</f>
        <v>1657</v>
      </c>
      <c r="E49" s="120">
        <v>8</v>
      </c>
      <c r="F49" s="239"/>
      <c r="G49" s="240"/>
      <c r="H49" s="240"/>
      <c r="I49" s="240"/>
      <c r="J49" s="241"/>
    </row>
    <row r="50" spans="1:10" ht="16" thickBot="1" x14ac:dyDescent="0.4">
      <c r="A50" s="243"/>
      <c r="B50" s="243"/>
      <c r="C50" s="62" t="s">
        <v>181</v>
      </c>
      <c r="D50" s="119">
        <v>638</v>
      </c>
      <c r="E50" s="120"/>
      <c r="F50" s="239"/>
      <c r="G50" s="240"/>
      <c r="H50" s="240"/>
      <c r="I50" s="240"/>
      <c r="J50" s="241"/>
    </row>
    <row r="51" spans="1:10" ht="31.5" thickBot="1" x14ac:dyDescent="0.4">
      <c r="A51" s="243"/>
      <c r="B51" s="243"/>
      <c r="C51" s="62" t="s">
        <v>182</v>
      </c>
      <c r="D51" s="119">
        <v>822</v>
      </c>
      <c r="E51" s="120"/>
      <c r="F51" s="239"/>
      <c r="G51" s="240"/>
      <c r="H51" s="240"/>
      <c r="I51" s="240"/>
      <c r="J51" s="241"/>
    </row>
    <row r="52" spans="1:10" ht="16" thickBot="1" x14ac:dyDescent="0.4">
      <c r="A52" s="243"/>
      <c r="B52" s="243"/>
      <c r="C52" s="62" t="s">
        <v>176</v>
      </c>
      <c r="D52" s="130">
        <v>300</v>
      </c>
      <c r="E52" s="120">
        <v>8</v>
      </c>
      <c r="F52" s="239"/>
      <c r="G52" s="240"/>
      <c r="H52" s="240"/>
      <c r="I52" s="240"/>
      <c r="J52" s="241"/>
    </row>
    <row r="53" spans="1:10" ht="16.5" customHeight="1" thickBot="1" x14ac:dyDescent="0.4">
      <c r="A53" s="243"/>
      <c r="B53" s="243"/>
      <c r="C53" s="62" t="s">
        <v>177</v>
      </c>
      <c r="D53" s="130">
        <v>458</v>
      </c>
      <c r="E53" s="120"/>
      <c r="F53" s="239"/>
      <c r="G53" s="240"/>
      <c r="H53" s="240"/>
      <c r="I53" s="240"/>
      <c r="J53" s="241"/>
    </row>
    <row r="54" spans="1:10" ht="18.75" customHeight="1" thickBot="1" x14ac:dyDescent="0.4">
      <c r="A54" s="242">
        <v>17</v>
      </c>
      <c r="B54" s="242">
        <v>267</v>
      </c>
      <c r="C54" s="118" t="s">
        <v>16</v>
      </c>
      <c r="D54" s="61">
        <v>339</v>
      </c>
      <c r="E54" s="120"/>
      <c r="F54" s="236">
        <f t="shared" ref="F54" si="2">D54+D55+D56+D57+D58+D59</f>
        <v>4364</v>
      </c>
      <c r="G54" s="237"/>
      <c r="H54" s="237"/>
      <c r="I54" s="237"/>
      <c r="J54" s="238"/>
    </row>
    <row r="55" spans="1:10" ht="16" thickBot="1" x14ac:dyDescent="0.4">
      <c r="A55" s="243"/>
      <c r="B55" s="243"/>
      <c r="C55" s="62" t="s">
        <v>17</v>
      </c>
      <c r="D55" s="61">
        <f>D49+150</f>
        <v>1807</v>
      </c>
      <c r="E55" s="120">
        <v>8</v>
      </c>
      <c r="F55" s="239"/>
      <c r="G55" s="240"/>
      <c r="H55" s="240"/>
      <c r="I55" s="240"/>
      <c r="J55" s="241"/>
    </row>
    <row r="56" spans="1:10" ht="16" thickBot="1" x14ac:dyDescent="0.4">
      <c r="A56" s="243"/>
      <c r="B56" s="243"/>
      <c r="C56" s="62" t="s">
        <v>181</v>
      </c>
      <c r="D56" s="119">
        <v>638</v>
      </c>
      <c r="E56" s="120"/>
      <c r="F56" s="239"/>
      <c r="G56" s="240"/>
      <c r="H56" s="240"/>
      <c r="I56" s="240"/>
      <c r="J56" s="241"/>
    </row>
    <row r="57" spans="1:10" ht="31.5" thickBot="1" x14ac:dyDescent="0.4">
      <c r="A57" s="243"/>
      <c r="B57" s="243"/>
      <c r="C57" s="62" t="s">
        <v>182</v>
      </c>
      <c r="D57" s="119">
        <v>822</v>
      </c>
      <c r="E57" s="120"/>
      <c r="F57" s="239"/>
      <c r="G57" s="240"/>
      <c r="H57" s="240"/>
      <c r="I57" s="240"/>
      <c r="J57" s="241"/>
    </row>
    <row r="58" spans="1:10" ht="16" thickBot="1" x14ac:dyDescent="0.4">
      <c r="A58" s="243"/>
      <c r="B58" s="243"/>
      <c r="C58" s="62" t="s">
        <v>176</v>
      </c>
      <c r="D58" s="130">
        <v>300</v>
      </c>
      <c r="E58" s="120">
        <v>8</v>
      </c>
      <c r="F58" s="239"/>
      <c r="G58" s="240"/>
      <c r="H58" s="240"/>
      <c r="I58" s="240"/>
      <c r="J58" s="241"/>
    </row>
    <row r="59" spans="1:10" ht="16.5" customHeight="1" thickBot="1" x14ac:dyDescent="0.4">
      <c r="A59" s="243"/>
      <c r="B59" s="243"/>
      <c r="C59" s="62" t="s">
        <v>177</v>
      </c>
      <c r="D59" s="130">
        <v>458</v>
      </c>
      <c r="E59" s="120"/>
      <c r="F59" s="239"/>
      <c r="G59" s="240"/>
      <c r="H59" s="240"/>
      <c r="I59" s="240"/>
      <c r="J59" s="241"/>
    </row>
    <row r="60" spans="1:10" ht="18.75" customHeight="1" thickBot="1" x14ac:dyDescent="0.4">
      <c r="A60" s="242">
        <v>18</v>
      </c>
      <c r="B60" s="242">
        <v>255</v>
      </c>
      <c r="C60" s="118" t="s">
        <v>16</v>
      </c>
      <c r="D60" s="61">
        <v>366</v>
      </c>
      <c r="E60" s="120"/>
      <c r="F60" s="236">
        <f>D60+D61+D62+D63+D64+D65</f>
        <v>4541</v>
      </c>
      <c r="G60" s="237"/>
      <c r="H60" s="237"/>
      <c r="I60" s="237"/>
      <c r="J60" s="238"/>
    </row>
    <row r="61" spans="1:10" ht="16" thickBot="1" x14ac:dyDescent="0.4">
      <c r="A61" s="243"/>
      <c r="B61" s="243"/>
      <c r="C61" s="62" t="s">
        <v>17</v>
      </c>
      <c r="D61" s="61">
        <f>D55+150</f>
        <v>1957</v>
      </c>
      <c r="E61" s="120">
        <v>8</v>
      </c>
      <c r="F61" s="239"/>
      <c r="G61" s="240"/>
      <c r="H61" s="240"/>
      <c r="I61" s="240"/>
      <c r="J61" s="241"/>
    </row>
    <row r="62" spans="1:10" ht="16" thickBot="1" x14ac:dyDescent="0.4">
      <c r="A62" s="243"/>
      <c r="B62" s="243"/>
      <c r="C62" s="62" t="s">
        <v>181</v>
      </c>
      <c r="D62" s="119">
        <v>638</v>
      </c>
      <c r="E62" s="120"/>
      <c r="F62" s="239"/>
      <c r="G62" s="240"/>
      <c r="H62" s="240"/>
      <c r="I62" s="240"/>
      <c r="J62" s="241"/>
    </row>
    <row r="63" spans="1:10" ht="31.5" thickBot="1" x14ac:dyDescent="0.4">
      <c r="A63" s="243"/>
      <c r="B63" s="243"/>
      <c r="C63" s="62" t="s">
        <v>182</v>
      </c>
      <c r="D63" s="119">
        <v>822</v>
      </c>
      <c r="E63" s="120"/>
      <c r="F63" s="239"/>
      <c r="G63" s="240"/>
      <c r="H63" s="240"/>
      <c r="I63" s="240"/>
      <c r="J63" s="241"/>
    </row>
    <row r="64" spans="1:10" ht="16" thickBot="1" x14ac:dyDescent="0.4">
      <c r="A64" s="243"/>
      <c r="B64" s="243"/>
      <c r="C64" s="62" t="s">
        <v>176</v>
      </c>
      <c r="D64" s="130">
        <v>300</v>
      </c>
      <c r="E64" s="120">
        <v>8</v>
      </c>
      <c r="F64" s="239"/>
      <c r="G64" s="240"/>
      <c r="H64" s="240"/>
      <c r="I64" s="240"/>
      <c r="J64" s="241"/>
    </row>
    <row r="65" spans="1:10" ht="16.5" customHeight="1" thickBot="1" x14ac:dyDescent="0.4">
      <c r="A65" s="243"/>
      <c r="B65" s="243"/>
      <c r="C65" s="62" t="s">
        <v>177</v>
      </c>
      <c r="D65" s="130">
        <v>458</v>
      </c>
      <c r="E65" s="120"/>
      <c r="F65" s="239"/>
      <c r="G65" s="240"/>
      <c r="H65" s="240"/>
      <c r="I65" s="240"/>
      <c r="J65" s="241"/>
    </row>
    <row r="66" spans="1:10" ht="18.75" customHeight="1" thickBot="1" x14ac:dyDescent="0.4">
      <c r="A66" s="242">
        <v>19</v>
      </c>
      <c r="B66" s="242">
        <v>243</v>
      </c>
      <c r="C66" s="118" t="s">
        <v>16</v>
      </c>
      <c r="D66" s="61">
        <v>403</v>
      </c>
      <c r="E66" s="120"/>
      <c r="F66" s="236">
        <f t="shared" ref="F66" si="3">D66+D67+D68+D69+D70+D71</f>
        <v>4728</v>
      </c>
      <c r="G66" s="237"/>
      <c r="H66" s="237"/>
      <c r="I66" s="237"/>
      <c r="J66" s="238"/>
    </row>
    <row r="67" spans="1:10" ht="16" thickBot="1" x14ac:dyDescent="0.4">
      <c r="A67" s="243"/>
      <c r="B67" s="243"/>
      <c r="C67" s="62" t="s">
        <v>17</v>
      </c>
      <c r="D67" s="61">
        <f>D61+150</f>
        <v>2107</v>
      </c>
      <c r="E67" s="120">
        <v>8</v>
      </c>
      <c r="F67" s="239"/>
      <c r="G67" s="240"/>
      <c r="H67" s="240"/>
      <c r="I67" s="240"/>
      <c r="J67" s="241"/>
    </row>
    <row r="68" spans="1:10" ht="16" thickBot="1" x14ac:dyDescent="0.4">
      <c r="A68" s="243"/>
      <c r="B68" s="243"/>
      <c r="C68" s="62" t="s">
        <v>181</v>
      </c>
      <c r="D68" s="119">
        <v>638</v>
      </c>
      <c r="E68" s="120"/>
      <c r="F68" s="239"/>
      <c r="G68" s="240"/>
      <c r="H68" s="240"/>
      <c r="I68" s="240"/>
      <c r="J68" s="241"/>
    </row>
    <row r="69" spans="1:10" ht="31.5" thickBot="1" x14ac:dyDescent="0.4">
      <c r="A69" s="243"/>
      <c r="B69" s="243"/>
      <c r="C69" s="62" t="s">
        <v>182</v>
      </c>
      <c r="D69" s="119">
        <v>822</v>
      </c>
      <c r="E69" s="120"/>
      <c r="F69" s="239"/>
      <c r="G69" s="240"/>
      <c r="H69" s="240"/>
      <c r="I69" s="240"/>
      <c r="J69" s="241"/>
    </row>
    <row r="70" spans="1:10" ht="16" thickBot="1" x14ac:dyDescent="0.4">
      <c r="A70" s="243"/>
      <c r="B70" s="243"/>
      <c r="C70" s="62" t="s">
        <v>176</v>
      </c>
      <c r="D70" s="130">
        <v>300</v>
      </c>
      <c r="E70" s="120"/>
      <c r="F70" s="239"/>
      <c r="G70" s="240"/>
      <c r="H70" s="240"/>
      <c r="I70" s="240"/>
      <c r="J70" s="241"/>
    </row>
    <row r="71" spans="1:10" ht="16" thickBot="1" x14ac:dyDescent="0.4">
      <c r="A71" s="243"/>
      <c r="B71" s="243"/>
      <c r="C71" s="62" t="s">
        <v>177</v>
      </c>
      <c r="D71" s="130">
        <v>458</v>
      </c>
      <c r="E71" s="120"/>
      <c r="F71" s="239"/>
      <c r="G71" s="240"/>
      <c r="H71" s="240"/>
      <c r="I71" s="240"/>
      <c r="J71" s="241"/>
    </row>
    <row r="72" spans="1:10" ht="18.75" customHeight="1" thickBot="1" x14ac:dyDescent="0.4">
      <c r="A72" s="221">
        <v>20</v>
      </c>
      <c r="B72" s="221">
        <v>231</v>
      </c>
      <c r="C72" s="118" t="s">
        <v>16</v>
      </c>
      <c r="D72" s="61">
        <v>453</v>
      </c>
      <c r="E72" s="120"/>
      <c r="F72" s="236">
        <f t="shared" ref="F72" si="4">D72+D73+D74+D75+D76+D77</f>
        <v>5128</v>
      </c>
      <c r="G72" s="237"/>
      <c r="H72" s="237"/>
      <c r="I72" s="237"/>
      <c r="J72" s="238"/>
    </row>
    <row r="73" spans="1:10" ht="16" thickBot="1" x14ac:dyDescent="0.4">
      <c r="A73" s="222"/>
      <c r="B73" s="222"/>
      <c r="C73" s="62" t="s">
        <v>17</v>
      </c>
      <c r="D73" s="61">
        <f>D67+150</f>
        <v>2257</v>
      </c>
      <c r="E73" s="120">
        <v>8</v>
      </c>
      <c r="F73" s="239"/>
      <c r="G73" s="240"/>
      <c r="H73" s="240"/>
      <c r="I73" s="240"/>
      <c r="J73" s="241"/>
    </row>
    <row r="74" spans="1:10" ht="16" thickBot="1" x14ac:dyDescent="0.4">
      <c r="A74" s="222"/>
      <c r="B74" s="222"/>
      <c r="C74" s="62" t="s">
        <v>181</v>
      </c>
      <c r="D74" s="119">
        <v>638</v>
      </c>
      <c r="E74" s="120"/>
      <c r="F74" s="239"/>
      <c r="G74" s="240"/>
      <c r="H74" s="240"/>
      <c r="I74" s="240"/>
      <c r="J74" s="241"/>
    </row>
    <row r="75" spans="1:10" ht="31.5" thickBot="1" x14ac:dyDescent="0.4">
      <c r="A75" s="222"/>
      <c r="B75" s="222"/>
      <c r="C75" s="62" t="s">
        <v>182</v>
      </c>
      <c r="D75" s="119">
        <v>822</v>
      </c>
      <c r="E75" s="120"/>
      <c r="F75" s="239"/>
      <c r="G75" s="240"/>
      <c r="H75" s="240"/>
      <c r="I75" s="240"/>
      <c r="J75" s="241"/>
    </row>
    <row r="76" spans="1:10" ht="16" thickBot="1" x14ac:dyDescent="0.4">
      <c r="A76" s="222"/>
      <c r="B76" s="222"/>
      <c r="C76" s="62" t="s">
        <v>176</v>
      </c>
      <c r="D76" s="130">
        <v>450</v>
      </c>
      <c r="E76" s="120"/>
      <c r="F76" s="239"/>
      <c r="G76" s="240"/>
      <c r="H76" s="240"/>
      <c r="I76" s="240"/>
      <c r="J76" s="241"/>
    </row>
    <row r="77" spans="1:10" ht="16.5" customHeight="1" thickBot="1" x14ac:dyDescent="0.4">
      <c r="A77" s="222"/>
      <c r="B77" s="222"/>
      <c r="C77" s="62" t="s">
        <v>177</v>
      </c>
      <c r="D77" s="130">
        <v>508</v>
      </c>
      <c r="E77" s="120"/>
      <c r="F77" s="239"/>
      <c r="G77" s="240"/>
      <c r="H77" s="240"/>
      <c r="I77" s="240"/>
      <c r="J77" s="241"/>
    </row>
    <row r="78" spans="1:10" ht="18.75" customHeight="1" thickBot="1" x14ac:dyDescent="0.4">
      <c r="A78" s="221">
        <v>21</v>
      </c>
      <c r="B78" s="242">
        <v>219</v>
      </c>
      <c r="C78" s="118" t="s">
        <v>16</v>
      </c>
      <c r="D78" s="61">
        <v>265</v>
      </c>
      <c r="E78" s="120"/>
      <c r="F78" s="236">
        <f>D78+D79+D80+D81+D82+D83</f>
        <v>5090</v>
      </c>
      <c r="G78" s="237"/>
      <c r="H78" s="237"/>
      <c r="I78" s="237"/>
      <c r="J78" s="238"/>
    </row>
    <row r="79" spans="1:10" ht="16" thickBot="1" x14ac:dyDescent="0.4">
      <c r="A79" s="222"/>
      <c r="B79" s="243"/>
      <c r="C79" s="62" t="s">
        <v>17</v>
      </c>
      <c r="D79" s="61">
        <f>D73+150</f>
        <v>2407</v>
      </c>
      <c r="E79" s="120">
        <v>8</v>
      </c>
      <c r="F79" s="239"/>
      <c r="G79" s="240"/>
      <c r="H79" s="240"/>
      <c r="I79" s="240"/>
      <c r="J79" s="241"/>
    </row>
    <row r="80" spans="1:10" ht="16" thickBot="1" x14ac:dyDescent="0.4">
      <c r="A80" s="222"/>
      <c r="B80" s="243"/>
      <c r="C80" s="62" t="s">
        <v>181</v>
      </c>
      <c r="D80" s="119">
        <v>638</v>
      </c>
      <c r="E80" s="120"/>
      <c r="F80" s="239"/>
      <c r="G80" s="240"/>
      <c r="H80" s="240"/>
      <c r="I80" s="240"/>
      <c r="J80" s="241"/>
    </row>
    <row r="81" spans="1:14" ht="31.5" thickBot="1" x14ac:dyDescent="0.4">
      <c r="A81" s="222"/>
      <c r="B81" s="243"/>
      <c r="C81" s="62" t="s">
        <v>182</v>
      </c>
      <c r="D81" s="119">
        <v>822</v>
      </c>
      <c r="E81" s="120"/>
      <c r="F81" s="239"/>
      <c r="G81" s="240"/>
      <c r="H81" s="240"/>
      <c r="I81" s="240"/>
      <c r="J81" s="241"/>
    </row>
    <row r="82" spans="1:14" ht="16" thickBot="1" x14ac:dyDescent="0.4">
      <c r="A82" s="222"/>
      <c r="B82" s="243"/>
      <c r="C82" s="62" t="s">
        <v>176</v>
      </c>
      <c r="D82" s="130">
        <v>450</v>
      </c>
      <c r="E82" s="120">
        <v>8</v>
      </c>
      <c r="F82" s="239"/>
      <c r="G82" s="240"/>
      <c r="H82" s="240"/>
      <c r="I82" s="240"/>
      <c r="J82" s="241"/>
    </row>
    <row r="83" spans="1:14" ht="16.5" customHeight="1" thickBot="1" x14ac:dyDescent="0.4">
      <c r="A83" s="222"/>
      <c r="B83" s="243"/>
      <c r="C83" s="62" t="s">
        <v>177</v>
      </c>
      <c r="D83" s="130">
        <v>508</v>
      </c>
      <c r="E83" s="120"/>
      <c r="F83" s="239"/>
      <c r="G83" s="240"/>
      <c r="H83" s="240"/>
      <c r="I83" s="240"/>
      <c r="J83" s="241"/>
    </row>
    <row r="84" spans="1:14" ht="18.75" customHeight="1" thickBot="1" x14ac:dyDescent="0.4">
      <c r="A84" s="221">
        <v>22</v>
      </c>
      <c r="B84" s="242">
        <v>219</v>
      </c>
      <c r="C84" s="118" t="s">
        <v>16</v>
      </c>
      <c r="D84" s="61">
        <v>517</v>
      </c>
      <c r="E84" s="120"/>
      <c r="F84" s="236">
        <f t="shared" ref="F84" si="5">D84+D85+D86+D87+D88+D89</f>
        <v>5492</v>
      </c>
      <c r="G84" s="237"/>
      <c r="H84" s="237"/>
      <c r="I84" s="237"/>
      <c r="J84" s="238"/>
    </row>
    <row r="85" spans="1:14" ht="16" thickBot="1" x14ac:dyDescent="0.4">
      <c r="A85" s="222"/>
      <c r="B85" s="243"/>
      <c r="C85" s="62" t="s">
        <v>17</v>
      </c>
      <c r="D85" s="61">
        <f>D79+150</f>
        <v>2557</v>
      </c>
      <c r="E85" s="120">
        <v>8</v>
      </c>
      <c r="F85" s="239"/>
      <c r="G85" s="240"/>
      <c r="H85" s="240"/>
      <c r="I85" s="240"/>
      <c r="J85" s="241"/>
    </row>
    <row r="86" spans="1:14" ht="16" thickBot="1" x14ac:dyDescent="0.4">
      <c r="A86" s="222"/>
      <c r="B86" s="243"/>
      <c r="C86" s="62" t="s">
        <v>181</v>
      </c>
      <c r="D86" s="119">
        <v>638</v>
      </c>
      <c r="E86" s="120"/>
      <c r="F86" s="239"/>
      <c r="G86" s="240"/>
      <c r="H86" s="240"/>
      <c r="I86" s="240"/>
      <c r="J86" s="241"/>
    </row>
    <row r="87" spans="1:14" ht="31.5" thickBot="1" x14ac:dyDescent="0.4">
      <c r="A87" s="222"/>
      <c r="B87" s="243"/>
      <c r="C87" s="62" t="s">
        <v>182</v>
      </c>
      <c r="D87" s="119">
        <v>822</v>
      </c>
      <c r="E87" s="120"/>
      <c r="F87" s="239"/>
      <c r="G87" s="240"/>
      <c r="H87" s="240"/>
      <c r="I87" s="240"/>
      <c r="J87" s="241"/>
    </row>
    <row r="88" spans="1:14" ht="16" thickBot="1" x14ac:dyDescent="0.4">
      <c r="A88" s="222"/>
      <c r="B88" s="243"/>
      <c r="C88" s="62" t="s">
        <v>176</v>
      </c>
      <c r="D88" s="130">
        <v>450</v>
      </c>
      <c r="E88" s="120">
        <v>8</v>
      </c>
      <c r="F88" s="239"/>
      <c r="G88" s="240"/>
      <c r="H88" s="240"/>
      <c r="I88" s="240"/>
      <c r="J88" s="241"/>
    </row>
    <row r="89" spans="1:14" ht="16.5" customHeight="1" thickBot="1" x14ac:dyDescent="0.4">
      <c r="A89" s="222"/>
      <c r="B89" s="243"/>
      <c r="C89" s="62" t="s">
        <v>177</v>
      </c>
      <c r="D89" s="130">
        <v>508</v>
      </c>
      <c r="E89" s="120"/>
      <c r="F89" s="239"/>
      <c r="G89" s="240"/>
      <c r="H89" s="240"/>
      <c r="I89" s="240"/>
      <c r="J89" s="241"/>
    </row>
    <row r="90" spans="1:14" ht="18.75" customHeight="1" thickBot="1" x14ac:dyDescent="0.4">
      <c r="A90" s="242">
        <v>23</v>
      </c>
      <c r="B90" s="242">
        <v>219</v>
      </c>
      <c r="C90" s="118" t="s">
        <v>16</v>
      </c>
      <c r="D90" s="61">
        <v>515</v>
      </c>
      <c r="E90" s="120"/>
      <c r="F90" s="236">
        <f t="shared" ref="F90" si="6">D90+D91+D92+D93+D94+D95</f>
        <v>5640</v>
      </c>
      <c r="G90" s="237"/>
      <c r="H90" s="237"/>
      <c r="I90" s="237"/>
      <c r="J90" s="238"/>
    </row>
    <row r="91" spans="1:14" ht="16" thickBot="1" x14ac:dyDescent="0.4">
      <c r="A91" s="243"/>
      <c r="B91" s="243"/>
      <c r="C91" s="62" t="s">
        <v>17</v>
      </c>
      <c r="D91" s="61">
        <f>D85+150</f>
        <v>2707</v>
      </c>
      <c r="E91" s="120">
        <v>8</v>
      </c>
      <c r="F91" s="239"/>
      <c r="G91" s="240"/>
      <c r="H91" s="240"/>
      <c r="I91" s="240"/>
      <c r="J91" s="241"/>
    </row>
    <row r="92" spans="1:14" ht="16" thickBot="1" x14ac:dyDescent="0.4">
      <c r="A92" s="243"/>
      <c r="B92" s="243"/>
      <c r="C92" s="62" t="s">
        <v>181</v>
      </c>
      <c r="D92" s="119">
        <v>638</v>
      </c>
      <c r="E92" s="120"/>
      <c r="F92" s="239"/>
      <c r="G92" s="240"/>
      <c r="H92" s="240"/>
      <c r="I92" s="240"/>
      <c r="J92" s="241"/>
    </row>
    <row r="93" spans="1:14" ht="31.5" thickBot="1" x14ac:dyDescent="0.4">
      <c r="A93" s="243"/>
      <c r="B93" s="243"/>
      <c r="C93" s="62" t="s">
        <v>182</v>
      </c>
      <c r="D93" s="119">
        <v>822</v>
      </c>
      <c r="E93" s="120"/>
      <c r="F93" s="239"/>
      <c r="G93" s="240"/>
      <c r="H93" s="240"/>
      <c r="I93" s="240"/>
      <c r="J93" s="241"/>
    </row>
    <row r="94" spans="1:14" ht="16" thickBot="1" x14ac:dyDescent="0.4">
      <c r="A94" s="243"/>
      <c r="B94" s="243"/>
      <c r="C94" s="62" t="s">
        <v>176</v>
      </c>
      <c r="D94" s="130">
        <v>450</v>
      </c>
      <c r="E94" s="120">
        <v>8</v>
      </c>
      <c r="F94" s="239"/>
      <c r="G94" s="240"/>
      <c r="H94" s="240"/>
      <c r="I94" s="240"/>
      <c r="J94" s="241"/>
    </row>
    <row r="95" spans="1:14" ht="16.5" customHeight="1" thickBot="1" x14ac:dyDescent="0.4">
      <c r="A95" s="243"/>
      <c r="B95" s="243"/>
      <c r="C95" s="62" t="s">
        <v>177</v>
      </c>
      <c r="D95" s="130">
        <v>508</v>
      </c>
      <c r="E95" s="120"/>
      <c r="F95" s="239"/>
      <c r="G95" s="240"/>
      <c r="H95" s="240"/>
      <c r="I95" s="240"/>
      <c r="J95" s="241"/>
      <c r="N95" s="134"/>
    </row>
    <row r="96" spans="1:14" ht="16.5" customHeight="1" x14ac:dyDescent="0.35">
      <c r="A96" s="135"/>
      <c r="B96" s="135"/>
      <c r="C96" s="68"/>
      <c r="D96" s="136"/>
      <c r="E96" s="137"/>
      <c r="F96" s="114"/>
      <c r="G96" s="114"/>
      <c r="H96" s="114"/>
      <c r="I96" s="114"/>
      <c r="J96" s="114"/>
    </row>
    <row r="97" spans="1:14" ht="16" thickBot="1" x14ac:dyDescent="0.4">
      <c r="A97" s="244" t="s">
        <v>183</v>
      </c>
      <c r="B97" s="244"/>
      <c r="C97" s="244"/>
      <c r="D97" s="244"/>
      <c r="E97" s="244"/>
      <c r="F97" s="244"/>
      <c r="G97" s="96"/>
      <c r="H97" s="96"/>
      <c r="I97" s="96"/>
      <c r="J97" s="96"/>
      <c r="M97" s="138"/>
    </row>
    <row r="98" spans="1:14" ht="15.5" x14ac:dyDescent="0.35">
      <c r="A98" s="245" t="s">
        <v>93</v>
      </c>
      <c r="B98" s="56" t="s">
        <v>94</v>
      </c>
      <c r="C98" s="247" t="s">
        <v>96</v>
      </c>
      <c r="D98" s="249" t="s">
        <v>97</v>
      </c>
      <c r="E98" s="249" t="s">
        <v>98</v>
      </c>
      <c r="F98" s="251" t="s">
        <v>99</v>
      </c>
      <c r="G98" s="96"/>
      <c r="H98" s="96"/>
      <c r="I98" s="96"/>
      <c r="J98" s="96"/>
    </row>
    <row r="99" spans="1:14" ht="16" thickBot="1" x14ac:dyDescent="0.4">
      <c r="A99" s="246"/>
      <c r="B99" s="57" t="s">
        <v>95</v>
      </c>
      <c r="C99" s="248"/>
      <c r="D99" s="250"/>
      <c r="E99" s="250"/>
      <c r="F99" s="252"/>
      <c r="G99" s="96"/>
      <c r="H99" s="96"/>
      <c r="I99" s="96"/>
      <c r="J99" s="96"/>
    </row>
    <row r="100" spans="1:14" ht="16" hidden="1" thickBot="1" x14ac:dyDescent="0.4">
      <c r="A100" s="115" t="s">
        <v>100</v>
      </c>
      <c r="B100" s="139" t="s">
        <v>100</v>
      </c>
      <c r="C100" s="62" t="s">
        <v>16</v>
      </c>
      <c r="D100" s="61">
        <v>258</v>
      </c>
      <c r="E100" s="61">
        <v>0</v>
      </c>
      <c r="F100" s="140" t="s">
        <v>100</v>
      </c>
      <c r="G100" s="96"/>
      <c r="H100" s="96"/>
      <c r="I100" s="96"/>
      <c r="J100" s="96"/>
    </row>
    <row r="101" spans="1:14" ht="16" hidden="1" thickBot="1" x14ac:dyDescent="0.4">
      <c r="A101" s="115" t="s">
        <v>100</v>
      </c>
      <c r="B101" s="139" t="s">
        <v>100</v>
      </c>
      <c r="C101" s="62" t="s">
        <v>17</v>
      </c>
      <c r="D101" s="141">
        <v>619</v>
      </c>
      <c r="E101" s="61">
        <v>8</v>
      </c>
      <c r="F101" s="140" t="s">
        <v>100</v>
      </c>
      <c r="G101" s="96"/>
      <c r="H101" s="96"/>
      <c r="I101" s="96"/>
      <c r="J101" s="96"/>
    </row>
    <row r="102" spans="1:14" ht="16" hidden="1" thickBot="1" x14ac:dyDescent="0.4">
      <c r="A102" s="115">
        <v>9</v>
      </c>
      <c r="B102" s="139">
        <v>372</v>
      </c>
      <c r="C102" s="62" t="s">
        <v>18</v>
      </c>
      <c r="D102" s="63">
        <v>389</v>
      </c>
      <c r="E102" s="61">
        <v>0</v>
      </c>
      <c r="F102" s="140">
        <v>1.6779999999999999</v>
      </c>
      <c r="G102" s="96"/>
      <c r="H102" s="96"/>
      <c r="I102" s="96"/>
      <c r="J102" s="96"/>
    </row>
    <row r="103" spans="1:14" ht="31.5" hidden="1" thickBot="1" x14ac:dyDescent="0.4">
      <c r="A103" s="59"/>
      <c r="B103" s="61"/>
      <c r="C103" s="62" t="s">
        <v>184</v>
      </c>
      <c r="D103" s="63">
        <v>412</v>
      </c>
      <c r="E103" s="61">
        <v>3.79</v>
      </c>
      <c r="F103" s="142"/>
      <c r="G103" s="96"/>
      <c r="H103" s="143"/>
      <c r="I103" s="96"/>
      <c r="J103" s="96"/>
    </row>
    <row r="104" spans="1:14" ht="16" thickBot="1" x14ac:dyDescent="0.4">
      <c r="A104" s="115" t="s">
        <v>100</v>
      </c>
      <c r="B104" s="139" t="s">
        <v>100</v>
      </c>
      <c r="C104" s="62" t="s">
        <v>16</v>
      </c>
      <c r="D104" s="61">
        <v>547</v>
      </c>
      <c r="E104" s="61">
        <v>0</v>
      </c>
      <c r="F104" s="60" t="s">
        <v>100</v>
      </c>
      <c r="G104" s="96"/>
      <c r="H104" s="96"/>
      <c r="I104" s="96"/>
      <c r="J104" s="96"/>
    </row>
    <row r="105" spans="1:14" ht="16" thickBot="1" x14ac:dyDescent="0.4">
      <c r="A105" s="115" t="s">
        <v>100</v>
      </c>
      <c r="B105" s="139" t="s">
        <v>100</v>
      </c>
      <c r="C105" s="62" t="s">
        <v>17</v>
      </c>
      <c r="D105" s="61">
        <v>770</v>
      </c>
      <c r="E105" s="61">
        <v>8</v>
      </c>
      <c r="F105" s="60" t="s">
        <v>100</v>
      </c>
      <c r="G105" s="96"/>
      <c r="H105" s="96"/>
      <c r="I105" s="96"/>
      <c r="J105" s="96"/>
    </row>
    <row r="106" spans="1:14" ht="16" thickBot="1" x14ac:dyDescent="0.4">
      <c r="A106" s="115">
        <v>10</v>
      </c>
      <c r="B106" s="139">
        <v>360</v>
      </c>
      <c r="C106" s="62" t="s">
        <v>18</v>
      </c>
      <c r="D106" s="63">
        <v>389</v>
      </c>
      <c r="E106" s="61">
        <v>0</v>
      </c>
      <c r="F106" s="60">
        <v>1.8220000000000001</v>
      </c>
      <c r="G106" s="96"/>
      <c r="H106" s="96"/>
      <c r="I106" s="96"/>
      <c r="J106" s="96"/>
    </row>
    <row r="107" spans="1:14" ht="31.5" thickBot="1" x14ac:dyDescent="0.4">
      <c r="A107" s="59"/>
      <c r="B107" s="61"/>
      <c r="C107" s="62" t="s">
        <v>184</v>
      </c>
      <c r="D107" s="63">
        <v>412</v>
      </c>
      <c r="E107" s="61">
        <v>3.79</v>
      </c>
      <c r="F107" s="61"/>
      <c r="G107" s="96"/>
      <c r="H107" s="96"/>
      <c r="I107" s="96"/>
      <c r="J107" s="96"/>
    </row>
    <row r="108" spans="1:14" ht="16" thickBot="1" x14ac:dyDescent="0.4">
      <c r="A108" s="115" t="s">
        <v>100</v>
      </c>
      <c r="B108" s="139" t="s">
        <v>100</v>
      </c>
      <c r="C108" s="62" t="s">
        <v>16</v>
      </c>
      <c r="D108" s="61">
        <v>663</v>
      </c>
      <c r="E108" s="61">
        <v>0</v>
      </c>
      <c r="F108" s="60" t="s">
        <v>100</v>
      </c>
      <c r="G108" s="96"/>
      <c r="H108" s="96"/>
      <c r="I108" s="96"/>
      <c r="J108" s="96"/>
    </row>
    <row r="109" spans="1:14" ht="16" thickBot="1" x14ac:dyDescent="0.4">
      <c r="A109" s="115" t="s">
        <v>100</v>
      </c>
      <c r="B109" s="139" t="s">
        <v>100</v>
      </c>
      <c r="C109" s="62" t="s">
        <v>17</v>
      </c>
      <c r="D109" s="61">
        <v>940</v>
      </c>
      <c r="E109" s="61">
        <v>8</v>
      </c>
      <c r="F109" s="60" t="s">
        <v>100</v>
      </c>
      <c r="G109" s="96"/>
      <c r="H109" s="96"/>
      <c r="I109" s="96"/>
      <c r="J109" s="96"/>
    </row>
    <row r="110" spans="1:14" ht="16" thickBot="1" x14ac:dyDescent="0.4">
      <c r="A110" s="115">
        <v>11</v>
      </c>
      <c r="B110" s="139">
        <v>348</v>
      </c>
      <c r="C110" s="62" t="s">
        <v>18</v>
      </c>
      <c r="D110" s="63">
        <v>389</v>
      </c>
      <c r="E110" s="61">
        <v>0</v>
      </c>
      <c r="F110" s="60">
        <v>2.0750000000000002</v>
      </c>
      <c r="G110" s="96"/>
      <c r="H110" s="96"/>
      <c r="I110" s="96"/>
      <c r="J110" s="96"/>
    </row>
    <row r="111" spans="1:14" ht="31.5" thickBot="1" x14ac:dyDescent="0.4">
      <c r="A111" s="59"/>
      <c r="B111" s="61"/>
      <c r="C111" s="62" t="s">
        <v>184</v>
      </c>
      <c r="D111" s="63">
        <v>412</v>
      </c>
      <c r="E111" s="61">
        <v>3.79</v>
      </c>
      <c r="F111" s="61"/>
      <c r="G111" s="96"/>
      <c r="H111" s="96"/>
      <c r="I111" s="96"/>
      <c r="J111" s="96"/>
      <c r="M111" s="138"/>
    </row>
    <row r="112" spans="1:14" ht="16" thickBot="1" x14ac:dyDescent="0.4">
      <c r="A112" s="115" t="s">
        <v>100</v>
      </c>
      <c r="B112" s="139" t="s">
        <v>100</v>
      </c>
      <c r="C112" s="62" t="s">
        <v>16</v>
      </c>
      <c r="D112" s="61">
        <v>697</v>
      </c>
      <c r="E112" s="61">
        <v>0</v>
      </c>
      <c r="F112" s="60" t="s">
        <v>100</v>
      </c>
      <c r="G112" s="96"/>
      <c r="H112" s="96"/>
      <c r="I112" s="96"/>
      <c r="J112" s="96"/>
      <c r="N112" s="134"/>
    </row>
    <row r="113" spans="1:15" ht="16" thickBot="1" x14ac:dyDescent="0.4">
      <c r="A113" s="115" t="s">
        <v>100</v>
      </c>
      <c r="B113" s="139" t="s">
        <v>100</v>
      </c>
      <c r="C113" s="62" t="s">
        <v>17</v>
      </c>
      <c r="D113" s="61">
        <v>1091</v>
      </c>
      <c r="E113" s="61">
        <v>8</v>
      </c>
      <c r="F113" s="60"/>
      <c r="G113" s="96"/>
      <c r="H113" s="96"/>
      <c r="I113" s="96"/>
      <c r="J113" s="96"/>
    </row>
    <row r="114" spans="1:15" ht="16" thickBot="1" x14ac:dyDescent="0.4">
      <c r="A114" s="115">
        <v>12</v>
      </c>
      <c r="B114" s="139">
        <v>336</v>
      </c>
      <c r="C114" s="62" t="s">
        <v>18</v>
      </c>
      <c r="D114" s="63">
        <v>389</v>
      </c>
      <c r="E114" s="61">
        <v>0</v>
      </c>
      <c r="F114" s="60">
        <f>SUM(D112:D115)</f>
        <v>2589</v>
      </c>
      <c r="G114" s="96"/>
      <c r="H114" s="96"/>
      <c r="I114" s="96"/>
      <c r="J114" s="96"/>
    </row>
    <row r="115" spans="1:15" ht="31.5" thickBot="1" x14ac:dyDescent="0.4">
      <c r="A115" s="59"/>
      <c r="B115" s="61"/>
      <c r="C115" s="62" t="s">
        <v>184</v>
      </c>
      <c r="D115" s="63">
        <v>412</v>
      </c>
      <c r="E115" s="61" t="s">
        <v>185</v>
      </c>
      <c r="F115" s="61"/>
      <c r="G115" s="96"/>
      <c r="H115" s="96"/>
      <c r="I115" s="96"/>
      <c r="J115" s="96"/>
    </row>
    <row r="116" spans="1:15" ht="16" thickBot="1" x14ac:dyDescent="0.4">
      <c r="A116" s="115" t="s">
        <v>100</v>
      </c>
      <c r="B116" s="139" t="s">
        <v>100</v>
      </c>
      <c r="C116" s="62" t="s">
        <v>16</v>
      </c>
      <c r="D116" s="61">
        <v>558</v>
      </c>
      <c r="E116" s="61">
        <v>0</v>
      </c>
      <c r="F116" s="60" t="s">
        <v>100</v>
      </c>
      <c r="G116" s="96"/>
      <c r="H116" s="96"/>
      <c r="I116" s="96"/>
      <c r="J116" s="96"/>
      <c r="O116">
        <f>150*70*12*3.2</f>
        <v>403200</v>
      </c>
    </row>
    <row r="117" spans="1:15" ht="16" thickBot="1" x14ac:dyDescent="0.4">
      <c r="A117" s="115" t="s">
        <v>100</v>
      </c>
      <c r="B117" s="139" t="s">
        <v>100</v>
      </c>
      <c r="C117" s="62" t="s">
        <v>17</v>
      </c>
      <c r="D117" s="61">
        <v>1258</v>
      </c>
      <c r="E117" s="61">
        <v>8</v>
      </c>
      <c r="F117" s="60"/>
      <c r="G117" s="96"/>
      <c r="H117" s="96"/>
      <c r="I117" s="96"/>
      <c r="J117" s="96"/>
    </row>
    <row r="118" spans="1:15" ht="16" thickBot="1" x14ac:dyDescent="0.4">
      <c r="A118" s="115">
        <v>13</v>
      </c>
      <c r="B118" s="139">
        <v>324</v>
      </c>
      <c r="C118" s="62" t="s">
        <v>18</v>
      </c>
      <c r="D118" s="63">
        <v>389</v>
      </c>
      <c r="E118" s="61">
        <v>0</v>
      </c>
      <c r="F118" s="60">
        <f>SUM(D116:D119)</f>
        <v>2617</v>
      </c>
      <c r="G118" s="96"/>
      <c r="H118" s="96"/>
      <c r="I118" s="96"/>
      <c r="J118" s="96"/>
    </row>
    <row r="119" spans="1:15" ht="31.5" thickBot="1" x14ac:dyDescent="0.4">
      <c r="A119" s="59"/>
      <c r="B119" s="61"/>
      <c r="C119" s="62" t="s">
        <v>184</v>
      </c>
      <c r="D119" s="63">
        <v>412</v>
      </c>
      <c r="E119" s="61">
        <v>3.79</v>
      </c>
      <c r="F119" s="61"/>
      <c r="G119" s="96"/>
      <c r="H119" s="96"/>
      <c r="I119" s="96"/>
      <c r="J119" s="96"/>
    </row>
    <row r="120" spans="1:15" ht="16" thickBot="1" x14ac:dyDescent="0.4">
      <c r="A120" s="115" t="s">
        <v>100</v>
      </c>
      <c r="B120" s="139" t="s">
        <v>100</v>
      </c>
      <c r="C120" s="62" t="s">
        <v>16</v>
      </c>
      <c r="D120" s="61">
        <v>486</v>
      </c>
      <c r="E120" s="61">
        <v>0</v>
      </c>
      <c r="F120" s="60" t="s">
        <v>100</v>
      </c>
      <c r="G120" s="96"/>
      <c r="H120" s="96"/>
      <c r="I120" s="96"/>
      <c r="J120" s="96"/>
    </row>
    <row r="121" spans="1:15" ht="16" thickBot="1" x14ac:dyDescent="0.4">
      <c r="A121" s="115" t="s">
        <v>100</v>
      </c>
      <c r="B121" s="139" t="s">
        <v>100</v>
      </c>
      <c r="C121" s="62" t="s">
        <v>17</v>
      </c>
      <c r="D121" s="61">
        <v>1621</v>
      </c>
      <c r="E121" s="61">
        <v>8</v>
      </c>
      <c r="F121" s="60"/>
      <c r="G121" s="96"/>
      <c r="H121" s="96"/>
      <c r="I121" s="96"/>
      <c r="J121" s="96"/>
    </row>
    <row r="122" spans="1:15" ht="16" thickBot="1" x14ac:dyDescent="0.4">
      <c r="A122" s="115">
        <v>14</v>
      </c>
      <c r="B122" s="139">
        <v>309</v>
      </c>
      <c r="C122" s="62" t="s">
        <v>18</v>
      </c>
      <c r="D122" s="63">
        <v>389</v>
      </c>
      <c r="E122" s="61">
        <v>0</v>
      </c>
      <c r="F122" s="60">
        <f>SUM(D120:D123)</f>
        <v>2908</v>
      </c>
      <c r="G122" s="96"/>
      <c r="H122" s="96"/>
      <c r="I122" s="96"/>
      <c r="J122" s="96"/>
    </row>
    <row r="123" spans="1:15" ht="31.5" thickBot="1" x14ac:dyDescent="0.4">
      <c r="A123" s="59"/>
      <c r="B123" s="61"/>
      <c r="C123" s="62" t="s">
        <v>184</v>
      </c>
      <c r="D123" s="63">
        <v>412</v>
      </c>
      <c r="E123" s="61">
        <v>3.79</v>
      </c>
      <c r="F123" s="61"/>
      <c r="G123" s="96"/>
      <c r="H123" s="96"/>
      <c r="I123" s="96"/>
      <c r="J123" s="96"/>
    </row>
    <row r="124" spans="1:15" ht="16" thickBot="1" x14ac:dyDescent="0.4">
      <c r="A124" s="115" t="s">
        <v>100</v>
      </c>
      <c r="B124" s="139" t="s">
        <v>100</v>
      </c>
      <c r="C124" s="62" t="s">
        <v>16</v>
      </c>
      <c r="D124" s="61">
        <v>417</v>
      </c>
      <c r="E124" s="61">
        <v>0</v>
      </c>
      <c r="F124" s="60" t="s">
        <v>100</v>
      </c>
      <c r="G124" s="96"/>
      <c r="H124" s="96"/>
      <c r="I124" s="96"/>
      <c r="J124" s="96"/>
    </row>
    <row r="125" spans="1:15" ht="16" thickBot="1" x14ac:dyDescent="0.4">
      <c r="A125" s="115" t="s">
        <v>100</v>
      </c>
      <c r="B125" s="139" t="s">
        <v>100</v>
      </c>
      <c r="C125" s="62" t="s">
        <v>17</v>
      </c>
      <c r="D125" s="61">
        <v>1771</v>
      </c>
      <c r="E125" s="61">
        <v>8</v>
      </c>
      <c r="F125" s="60"/>
      <c r="G125" s="96"/>
      <c r="H125" s="96"/>
      <c r="I125" s="96"/>
      <c r="J125" s="96"/>
    </row>
    <row r="126" spans="1:15" ht="16" thickBot="1" x14ac:dyDescent="0.4">
      <c r="A126" s="115">
        <v>15</v>
      </c>
      <c r="B126" s="139">
        <v>297</v>
      </c>
      <c r="C126" s="62" t="s">
        <v>18</v>
      </c>
      <c r="D126" s="63">
        <v>389</v>
      </c>
      <c r="E126" s="61">
        <v>0</v>
      </c>
      <c r="F126" s="60">
        <f>SUM(D124:D127)</f>
        <v>2989</v>
      </c>
      <c r="G126" s="96"/>
      <c r="H126" s="96"/>
      <c r="I126" s="96"/>
      <c r="J126" s="96"/>
    </row>
    <row r="127" spans="1:15" ht="31.5" thickBot="1" x14ac:dyDescent="0.4">
      <c r="A127" s="59"/>
      <c r="B127" s="61"/>
      <c r="C127" s="62" t="s">
        <v>184</v>
      </c>
      <c r="D127" s="63">
        <v>412</v>
      </c>
      <c r="E127" s="61">
        <v>3.79</v>
      </c>
      <c r="F127" s="61"/>
      <c r="G127" s="96"/>
      <c r="H127" s="96"/>
      <c r="I127" s="96"/>
      <c r="J127" s="96"/>
    </row>
    <row r="128" spans="1:15" ht="16" thickBot="1" x14ac:dyDescent="0.4">
      <c r="A128" s="115" t="s">
        <v>100</v>
      </c>
      <c r="B128" s="139" t="s">
        <v>100</v>
      </c>
      <c r="C128" s="62" t="s">
        <v>16</v>
      </c>
      <c r="D128" s="61">
        <v>341</v>
      </c>
      <c r="E128" s="61">
        <v>0</v>
      </c>
      <c r="F128" s="60" t="s">
        <v>100</v>
      </c>
      <c r="G128" s="96"/>
      <c r="H128" s="96"/>
      <c r="I128" s="96"/>
      <c r="J128" s="96"/>
    </row>
    <row r="129" spans="1:10" ht="16" thickBot="1" x14ac:dyDescent="0.4">
      <c r="A129" s="115" t="s">
        <v>100</v>
      </c>
      <c r="B129" s="139" t="s">
        <v>100</v>
      </c>
      <c r="C129" s="62" t="s">
        <v>17</v>
      </c>
      <c r="D129" s="63">
        <v>1963</v>
      </c>
      <c r="E129" s="61">
        <v>8</v>
      </c>
      <c r="F129" s="60"/>
      <c r="G129" s="96"/>
      <c r="H129" s="96"/>
      <c r="I129" s="96"/>
      <c r="J129" s="96"/>
    </row>
    <row r="130" spans="1:10" ht="16" thickBot="1" x14ac:dyDescent="0.4">
      <c r="A130" s="115">
        <v>16</v>
      </c>
      <c r="B130" s="139">
        <v>282</v>
      </c>
      <c r="C130" s="62" t="s">
        <v>18</v>
      </c>
      <c r="D130" s="63">
        <v>389</v>
      </c>
      <c r="E130" s="61">
        <v>0</v>
      </c>
      <c r="F130" s="60">
        <f>SUM(D128:D131)</f>
        <v>3105</v>
      </c>
      <c r="G130" s="96"/>
      <c r="H130" s="96"/>
      <c r="I130" s="96"/>
      <c r="J130" s="96"/>
    </row>
    <row r="131" spans="1:10" ht="31.5" thickBot="1" x14ac:dyDescent="0.4">
      <c r="A131" s="59"/>
      <c r="B131" s="61"/>
      <c r="C131" s="62" t="s">
        <v>184</v>
      </c>
      <c r="D131" s="63">
        <v>412</v>
      </c>
      <c r="E131" s="61">
        <v>3.79</v>
      </c>
      <c r="F131" s="61"/>
      <c r="G131" s="96"/>
      <c r="H131" s="96"/>
      <c r="I131" s="96"/>
      <c r="J131" s="96"/>
    </row>
    <row r="132" spans="1:10" ht="16" thickBot="1" x14ac:dyDescent="0.4">
      <c r="A132" s="115" t="s">
        <v>100</v>
      </c>
      <c r="B132" s="139" t="s">
        <v>100</v>
      </c>
      <c r="C132" s="62" t="s">
        <v>16</v>
      </c>
      <c r="D132" s="63">
        <v>339</v>
      </c>
      <c r="E132" s="61">
        <v>0</v>
      </c>
      <c r="F132" s="60" t="s">
        <v>100</v>
      </c>
      <c r="G132" s="96"/>
      <c r="H132" s="96"/>
      <c r="I132" s="96"/>
      <c r="J132" s="96"/>
    </row>
    <row r="133" spans="1:10" ht="16" thickBot="1" x14ac:dyDescent="0.4">
      <c r="A133" s="115" t="s">
        <v>100</v>
      </c>
      <c r="B133" s="139" t="s">
        <v>100</v>
      </c>
      <c r="C133" s="62" t="s">
        <v>17</v>
      </c>
      <c r="D133" s="63">
        <v>2152</v>
      </c>
      <c r="E133" s="61">
        <v>8</v>
      </c>
      <c r="F133" s="60"/>
      <c r="G133" s="96"/>
      <c r="H133" s="96"/>
      <c r="I133" s="96"/>
      <c r="J133" s="96"/>
    </row>
    <row r="134" spans="1:10" ht="16" thickBot="1" x14ac:dyDescent="0.4">
      <c r="A134" s="115">
        <v>17</v>
      </c>
      <c r="B134" s="139">
        <v>267</v>
      </c>
      <c r="C134" s="62" t="s">
        <v>18</v>
      </c>
      <c r="D134" s="63">
        <v>389</v>
      </c>
      <c r="E134" s="61">
        <v>0</v>
      </c>
      <c r="F134" s="60">
        <f>SUM(D132:D135)</f>
        <v>3292</v>
      </c>
      <c r="G134" s="96"/>
      <c r="H134" s="96"/>
      <c r="I134" s="96"/>
      <c r="J134" s="96"/>
    </row>
    <row r="135" spans="1:10" ht="31.5" thickBot="1" x14ac:dyDescent="0.4">
      <c r="A135" s="59"/>
      <c r="B135" s="61"/>
      <c r="C135" s="62" t="s">
        <v>184</v>
      </c>
      <c r="D135" s="63">
        <v>412</v>
      </c>
      <c r="E135" s="61">
        <v>3.79</v>
      </c>
      <c r="F135" s="61"/>
      <c r="G135" s="96"/>
      <c r="H135" s="96"/>
      <c r="I135" s="96"/>
      <c r="J135" s="96"/>
    </row>
    <row r="136" spans="1:10" ht="16" thickBot="1" x14ac:dyDescent="0.4">
      <c r="A136" s="115" t="s">
        <v>100</v>
      </c>
      <c r="B136" s="139" t="s">
        <v>100</v>
      </c>
      <c r="C136" s="62" t="s">
        <v>16</v>
      </c>
      <c r="D136" s="63">
        <v>366</v>
      </c>
      <c r="E136" s="61">
        <v>0</v>
      </c>
      <c r="F136" s="60" t="s">
        <v>100</v>
      </c>
      <c r="G136" s="96"/>
      <c r="H136" s="96"/>
      <c r="I136" s="96"/>
      <c r="J136" s="96"/>
    </row>
    <row r="137" spans="1:10" ht="16" thickBot="1" x14ac:dyDescent="0.4">
      <c r="A137" s="115" t="s">
        <v>100</v>
      </c>
      <c r="B137" s="139" t="s">
        <v>100</v>
      </c>
      <c r="C137" s="62" t="s">
        <v>17</v>
      </c>
      <c r="D137" s="63">
        <v>2309</v>
      </c>
      <c r="E137" s="61">
        <v>8</v>
      </c>
      <c r="F137" s="60"/>
      <c r="G137" s="96"/>
      <c r="H137" s="96"/>
      <c r="I137" s="96"/>
      <c r="J137" s="96"/>
    </row>
    <row r="138" spans="1:10" ht="16" thickBot="1" x14ac:dyDescent="0.4">
      <c r="A138" s="115">
        <v>18</v>
      </c>
      <c r="B138" s="139">
        <v>255</v>
      </c>
      <c r="C138" s="62" t="s">
        <v>18</v>
      </c>
      <c r="D138" s="63">
        <v>389</v>
      </c>
      <c r="E138" s="61">
        <v>0</v>
      </c>
      <c r="F138" s="60">
        <f>SUM(D136:D139)</f>
        <v>3476</v>
      </c>
      <c r="G138" s="96"/>
      <c r="H138" s="96"/>
      <c r="I138" s="96"/>
      <c r="J138" s="96"/>
    </row>
    <row r="139" spans="1:10" ht="31.5" thickBot="1" x14ac:dyDescent="0.4">
      <c r="A139" s="59"/>
      <c r="B139" s="61"/>
      <c r="C139" s="62" t="s">
        <v>184</v>
      </c>
      <c r="D139" s="63">
        <v>412</v>
      </c>
      <c r="E139" s="61">
        <v>3.79</v>
      </c>
      <c r="F139" s="61"/>
      <c r="G139" s="96"/>
      <c r="H139" s="96"/>
      <c r="I139" s="96"/>
      <c r="J139" s="96"/>
    </row>
    <row r="140" spans="1:10" ht="16" thickBot="1" x14ac:dyDescent="0.4">
      <c r="A140" s="115" t="s">
        <v>100</v>
      </c>
      <c r="B140" s="139" t="s">
        <v>100</v>
      </c>
      <c r="C140" s="62" t="s">
        <v>16</v>
      </c>
      <c r="D140" s="63">
        <v>403</v>
      </c>
      <c r="E140" s="61">
        <v>0</v>
      </c>
      <c r="F140" s="60" t="s">
        <v>100</v>
      </c>
      <c r="G140" s="96"/>
      <c r="H140" s="96"/>
      <c r="I140" s="96"/>
      <c r="J140" s="96"/>
    </row>
    <row r="141" spans="1:10" ht="16" thickBot="1" x14ac:dyDescent="0.4">
      <c r="A141" s="115" t="s">
        <v>100</v>
      </c>
      <c r="B141" s="139" t="s">
        <v>100</v>
      </c>
      <c r="C141" s="62" t="s">
        <v>17</v>
      </c>
      <c r="D141" s="63">
        <v>2457</v>
      </c>
      <c r="E141" s="61">
        <v>8</v>
      </c>
      <c r="F141" s="60" t="s">
        <v>100</v>
      </c>
      <c r="G141" s="96"/>
      <c r="H141" s="96"/>
      <c r="I141" s="96"/>
      <c r="J141" s="96"/>
    </row>
    <row r="142" spans="1:10" ht="16" thickBot="1" x14ac:dyDescent="0.4">
      <c r="A142" s="115">
        <v>19</v>
      </c>
      <c r="B142" s="139">
        <v>243</v>
      </c>
      <c r="C142" s="62" t="s">
        <v>18</v>
      </c>
      <c r="D142" s="63">
        <v>389</v>
      </c>
      <c r="E142" s="61">
        <v>0</v>
      </c>
      <c r="F142" s="60">
        <f>SUM(D140:D143)</f>
        <v>3661</v>
      </c>
      <c r="G142" s="96"/>
      <c r="H142" s="96"/>
      <c r="I142" s="96"/>
      <c r="J142" s="96"/>
    </row>
    <row r="143" spans="1:10" ht="31.5" thickBot="1" x14ac:dyDescent="0.4">
      <c r="A143" s="59"/>
      <c r="B143" s="61"/>
      <c r="C143" s="62" t="s">
        <v>184</v>
      </c>
      <c r="D143" s="63">
        <v>412</v>
      </c>
      <c r="E143" s="61">
        <v>3.79</v>
      </c>
      <c r="F143" s="61"/>
      <c r="G143" s="96"/>
      <c r="H143" s="96"/>
      <c r="I143" s="96"/>
      <c r="J143" s="96"/>
    </row>
    <row r="144" spans="1:10" ht="16" thickBot="1" x14ac:dyDescent="0.4">
      <c r="A144" s="115" t="s">
        <v>100</v>
      </c>
      <c r="B144" s="139" t="s">
        <v>100</v>
      </c>
      <c r="C144" s="62" t="s">
        <v>16</v>
      </c>
      <c r="D144" s="63">
        <v>453</v>
      </c>
      <c r="E144" s="61">
        <v>0</v>
      </c>
      <c r="F144" s="60" t="s">
        <v>100</v>
      </c>
    </row>
    <row r="145" spans="1:6" ht="16" thickBot="1" x14ac:dyDescent="0.4">
      <c r="A145" s="115" t="s">
        <v>100</v>
      </c>
      <c r="B145" s="139" t="s">
        <v>100</v>
      </c>
      <c r="C145" s="62" t="s">
        <v>17</v>
      </c>
      <c r="D145" s="63">
        <v>2621</v>
      </c>
      <c r="E145" s="61">
        <v>8</v>
      </c>
      <c r="F145" s="60" t="s">
        <v>100</v>
      </c>
    </row>
    <row r="146" spans="1:6" ht="16" thickBot="1" x14ac:dyDescent="0.4">
      <c r="A146" s="115">
        <v>20</v>
      </c>
      <c r="B146" s="139">
        <v>231</v>
      </c>
      <c r="C146" s="62" t="s">
        <v>18</v>
      </c>
      <c r="D146" s="63">
        <v>389</v>
      </c>
      <c r="E146" s="61">
        <v>0</v>
      </c>
      <c r="F146" s="60">
        <f>SUM(D144:D147)</f>
        <v>3875</v>
      </c>
    </row>
    <row r="147" spans="1:6" ht="31.5" thickBot="1" x14ac:dyDescent="0.4">
      <c r="A147" s="59"/>
      <c r="B147" s="61"/>
      <c r="C147" s="62" t="s">
        <v>184</v>
      </c>
      <c r="D147" s="63">
        <v>412</v>
      </c>
      <c r="E147" s="61">
        <v>3.79</v>
      </c>
      <c r="F147" s="61"/>
    </row>
    <row r="148" spans="1:6" ht="16" thickBot="1" x14ac:dyDescent="0.4">
      <c r="A148" s="115" t="s">
        <v>100</v>
      </c>
      <c r="B148" s="139" t="s">
        <v>100</v>
      </c>
      <c r="C148" s="62" t="s">
        <v>16</v>
      </c>
      <c r="D148" s="63">
        <v>481</v>
      </c>
      <c r="E148" s="61">
        <v>0</v>
      </c>
      <c r="F148" s="60" t="s">
        <v>100</v>
      </c>
    </row>
    <row r="149" spans="1:6" ht="16" thickBot="1" x14ac:dyDescent="0.4">
      <c r="A149" s="115" t="s">
        <v>100</v>
      </c>
      <c r="B149" s="139" t="s">
        <v>100</v>
      </c>
      <c r="C149" s="62" t="s">
        <v>17</v>
      </c>
      <c r="D149" s="63">
        <v>2763</v>
      </c>
      <c r="E149" s="61">
        <v>8</v>
      </c>
      <c r="F149" s="60" t="s">
        <v>100</v>
      </c>
    </row>
    <row r="150" spans="1:6" ht="16" thickBot="1" x14ac:dyDescent="0.4">
      <c r="A150" s="115">
        <v>21</v>
      </c>
      <c r="B150" s="139">
        <v>219</v>
      </c>
      <c r="C150" s="62" t="s">
        <v>18</v>
      </c>
      <c r="D150" s="63">
        <v>389</v>
      </c>
      <c r="E150" s="61">
        <v>0</v>
      </c>
      <c r="F150" s="60">
        <f>SUM(D148:D151)</f>
        <v>4045</v>
      </c>
    </row>
    <row r="151" spans="1:6" ht="31.5" thickBot="1" x14ac:dyDescent="0.4">
      <c r="A151" s="59"/>
      <c r="B151" s="61"/>
      <c r="C151" s="62" t="s">
        <v>184</v>
      </c>
      <c r="D151" s="63">
        <v>412</v>
      </c>
      <c r="E151" s="61">
        <v>3.79</v>
      </c>
      <c r="F151" s="61"/>
    </row>
    <row r="152" spans="1:6" ht="16" thickBot="1" x14ac:dyDescent="0.4">
      <c r="A152" s="115" t="s">
        <v>100</v>
      </c>
      <c r="B152" s="139" t="s">
        <v>100</v>
      </c>
      <c r="C152" s="62" t="s">
        <v>16</v>
      </c>
      <c r="D152" s="63">
        <v>517</v>
      </c>
      <c r="E152" s="61">
        <v>0</v>
      </c>
      <c r="F152" s="60" t="s">
        <v>100</v>
      </c>
    </row>
    <row r="153" spans="1:6" ht="16" thickBot="1" x14ac:dyDescent="0.4">
      <c r="A153" s="115" t="s">
        <v>100</v>
      </c>
      <c r="B153" s="139" t="s">
        <v>100</v>
      </c>
      <c r="C153" s="62" t="s">
        <v>17</v>
      </c>
      <c r="D153" s="63">
        <v>2919</v>
      </c>
      <c r="E153" s="61">
        <v>8</v>
      </c>
      <c r="F153" s="60" t="s">
        <v>100</v>
      </c>
    </row>
    <row r="154" spans="1:6" ht="16" thickBot="1" x14ac:dyDescent="0.4">
      <c r="A154" s="115">
        <v>22</v>
      </c>
      <c r="B154" s="139">
        <v>207</v>
      </c>
      <c r="C154" s="62" t="s">
        <v>18</v>
      </c>
      <c r="D154" s="63">
        <v>389</v>
      </c>
      <c r="E154" s="61">
        <v>0</v>
      </c>
      <c r="F154" s="60">
        <f>SUM(D152:D155)</f>
        <v>4237</v>
      </c>
    </row>
    <row r="155" spans="1:6" ht="31.5" thickBot="1" x14ac:dyDescent="0.4">
      <c r="A155" s="59"/>
      <c r="B155" s="61"/>
      <c r="C155" s="62" t="s">
        <v>184</v>
      </c>
      <c r="D155" s="63">
        <v>412</v>
      </c>
      <c r="E155" s="61">
        <v>3.79</v>
      </c>
      <c r="F155" s="61"/>
    </row>
    <row r="156" spans="1:6" ht="16" thickBot="1" x14ac:dyDescent="0.4">
      <c r="A156" s="115" t="s">
        <v>100</v>
      </c>
      <c r="B156" s="139" t="s">
        <v>100</v>
      </c>
      <c r="C156" s="62" t="s">
        <v>16</v>
      </c>
      <c r="D156" s="63">
        <v>515</v>
      </c>
      <c r="E156" s="61">
        <v>0</v>
      </c>
      <c r="F156" s="60" t="s">
        <v>100</v>
      </c>
    </row>
    <row r="157" spans="1:6" ht="16" thickBot="1" x14ac:dyDescent="0.4">
      <c r="A157" s="115" t="s">
        <v>100</v>
      </c>
      <c r="B157" s="139" t="s">
        <v>100</v>
      </c>
      <c r="C157" s="62" t="s">
        <v>17</v>
      </c>
      <c r="D157" s="63">
        <v>3063</v>
      </c>
      <c r="E157" s="61">
        <v>8</v>
      </c>
      <c r="F157" s="60" t="s">
        <v>100</v>
      </c>
    </row>
    <row r="158" spans="1:6" ht="16" thickBot="1" x14ac:dyDescent="0.4">
      <c r="A158" s="115">
        <v>23</v>
      </c>
      <c r="B158" s="139">
        <v>195</v>
      </c>
      <c r="C158" s="62" t="s">
        <v>18</v>
      </c>
      <c r="D158" s="63">
        <v>389</v>
      </c>
      <c r="E158" s="61">
        <v>0</v>
      </c>
      <c r="F158" s="60">
        <f>SUM(D156:D159)</f>
        <v>4379</v>
      </c>
    </row>
    <row r="159" spans="1:6" ht="31.5" thickBot="1" x14ac:dyDescent="0.4">
      <c r="A159" s="59"/>
      <c r="B159" s="61"/>
      <c r="C159" s="62" t="s">
        <v>184</v>
      </c>
      <c r="D159" s="63">
        <v>412</v>
      </c>
      <c r="E159" s="61">
        <v>3.79</v>
      </c>
      <c r="F159" s="61"/>
    </row>
    <row r="164" spans="3:6" ht="15" thickBot="1" x14ac:dyDescent="0.4"/>
    <row r="165" spans="3:6" x14ac:dyDescent="0.35">
      <c r="C165" s="144" t="s">
        <v>186</v>
      </c>
      <c r="D165" s="145" t="s">
        <v>187</v>
      </c>
      <c r="E165" s="146" t="s">
        <v>188</v>
      </c>
      <c r="F165" s="147"/>
    </row>
    <row r="166" spans="3:6" ht="15" thickBot="1" x14ac:dyDescent="0.4">
      <c r="C166" s="148"/>
      <c r="D166" s="149"/>
      <c r="E166" s="149" t="s">
        <v>189</v>
      </c>
      <c r="F166" s="150"/>
    </row>
    <row r="167" spans="3:6" x14ac:dyDescent="0.35">
      <c r="C167" s="49" t="s">
        <v>188</v>
      </c>
      <c r="D167" s="49">
        <v>12</v>
      </c>
    </row>
    <row r="168" spans="3:6" x14ac:dyDescent="0.35">
      <c r="C168" s="49" t="s">
        <v>190</v>
      </c>
      <c r="D168">
        <v>1</v>
      </c>
    </row>
    <row r="169" spans="3:6" x14ac:dyDescent="0.35">
      <c r="C169" s="49" t="s">
        <v>172</v>
      </c>
      <c r="D169" s="49">
        <f>8/100</f>
        <v>0.08</v>
      </c>
    </row>
    <row r="170" spans="3:6" x14ac:dyDescent="0.35">
      <c r="E170">
        <f>D167*D168/D169</f>
        <v>150</v>
      </c>
    </row>
  </sheetData>
  <mergeCells count="55">
    <mergeCell ref="A97:F97"/>
    <mergeCell ref="A98:A99"/>
    <mergeCell ref="C98:C99"/>
    <mergeCell ref="D98:D99"/>
    <mergeCell ref="E98:E99"/>
    <mergeCell ref="F98:F99"/>
    <mergeCell ref="A84:A89"/>
    <mergeCell ref="B84:B89"/>
    <mergeCell ref="F84:J89"/>
    <mergeCell ref="A90:A95"/>
    <mergeCell ref="B90:B95"/>
    <mergeCell ref="F90:J95"/>
    <mergeCell ref="A72:A77"/>
    <mergeCell ref="B72:B77"/>
    <mergeCell ref="F72:J77"/>
    <mergeCell ref="A78:A83"/>
    <mergeCell ref="B78:B83"/>
    <mergeCell ref="F78:J83"/>
    <mergeCell ref="A60:A65"/>
    <mergeCell ref="B60:B65"/>
    <mergeCell ref="F60:J65"/>
    <mergeCell ref="A66:A71"/>
    <mergeCell ref="B66:B71"/>
    <mergeCell ref="F66:J71"/>
    <mergeCell ref="A48:A53"/>
    <mergeCell ref="B48:B53"/>
    <mergeCell ref="F48:J53"/>
    <mergeCell ref="A54:A59"/>
    <mergeCell ref="B54:B59"/>
    <mergeCell ref="F54:J59"/>
    <mergeCell ref="A36:A41"/>
    <mergeCell ref="B36:B41"/>
    <mergeCell ref="F36:J41"/>
    <mergeCell ref="A42:A47"/>
    <mergeCell ref="B42:B47"/>
    <mergeCell ref="F42:J47"/>
    <mergeCell ref="A24:A29"/>
    <mergeCell ref="B24:B29"/>
    <mergeCell ref="F24:J29"/>
    <mergeCell ref="A30:A35"/>
    <mergeCell ref="B30:B35"/>
    <mergeCell ref="F30:J35"/>
    <mergeCell ref="A12:A17"/>
    <mergeCell ref="B12:B17"/>
    <mergeCell ref="F12:J17"/>
    <mergeCell ref="A18:A23"/>
    <mergeCell ref="B18:B23"/>
    <mergeCell ref="F18:J23"/>
    <mergeCell ref="F1:J1"/>
    <mergeCell ref="A2:A6"/>
    <mergeCell ref="B2:B6"/>
    <mergeCell ref="F2:J6"/>
    <mergeCell ref="A7:A11"/>
    <mergeCell ref="B7:B11"/>
    <mergeCell ref="F7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Production</vt:lpstr>
      <vt:lpstr>schedule</vt:lpstr>
      <vt:lpstr>Haul routes</vt:lpstr>
      <vt:lpstr>scoringroutes</vt:lpstr>
      <vt:lpstr>Princing Schedule</vt:lpstr>
      <vt:lpstr>Princing Schedule (2)</vt:lpstr>
      <vt:lpstr>Princing Schedule  A</vt:lpstr>
      <vt:lpstr>Pricing Schedule B</vt:lpstr>
      <vt:lpstr>North Pit Hauling</vt:lpstr>
      <vt:lpstr>scoring sheet - 200t</vt:lpstr>
      <vt:lpstr>'Haul routes'!_Hlk160527048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Mashudu Tlhatlhetji</dc:creator>
  <cp:lastModifiedBy>Silindile Ngcobo</cp:lastModifiedBy>
  <dcterms:created xsi:type="dcterms:W3CDTF">2025-03-25T11:24:17Z</dcterms:created>
  <dcterms:modified xsi:type="dcterms:W3CDTF">2026-08-12T08:20:51Z</dcterms:modified>
</cp:coreProperties>
</file>