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anral-my.sharepoint.com/personal/kinge_sanral_co_za/Documents/SANRAL Projects/GP2026_001_68120_2004/STAGE 0 - PROJECT ADMINISTRATION/3. Procurement/3.1. Consultants/3.1.2. Tender Documents/3.1.2.1. Documents/"/>
    </mc:Choice>
  </mc:AlternateContent>
  <xr:revisionPtr revIDLastSave="94" documentId="8_{61BA7548-01F4-41E9-8C21-46CEDCDDD476}" xr6:coauthVersionLast="47" xr6:coauthVersionMax="47" xr10:uidLastSave="{C3DF7DF4-4486-46A9-AF28-03CAC1C737F0}"/>
  <workbookProtection workbookAlgorithmName="SHA-512" workbookHashValue="gwCJ/gbUSipu1eV4cPyOkAmv7gGn+n4mPSjpk0gPt8tZ7kp3RvJ2L2zn+5S0yTEYRhEI7vbFkHYxjlU0LBlxVw==" workbookSaltValue="JoHdCmdrsp+VGXCcYQ9I8A==" workbookSpinCount="100000" lockStructure="1"/>
  <bookViews>
    <workbookView xWindow="28680" yWindow="-120" windowWidth="29040" windowHeight="15720" tabRatio="787" xr2:uid="{00000000-000D-0000-FFFF-FFFF00000000}"/>
  </bookViews>
  <sheets>
    <sheet name="SERVICE PROVIDER INPUT DATA" sheetId="50" r:id="rId1"/>
    <sheet name="Notes" sheetId="23" state="hidden" r:id="rId2"/>
    <sheet name="F1 Forecast Combined" sheetId="24" state="hidden" r:id="rId3"/>
    <sheet name="F1 Forecast Serivce Provider" sheetId="47" state="hidden" r:id="rId4"/>
    <sheet name="F1 Forecast Contractor" sheetId="46" state="hidden" r:id="rId5"/>
    <sheet name="F1  Cover" sheetId="25" state="hidden" r:id="rId6"/>
    <sheet name="Pg 1 Payment" sheetId="26" state="hidden" r:id="rId7"/>
    <sheet name="Pg 2 Sum Scheduled" sheetId="27" state="hidden" r:id="rId8"/>
    <sheet name="Pg 3 Travel" sheetId="28" state="hidden" r:id="rId9"/>
    <sheet name="Travel History" sheetId="52" state="hidden" r:id="rId10"/>
    <sheet name="Pg 4 P Sums" sheetId="29" state="hidden" r:id="rId11"/>
    <sheet name="Pg 5 Add. Duties" sheetId="30" state="hidden" r:id="rId12"/>
    <sheet name="Pg 6 WAF with CPI" sheetId="31" state="hidden" r:id="rId13"/>
    <sheet name="Pg 7 WAF No CPI" sheetId="32" state="hidden" r:id="rId14"/>
    <sheet name="Pg 8 Penalties" sheetId="33" state="hidden" r:id="rId15"/>
    <sheet name="Pg 9 CPI" sheetId="34" state="hidden" r:id="rId16"/>
    <sheet name="1200" sheetId="35" state="hidden" r:id="rId17"/>
    <sheet name="1300" sheetId="36" state="hidden" r:id="rId18"/>
    <sheet name="1500" sheetId="37" state="hidden" r:id="rId19"/>
    <sheet name="2100" sheetId="38" state="hidden" r:id="rId20"/>
    <sheet name="2200" sheetId="39" state="hidden" r:id="rId21"/>
    <sheet name="2300" sheetId="40" state="hidden" r:id="rId22"/>
    <sheet name="Travel Log" sheetId="43" state="hidden" r:id="rId23"/>
    <sheet name="3100" sheetId="53" state="hidden" r:id="rId24"/>
    <sheet name="3300" sheetId="54" state="hidden" r:id="rId25"/>
    <sheet name="Pricing Schedule" sheetId="51" r:id="rId26"/>
    <sheet name="DATA" sheetId="3" state="hidden" r:id="rId27"/>
  </sheets>
  <externalReferences>
    <externalReference r:id="rId28"/>
  </externalReferences>
  <definedNames>
    <definedName name="_Toc129491471" localSheetId="25">'Pricing Schedule'!$A$6</definedName>
    <definedName name="_Toc129491882" localSheetId="25">'Pricing Schedule'!$A$6</definedName>
    <definedName name="_Toc396298216" localSheetId="25">'Pricing Schedule'!$A$95</definedName>
    <definedName name="MarkupCost">'[1]Break down'!$L$5</definedName>
    <definedName name="MarkupExternal">'[1]Break down'!$L$6</definedName>
    <definedName name="OLE_LINK1" localSheetId="8">'Pg 3 Travel'!$A$34</definedName>
    <definedName name="_xlnm.Print_Area" localSheetId="5">'F1  Cover'!$A$1:$P$49</definedName>
    <definedName name="_xlnm.Print_Area" localSheetId="2">'F1 Forecast Combined'!$A$1:$F$124</definedName>
    <definedName name="_xlnm.Print_Area" localSheetId="4">'F1 Forecast Contractor'!$A$1:$F$124</definedName>
    <definedName name="_xlnm.Print_Area" localSheetId="3">'F1 Forecast Serivce Provider'!$A$1:$F$124</definedName>
    <definedName name="_xlnm.Print_Area" localSheetId="6">'Pg 1 Payment'!$A$1:$L$39</definedName>
    <definedName name="_xlnm.Print_Area" localSheetId="15">'Pg 9 CPI'!$A$1:$N$48</definedName>
    <definedName name="_xlnm.Print_Area" localSheetId="22">'Travel Log'!$A$1:$H$46</definedName>
    <definedName name="_xlnm.Print_Titles" localSheetId="17">'1300'!$1:$6</definedName>
    <definedName name="_xlnm.Print_Titles" localSheetId="18">'1500'!$1:$6</definedName>
    <definedName name="_xlnm.Print_Titles" localSheetId="19">'2100'!$1:$6</definedName>
    <definedName name="_xlnm.Print_Titles" localSheetId="20">'2200'!$1:$6</definedName>
    <definedName name="_xlnm.Print_Titles" localSheetId="21">'2300'!$1:$6</definedName>
    <definedName name="_xlnm.Print_Titles" localSheetId="23">'3100'!$1:$6</definedName>
    <definedName name="_xlnm.Print_Titles" localSheetId="24">'3300'!$1:$6</definedName>
    <definedName name="_xlnm.Print_Titles" localSheetId="8">'Pg 3 Travel'!$1:$7</definedName>
    <definedName name="_xlnm.Print_Titles" localSheetId="25">'Pricing Schedule'!$1:$4</definedName>
    <definedName name="_xlnm.Print_Titles" localSheetId="9">'Travel History'!$A:$F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1" i="51" l="1"/>
  <c r="C3" i="51"/>
  <c r="F58" i="51"/>
  <c r="F59" i="51"/>
  <c r="F60" i="51"/>
  <c r="L236" i="29"/>
  <c r="L237" i="29"/>
  <c r="L238" i="29"/>
  <c r="L239" i="29"/>
  <c r="L240" i="29"/>
  <c r="L241" i="29"/>
  <c r="L242" i="29"/>
  <c r="L243" i="29"/>
  <c r="L244" i="29"/>
  <c r="L245" i="29"/>
  <c r="L246" i="29"/>
  <c r="L247" i="29"/>
  <c r="L248" i="29"/>
  <c r="L249" i="29"/>
  <c r="L250" i="29"/>
  <c r="L251" i="29"/>
  <c r="L252" i="29"/>
  <c r="L253" i="29"/>
  <c r="L254" i="29"/>
  <c r="L255" i="29"/>
  <c r="E35" i="47"/>
  <c r="L515" i="29"/>
  <c r="L514" i="29"/>
  <c r="L513" i="29"/>
  <c r="L512" i="29"/>
  <c r="L154" i="29" l="1"/>
  <c r="L260" i="29"/>
  <c r="L290" i="29"/>
  <c r="L216" i="29"/>
  <c r="L355" i="29"/>
  <c r="L421" i="29"/>
  <c r="L122" i="29"/>
  <c r="L389" i="29"/>
  <c r="L388" i="29"/>
  <c r="L323" i="29"/>
  <c r="L554" i="29" l="1"/>
  <c r="L511" i="29"/>
  <c r="B58" i="47"/>
  <c r="L510" i="29" l="1"/>
  <c r="L289" i="29" l="1"/>
  <c r="L153" i="29"/>
  <c r="L258" i="29"/>
  <c r="L259" i="29"/>
  <c r="L288" i="29"/>
  <c r="L91" i="29"/>
  <c r="L90" i="29"/>
  <c r="L185" i="29"/>
  <c r="L215" i="29"/>
  <c r="L420" i="29"/>
  <c r="L354" i="29"/>
  <c r="L121" i="29"/>
  <c r="L387" i="29"/>
  <c r="L322" i="29"/>
  <c r="L509" i="29"/>
  <c r="L419" i="29"/>
  <c r="L386" i="29"/>
  <c r="L353" i="29"/>
  <c r="L321" i="29"/>
  <c r="L257" i="29"/>
  <c r="L256" i="29"/>
  <c r="L214" i="29"/>
  <c r="L184" i="29"/>
  <c r="L152" i="29"/>
  <c r="L120" i="29"/>
  <c r="L89" i="29"/>
  <c r="L508" i="29"/>
  <c r="E48" i="47"/>
  <c r="L183" i="29"/>
  <c r="E57" i="47"/>
  <c r="E56" i="47"/>
  <c r="E55" i="47"/>
  <c r="E54" i="47"/>
  <c r="E53" i="47"/>
  <c r="E52" i="47"/>
  <c r="E51" i="47"/>
  <c r="E50" i="47"/>
  <c r="E49" i="47"/>
  <c r="E47" i="47"/>
  <c r="E46" i="47"/>
  <c r="L326" i="29"/>
  <c r="L320" i="29"/>
  <c r="L151" i="29"/>
  <c r="L287" i="29"/>
  <c r="L213" i="29"/>
  <c r="L418" i="29"/>
  <c r="L352" i="29"/>
  <c r="L119" i="29"/>
  <c r="L385" i="29"/>
  <c r="L555" i="29" l="1"/>
  <c r="L505" i="29" l="1"/>
  <c r="L506" i="29"/>
  <c r="L507" i="29"/>
  <c r="L416" i="29" l="1"/>
  <c r="L417" i="29"/>
  <c r="L384" i="29"/>
  <c r="L351" i="29"/>
  <c r="L319" i="29"/>
  <c r="L318" i="29"/>
  <c r="L286" i="29"/>
  <c r="L212" i="29"/>
  <c r="L182" i="29"/>
  <c r="L149" i="29"/>
  <c r="L150" i="29"/>
  <c r="L118" i="29"/>
  <c r="L88" i="29"/>
  <c r="L211" i="29" l="1"/>
  <c r="L504" i="29" l="1"/>
  <c r="L503" i="29"/>
  <c r="L415" i="29" l="1"/>
  <c r="L383" i="29"/>
  <c r="L350" i="29"/>
  <c r="L317" i="29"/>
  <c r="L285" i="29"/>
  <c r="L181" i="29"/>
  <c r="L148" i="29"/>
  <c r="L117" i="29"/>
  <c r="F53" i="47" l="1"/>
  <c r="F54" i="47"/>
  <c r="F55" i="47"/>
  <c r="F56" i="47"/>
  <c r="F57" i="47"/>
  <c r="F52" i="47" l="1"/>
  <c r="F47" i="47"/>
  <c r="F48" i="47"/>
  <c r="F49" i="47"/>
  <c r="F50" i="47"/>
  <c r="F51" i="47"/>
  <c r="F46" i="47"/>
  <c r="L20" i="34" l="1"/>
  <c r="L502" i="29" l="1"/>
  <c r="L501" i="29"/>
  <c r="L500" i="29"/>
  <c r="L499" i="29"/>
  <c r="L414" i="29" l="1"/>
  <c r="L381" i="29"/>
  <c r="L382" i="29"/>
  <c r="L349" i="29"/>
  <c r="L284" i="29"/>
  <c r="L316" i="29"/>
  <c r="L210" i="29"/>
  <c r="L180" i="29"/>
  <c r="L147" i="29"/>
  <c r="L116" i="29"/>
  <c r="H60" i="47" l="1"/>
  <c r="L496" i="29"/>
  <c r="L497" i="29"/>
  <c r="L498" i="29"/>
  <c r="L413" i="29"/>
  <c r="L380" i="29"/>
  <c r="L348" i="29"/>
  <c r="L315" i="29"/>
  <c r="L283" i="29"/>
  <c r="L209" i="29"/>
  <c r="L179" i="29"/>
  <c r="L115" i="29"/>
  <c r="L146" i="29"/>
  <c r="L86" i="29"/>
  <c r="L87" i="29"/>
  <c r="L495" i="29"/>
  <c r="L494" i="29"/>
  <c r="L493" i="29"/>
  <c r="L492" i="29"/>
  <c r="L491" i="29"/>
  <c r="L412" i="29"/>
  <c r="L379" i="29"/>
  <c r="L347" i="29"/>
  <c r="L314" i="29"/>
  <c r="L282" i="29"/>
  <c r="L208" i="29"/>
  <c r="L178" i="29"/>
  <c r="L145" i="29"/>
  <c r="L114" i="29"/>
  <c r="K13" i="30"/>
  <c r="L13" i="30" s="1"/>
  <c r="L15" i="34"/>
  <c r="N15" i="34" s="1"/>
  <c r="L16" i="34"/>
  <c r="N16" i="34" s="1"/>
  <c r="L17" i="34"/>
  <c r="N17" i="34" s="1"/>
  <c r="L490" i="29"/>
  <c r="L489" i="29"/>
  <c r="L411" i="29"/>
  <c r="L378" i="29"/>
  <c r="L346" i="29"/>
  <c r="L313" i="29"/>
  <c r="L281" i="29"/>
  <c r="L206" i="29"/>
  <c r="L207" i="29"/>
  <c r="L177" i="29"/>
  <c r="L144" i="29"/>
  <c r="L113" i="29"/>
  <c r="L85" i="29"/>
  <c r="L488" i="29"/>
  <c r="L487" i="29"/>
  <c r="L486" i="29"/>
  <c r="L410" i="29"/>
  <c r="L377" i="29"/>
  <c r="L345" i="29"/>
  <c r="L312" i="29"/>
  <c r="L280" i="29"/>
  <c r="L279" i="29"/>
  <c r="L176" i="29"/>
  <c r="L143" i="29"/>
  <c r="L112" i="29"/>
  <c r="L519" i="29"/>
  <c r="L485" i="29"/>
  <c r="L484" i="29"/>
  <c r="L409" i="29"/>
  <c r="L376" i="29"/>
  <c r="L375" i="29"/>
  <c r="L344" i="29"/>
  <c r="L311" i="29"/>
  <c r="L205" i="29"/>
  <c r="L175" i="29"/>
  <c r="L142" i="29"/>
  <c r="L111" i="29"/>
  <c r="L84" i="29"/>
  <c r="L483" i="29"/>
  <c r="L482" i="29"/>
  <c r="L204" i="29"/>
  <c r="L477" i="29"/>
  <c r="L478" i="29"/>
  <c r="L479" i="29"/>
  <c r="L480" i="29"/>
  <c r="L481" i="29"/>
  <c r="L408" i="29"/>
  <c r="L374" i="29"/>
  <c r="L343" i="29"/>
  <c r="L310" i="29"/>
  <c r="L278" i="29"/>
  <c r="L174" i="29"/>
  <c r="L173" i="29"/>
  <c r="L141" i="29"/>
  <c r="L110" i="29"/>
  <c r="L342" i="29"/>
  <c r="L324" i="29"/>
  <c r="L407" i="29"/>
  <c r="L373" i="29"/>
  <c r="L309" i="29"/>
  <c r="L277" i="29"/>
  <c r="L234" i="29"/>
  <c r="L203" i="29"/>
  <c r="L172" i="29"/>
  <c r="L140" i="29"/>
  <c r="L109" i="29"/>
  <c r="L476" i="29"/>
  <c r="L202" i="29"/>
  <c r="L83" i="29"/>
  <c r="L549" i="29"/>
  <c r="L474" i="29"/>
  <c r="L475" i="29"/>
  <c r="L473" i="29"/>
  <c r="L472" i="29"/>
  <c r="L471" i="29"/>
  <c r="L470" i="29"/>
  <c r="L469" i="29"/>
  <c r="L406" i="29"/>
  <c r="L372" i="29"/>
  <c r="L341" i="29"/>
  <c r="L308" i="29"/>
  <c r="L275" i="29"/>
  <c r="L276" i="29"/>
  <c r="L171" i="29"/>
  <c r="L139" i="29"/>
  <c r="L108" i="29"/>
  <c r="L405" i="29"/>
  <c r="L371" i="29"/>
  <c r="L340" i="29"/>
  <c r="L307" i="29"/>
  <c r="L235" i="29"/>
  <c r="L201" i="29"/>
  <c r="L170" i="29"/>
  <c r="L138" i="29"/>
  <c r="L107" i="29"/>
  <c r="L306" i="29"/>
  <c r="L305" i="29"/>
  <c r="L200" i="29"/>
  <c r="B45" i="47"/>
  <c r="B45" i="24" s="1"/>
  <c r="L404" i="29"/>
  <c r="L370" i="29"/>
  <c r="L339" i="29"/>
  <c r="L274" i="29"/>
  <c r="L233" i="29"/>
  <c r="L169" i="29"/>
  <c r="L137" i="29"/>
  <c r="L106" i="29"/>
  <c r="L467" i="29"/>
  <c r="L459" i="29"/>
  <c r="L466" i="29"/>
  <c r="L338" i="29"/>
  <c r="L465" i="29"/>
  <c r="L464" i="29"/>
  <c r="L463" i="29"/>
  <c r="L462" i="29"/>
  <c r="L232" i="29"/>
  <c r="L403" i="29"/>
  <c r="L337" i="29"/>
  <c r="L304" i="29"/>
  <c r="L273" i="29"/>
  <c r="L199" i="29"/>
  <c r="L168" i="29"/>
  <c r="L136" i="29"/>
  <c r="L105" i="29"/>
  <c r="E44" i="34"/>
  <c r="G44" i="34" s="1"/>
  <c r="E45" i="34"/>
  <c r="G45" i="34" s="1"/>
  <c r="E46" i="34"/>
  <c r="G46" i="34" s="1"/>
  <c r="E47" i="34"/>
  <c r="L45" i="34"/>
  <c r="N45" i="34" s="1"/>
  <c r="L46" i="34"/>
  <c r="N46" i="34" s="1"/>
  <c r="L458" i="29"/>
  <c r="L402" i="29"/>
  <c r="L368" i="29"/>
  <c r="L336" i="29"/>
  <c r="L303" i="29"/>
  <c r="L231" i="29"/>
  <c r="L198" i="29"/>
  <c r="L167" i="29"/>
  <c r="L135" i="29"/>
  <c r="L104" i="29"/>
  <c r="L457" i="29"/>
  <c r="L460" i="29"/>
  <c r="L461" i="29"/>
  <c r="L196" i="29"/>
  <c r="L401" i="29"/>
  <c r="L367" i="29"/>
  <c r="L335" i="29"/>
  <c r="L302" i="29"/>
  <c r="L271" i="29"/>
  <c r="L230" i="29"/>
  <c r="L197" i="29"/>
  <c r="L166" i="29"/>
  <c r="L134" i="29"/>
  <c r="L103" i="29"/>
  <c r="L456" i="29"/>
  <c r="L455" i="29"/>
  <c r="L10" i="32"/>
  <c r="L400" i="29"/>
  <c r="L366" i="29"/>
  <c r="L301" i="29"/>
  <c r="L270" i="29"/>
  <c r="L229" i="29"/>
  <c r="L165" i="29"/>
  <c r="L133" i="29"/>
  <c r="L132" i="29"/>
  <c r="L454" i="29"/>
  <c r="L453" i="29"/>
  <c r="L452" i="29"/>
  <c r="L451" i="29"/>
  <c r="L269" i="29"/>
  <c r="L164" i="29"/>
  <c r="L300" i="29"/>
  <c r="L399" i="29"/>
  <c r="L365" i="29"/>
  <c r="L450" i="29"/>
  <c r="L131" i="29"/>
  <c r="L364" i="29"/>
  <c r="L299" i="29"/>
  <c r="L268" i="29"/>
  <c r="L398" i="29"/>
  <c r="L163" i="29"/>
  <c r="L130" i="29"/>
  <c r="L162" i="29"/>
  <c r="L298" i="29"/>
  <c r="L397" i="29"/>
  <c r="L99" i="29"/>
  <c r="L363" i="29"/>
  <c r="L449" i="29"/>
  <c r="L448" i="29"/>
  <c r="L102" i="29"/>
  <c r="L101" i="29"/>
  <c r="L100" i="29"/>
  <c r="L129" i="29"/>
  <c r="L330" i="29"/>
  <c r="L224" i="29"/>
  <c r="L192" i="29"/>
  <c r="L334" i="29"/>
  <c r="L333" i="29"/>
  <c r="L332" i="29"/>
  <c r="L331" i="29"/>
  <c r="L228" i="29"/>
  <c r="L227" i="29"/>
  <c r="L226" i="29"/>
  <c r="L225" i="29"/>
  <c r="L193" i="29"/>
  <c r="L194" i="29"/>
  <c r="L195" i="29"/>
  <c r="L161" i="29"/>
  <c r="L297" i="29"/>
  <c r="L396" i="29"/>
  <c r="L98" i="29"/>
  <c r="L362" i="29"/>
  <c r="L80" i="29"/>
  <c r="L447" i="29"/>
  <c r="E8" i="39"/>
  <c r="L329" i="29"/>
  <c r="L296" i="29"/>
  <c r="L191" i="29"/>
  <c r="L128" i="29"/>
  <c r="L97" i="29"/>
  <c r="L223" i="29"/>
  <c r="L222" i="29"/>
  <c r="L160" i="29"/>
  <c r="L395" i="29"/>
  <c r="L45" i="29"/>
  <c r="L392" i="29"/>
  <c r="L293" i="29"/>
  <c r="L361" i="29"/>
  <c r="L328" i="29"/>
  <c r="L327" i="29"/>
  <c r="L127" i="29"/>
  <c r="L221" i="29"/>
  <c r="L190" i="29"/>
  <c r="L159" i="29"/>
  <c r="L295" i="29"/>
  <c r="L394" i="29"/>
  <c r="L96" i="29"/>
  <c r="L393" i="29"/>
  <c r="L189" i="29"/>
  <c r="L544" i="29"/>
  <c r="L95" i="29"/>
  <c r="L126" i="29"/>
  <c r="L125" i="29"/>
  <c r="L294" i="29"/>
  <c r="L219" i="29"/>
  <c r="L188" i="29"/>
  <c r="L158" i="29"/>
  <c r="L157" i="29"/>
  <c r="L94" i="29"/>
  <c r="E21" i="38"/>
  <c r="L26" i="33"/>
  <c r="J23" i="26" s="1"/>
  <c r="L23" i="26" s="1"/>
  <c r="H36" i="25" s="1"/>
  <c r="L26" i="32"/>
  <c r="J14" i="26"/>
  <c r="L14" i="26" s="1"/>
  <c r="L25" i="31"/>
  <c r="I24" i="27" s="1"/>
  <c r="J24" i="27" s="1"/>
  <c r="D10" i="38"/>
  <c r="D9" i="38"/>
  <c r="E9" i="38" s="1"/>
  <c r="I9" i="54"/>
  <c r="M9" i="54" s="1"/>
  <c r="D9" i="54"/>
  <c r="E9" i="54" s="1"/>
  <c r="I8" i="54"/>
  <c r="M8" i="54" s="1"/>
  <c r="D8" i="54"/>
  <c r="A9" i="54"/>
  <c r="B9" i="54"/>
  <c r="BM50" i="3" s="1"/>
  <c r="C9" i="54"/>
  <c r="C8" i="54"/>
  <c r="B8" i="54"/>
  <c r="BL50" i="3" s="1"/>
  <c r="A8" i="54"/>
  <c r="B7" i="54"/>
  <c r="A7" i="54"/>
  <c r="I8" i="53"/>
  <c r="M8" i="53" s="1"/>
  <c r="M12" i="53" s="1"/>
  <c r="M14" i="53" s="1"/>
  <c r="D8" i="53"/>
  <c r="E8" i="53" s="1"/>
  <c r="C8" i="53"/>
  <c r="B8" i="53"/>
  <c r="BK50" i="3" s="1"/>
  <c r="A8" i="53"/>
  <c r="B7" i="53"/>
  <c r="A7" i="53"/>
  <c r="K3" i="54"/>
  <c r="B3" i="54"/>
  <c r="I1" i="54"/>
  <c r="K3" i="53"/>
  <c r="B3" i="53"/>
  <c r="I1" i="53"/>
  <c r="A546" i="29"/>
  <c r="L540" i="29"/>
  <c r="L541" i="29"/>
  <c r="L542" i="29"/>
  <c r="L543" i="29"/>
  <c r="L547" i="29"/>
  <c r="L548" i="29"/>
  <c r="L468" i="29"/>
  <c r="A538" i="29"/>
  <c r="A537" i="29"/>
  <c r="I10" i="40"/>
  <c r="M10" i="40" s="1"/>
  <c r="D10" i="40"/>
  <c r="E10" i="40" s="1"/>
  <c r="I12" i="40"/>
  <c r="D12" i="40"/>
  <c r="E12" i="40" s="1"/>
  <c r="I11" i="40"/>
  <c r="D11" i="40"/>
  <c r="E11" i="40" s="1"/>
  <c r="E9" i="40"/>
  <c r="E8" i="40"/>
  <c r="A9" i="40"/>
  <c r="B9" i="40"/>
  <c r="BG50" i="3" s="1"/>
  <c r="C9" i="40"/>
  <c r="A10" i="40"/>
  <c r="B10" i="40"/>
  <c r="BH50" i="3" s="1"/>
  <c r="C10" i="40"/>
  <c r="A11" i="40"/>
  <c r="B11" i="40"/>
  <c r="BI50" i="3" s="1"/>
  <c r="C11" i="40"/>
  <c r="A12" i="40"/>
  <c r="B12" i="40"/>
  <c r="BJ50" i="3" s="1"/>
  <c r="C12" i="40"/>
  <c r="C8" i="40"/>
  <c r="B8" i="40"/>
  <c r="BF50" i="3" s="1"/>
  <c r="A8" i="40"/>
  <c r="B7" i="40"/>
  <c r="A7" i="40"/>
  <c r="K556" i="29" s="1"/>
  <c r="A517" i="29"/>
  <c r="A444" i="29"/>
  <c r="A443" i="29"/>
  <c r="I13" i="39"/>
  <c r="M13" i="39" s="1"/>
  <c r="D13" i="39"/>
  <c r="E13" i="39" s="1"/>
  <c r="I11" i="39"/>
  <c r="M11" i="39" s="1"/>
  <c r="D11" i="39"/>
  <c r="E11" i="39" s="1"/>
  <c r="I10" i="39"/>
  <c r="M10" i="39" s="1"/>
  <c r="D10" i="39"/>
  <c r="E10" i="39" s="1"/>
  <c r="E12" i="39"/>
  <c r="I9" i="39"/>
  <c r="A9" i="39"/>
  <c r="B9" i="39"/>
  <c r="C9" i="39"/>
  <c r="A10" i="39"/>
  <c r="B10" i="39"/>
  <c r="C10" i="39"/>
  <c r="A11" i="39"/>
  <c r="B11" i="39"/>
  <c r="BC50" i="3" s="1"/>
  <c r="C11" i="39"/>
  <c r="A12" i="39"/>
  <c r="B12" i="39"/>
  <c r="BD50" i="3" s="1"/>
  <c r="C12" i="39"/>
  <c r="A13" i="39"/>
  <c r="B13" i="39"/>
  <c r="BE50" i="3" s="1"/>
  <c r="C13" i="39"/>
  <c r="C8" i="39"/>
  <c r="B8" i="39"/>
  <c r="BA50" i="3" s="1"/>
  <c r="A8" i="39"/>
  <c r="B7" i="39"/>
  <c r="A7" i="39"/>
  <c r="A423" i="29"/>
  <c r="A391" i="29"/>
  <c r="A357" i="29"/>
  <c r="L358" i="29"/>
  <c r="L359" i="29"/>
  <c r="L360" i="29"/>
  <c r="L369" i="29"/>
  <c r="L422" i="29"/>
  <c r="L424" i="29"/>
  <c r="L425" i="29"/>
  <c r="L426" i="29"/>
  <c r="L427" i="29"/>
  <c r="L428" i="29"/>
  <c r="A325" i="29"/>
  <c r="A292" i="29"/>
  <c r="A262" i="29"/>
  <c r="A218" i="29"/>
  <c r="A187" i="29"/>
  <c r="A156" i="29"/>
  <c r="A124" i="29"/>
  <c r="A93" i="29"/>
  <c r="I42" i="30"/>
  <c r="K42" i="30"/>
  <c r="L42" i="30" s="1"/>
  <c r="I43" i="30"/>
  <c r="K43" i="30"/>
  <c r="L43" i="30" s="1"/>
  <c r="I44" i="30"/>
  <c r="K44" i="30"/>
  <c r="L44" i="30" s="1"/>
  <c r="I45" i="30"/>
  <c r="K45" i="30"/>
  <c r="L45" i="30" s="1"/>
  <c r="I46" i="30"/>
  <c r="K46" i="30"/>
  <c r="L46" i="30" s="1"/>
  <c r="I47" i="30"/>
  <c r="K47" i="30"/>
  <c r="L47" i="30" s="1"/>
  <c r="I48" i="30"/>
  <c r="K48" i="30"/>
  <c r="L48" i="30" s="1"/>
  <c r="I49" i="30"/>
  <c r="K49" i="30"/>
  <c r="L49" i="30" s="1"/>
  <c r="I50" i="30"/>
  <c r="K50" i="30"/>
  <c r="L50" i="30" s="1"/>
  <c r="I51" i="30"/>
  <c r="K51" i="30"/>
  <c r="L51" i="30" s="1"/>
  <c r="I52" i="30"/>
  <c r="K52" i="30"/>
  <c r="L52" i="30" s="1"/>
  <c r="K41" i="30"/>
  <c r="L41" i="30" s="1"/>
  <c r="I41" i="30"/>
  <c r="K40" i="30"/>
  <c r="J40" i="30"/>
  <c r="I40" i="30"/>
  <c r="A40" i="30"/>
  <c r="A39" i="30"/>
  <c r="K27" i="30"/>
  <c r="L27" i="30" s="1"/>
  <c r="K28" i="30"/>
  <c r="L28" i="30" s="1"/>
  <c r="K29" i="30"/>
  <c r="L29" i="30" s="1"/>
  <c r="K30" i="30"/>
  <c r="L30" i="30" s="1"/>
  <c r="K31" i="30"/>
  <c r="L31" i="30" s="1"/>
  <c r="K32" i="30"/>
  <c r="L32" i="30" s="1"/>
  <c r="K33" i="30"/>
  <c r="L33" i="30" s="1"/>
  <c r="K34" i="30"/>
  <c r="L34" i="30" s="1"/>
  <c r="K35" i="30"/>
  <c r="L35" i="30" s="1"/>
  <c r="K36" i="30"/>
  <c r="L36" i="30" s="1"/>
  <c r="K37" i="30"/>
  <c r="L37" i="30" s="1"/>
  <c r="I27" i="30"/>
  <c r="I28" i="30"/>
  <c r="I29" i="30"/>
  <c r="I30" i="30"/>
  <c r="I31" i="30"/>
  <c r="I32" i="30"/>
  <c r="I33" i="30"/>
  <c r="I34" i="30"/>
  <c r="I35" i="30"/>
  <c r="I36" i="30"/>
  <c r="I37" i="30"/>
  <c r="I26" i="30"/>
  <c r="K26" i="30"/>
  <c r="L26" i="30" s="1"/>
  <c r="J25" i="30"/>
  <c r="I25" i="30"/>
  <c r="I12" i="30"/>
  <c r="I13" i="30"/>
  <c r="I14" i="30"/>
  <c r="I15" i="30"/>
  <c r="I16" i="30"/>
  <c r="I17" i="30"/>
  <c r="I18" i="30"/>
  <c r="I19" i="30"/>
  <c r="I20" i="30"/>
  <c r="I21" i="30"/>
  <c r="I22" i="30"/>
  <c r="I11" i="30"/>
  <c r="I10" i="30"/>
  <c r="K25" i="30"/>
  <c r="A25" i="30"/>
  <c r="A24" i="30"/>
  <c r="K12" i="30"/>
  <c r="L12" i="30" s="1"/>
  <c r="K14" i="30"/>
  <c r="L14" i="30" s="1"/>
  <c r="K15" i="30"/>
  <c r="L15" i="30" s="1"/>
  <c r="K16" i="30"/>
  <c r="L16" i="30" s="1"/>
  <c r="K17" i="30"/>
  <c r="L17" i="30" s="1"/>
  <c r="K18" i="30"/>
  <c r="L18" i="30" s="1"/>
  <c r="K19" i="30"/>
  <c r="L19" i="30" s="1"/>
  <c r="K20" i="30"/>
  <c r="L20" i="30" s="1"/>
  <c r="K21" i="30"/>
  <c r="L21" i="30" s="1"/>
  <c r="K22" i="30"/>
  <c r="L22" i="30" s="1"/>
  <c r="K11" i="30"/>
  <c r="L11" i="30" s="1"/>
  <c r="K10" i="30"/>
  <c r="J10" i="30"/>
  <c r="A10" i="30"/>
  <c r="A9" i="30"/>
  <c r="A79" i="29"/>
  <c r="A78" i="29"/>
  <c r="I32" i="38"/>
  <c r="D32" i="38"/>
  <c r="E32" i="38" s="1"/>
  <c r="E31" i="38"/>
  <c r="E30" i="38"/>
  <c r="E29" i="38"/>
  <c r="E28" i="38"/>
  <c r="E27" i="38"/>
  <c r="E26" i="38"/>
  <c r="E25" i="38"/>
  <c r="E24" i="38"/>
  <c r="E23" i="38"/>
  <c r="E22" i="38"/>
  <c r="E20" i="38"/>
  <c r="A70" i="29"/>
  <c r="A69" i="29"/>
  <c r="I15" i="38"/>
  <c r="E14" i="38"/>
  <c r="I10" i="38"/>
  <c r="I9" i="38"/>
  <c r="M9" i="38" s="1"/>
  <c r="I18" i="38"/>
  <c r="M18" i="38" s="1"/>
  <c r="D18" i="38"/>
  <c r="E18" i="38" s="1"/>
  <c r="I17" i="38"/>
  <c r="D17" i="38"/>
  <c r="E17" i="38" s="1"/>
  <c r="I13" i="38"/>
  <c r="D13" i="38"/>
  <c r="E13" i="38" s="1"/>
  <c r="I12" i="38"/>
  <c r="M12" i="38" s="1"/>
  <c r="D12" i="38"/>
  <c r="C8" i="38"/>
  <c r="I8" i="38"/>
  <c r="M8" i="38" s="1"/>
  <c r="D8" i="38"/>
  <c r="A9" i="38"/>
  <c r="B9" i="38"/>
  <c r="AG50" i="3" s="1"/>
  <c r="C9" i="38"/>
  <c r="A10" i="38"/>
  <c r="B10" i="38"/>
  <c r="AH50" i="3" s="1"/>
  <c r="C10" i="38"/>
  <c r="A11" i="38"/>
  <c r="B11" i="38"/>
  <c r="A12" i="38"/>
  <c r="B12" i="38"/>
  <c r="AI50" i="3" s="1"/>
  <c r="C12" i="38"/>
  <c r="A13" i="38"/>
  <c r="B13" i="38"/>
  <c r="AJ50" i="3" s="1"/>
  <c r="C13" i="38"/>
  <c r="A14" i="38"/>
  <c r="B14" i="38"/>
  <c r="AK50" i="3" s="1"/>
  <c r="C14" i="38"/>
  <c r="A15" i="38"/>
  <c r="B15" i="38"/>
  <c r="C15" i="38"/>
  <c r="A16" i="38"/>
  <c r="B16" i="38"/>
  <c r="A17" i="38"/>
  <c r="B17" i="38"/>
  <c r="AL50" i="3" s="1"/>
  <c r="C17" i="38"/>
  <c r="A18" i="38"/>
  <c r="B18" i="38"/>
  <c r="AM50" i="3" s="1"/>
  <c r="C18" i="38"/>
  <c r="A19" i="38"/>
  <c r="B19" i="38"/>
  <c r="A20" i="38"/>
  <c r="B20" i="38"/>
  <c r="AN50" i="3" s="1"/>
  <c r="C20" i="38"/>
  <c r="A21" i="38"/>
  <c r="B21" i="38"/>
  <c r="AO50" i="3" s="1"/>
  <c r="C21" i="38"/>
  <c r="A22" i="38"/>
  <c r="B22" i="38"/>
  <c r="AP50" i="3" s="1"/>
  <c r="C22" i="38"/>
  <c r="A23" i="38"/>
  <c r="B23" i="38"/>
  <c r="AQ50" i="3" s="1"/>
  <c r="C23" i="38"/>
  <c r="A24" i="38"/>
  <c r="B24" i="38"/>
  <c r="AR50" i="3" s="1"/>
  <c r="C24" i="38"/>
  <c r="A25" i="38"/>
  <c r="B25" i="38"/>
  <c r="AS50" i="3" s="1"/>
  <c r="C25" i="38"/>
  <c r="A26" i="38"/>
  <c r="B26" i="38"/>
  <c r="AT50" i="3" s="1"/>
  <c r="C26" i="38"/>
  <c r="A27" i="38"/>
  <c r="B27" i="38"/>
  <c r="AU50" i="3" s="1"/>
  <c r="C27" i="38"/>
  <c r="A28" i="38"/>
  <c r="B28" i="38"/>
  <c r="AV50" i="3" s="1"/>
  <c r="C28" i="38"/>
  <c r="A29" i="38"/>
  <c r="B29" i="38"/>
  <c r="AW50" i="3" s="1"/>
  <c r="C29" i="38"/>
  <c r="A30" i="38"/>
  <c r="B30" i="38"/>
  <c r="AX50" i="3" s="1"/>
  <c r="C30" i="38"/>
  <c r="A31" i="38"/>
  <c r="B31" i="38"/>
  <c r="AY50" i="3" s="1"/>
  <c r="C31" i="38"/>
  <c r="A32" i="38"/>
  <c r="B32" i="38"/>
  <c r="AZ50" i="3" s="1"/>
  <c r="C32" i="38"/>
  <c r="A8" i="38"/>
  <c r="B8" i="38"/>
  <c r="AF50" i="3" s="1"/>
  <c r="B7" i="38"/>
  <c r="A7" i="38"/>
  <c r="K431" i="29" s="1"/>
  <c r="A49" i="29"/>
  <c r="L43" i="29"/>
  <c r="L44" i="29"/>
  <c r="L46" i="29"/>
  <c r="L47" i="29"/>
  <c r="L48" i="29"/>
  <c r="L50" i="29"/>
  <c r="L51" i="29"/>
  <c r="L52" i="29"/>
  <c r="L53" i="29"/>
  <c r="A41" i="29"/>
  <c r="A39" i="29"/>
  <c r="I11" i="37"/>
  <c r="K11" i="37" s="1"/>
  <c r="M11" i="37" s="1"/>
  <c r="N11" i="37" s="1"/>
  <c r="I9" i="37"/>
  <c r="K9" i="37" s="1"/>
  <c r="A9" i="37"/>
  <c r="B9" i="37"/>
  <c r="C9" i="37"/>
  <c r="A10" i="37"/>
  <c r="B10" i="37"/>
  <c r="AE50" i="3" s="1"/>
  <c r="C10" i="37"/>
  <c r="A11" i="37"/>
  <c r="B11" i="37"/>
  <c r="C11" i="37"/>
  <c r="C8" i="37"/>
  <c r="B8" i="37"/>
  <c r="AD50" i="3" s="1"/>
  <c r="A8" i="37"/>
  <c r="B7" i="37"/>
  <c r="A7" i="37"/>
  <c r="I16" i="36"/>
  <c r="M16" i="36" s="1"/>
  <c r="D16" i="36"/>
  <c r="I14" i="36"/>
  <c r="M14" i="36" s="1"/>
  <c r="D14" i="36"/>
  <c r="E14" i="36" s="1"/>
  <c r="I13" i="36"/>
  <c r="E12" i="36"/>
  <c r="A19" i="29"/>
  <c r="L14" i="29"/>
  <c r="L15" i="29"/>
  <c r="L16" i="29"/>
  <c r="L17" i="29"/>
  <c r="L18" i="29"/>
  <c r="L20" i="29"/>
  <c r="L21" i="29"/>
  <c r="L22" i="29"/>
  <c r="L23" i="29"/>
  <c r="I9" i="36"/>
  <c r="A11" i="29"/>
  <c r="A10" i="29"/>
  <c r="E8" i="36"/>
  <c r="A9" i="36"/>
  <c r="B9" i="36"/>
  <c r="C9" i="36"/>
  <c r="A10" i="36"/>
  <c r="B10" i="36"/>
  <c r="X50" i="3" s="1"/>
  <c r="C10" i="36"/>
  <c r="A11" i="36"/>
  <c r="B11" i="36"/>
  <c r="Y50" i="3" s="1"/>
  <c r="C11" i="36"/>
  <c r="A12" i="36"/>
  <c r="B12" i="36"/>
  <c r="Z50" i="3" s="1"/>
  <c r="C12" i="36"/>
  <c r="A13" i="36"/>
  <c r="B13" i="36"/>
  <c r="C13" i="36"/>
  <c r="A14" i="36"/>
  <c r="B14" i="36"/>
  <c r="AA50" i="3" s="1"/>
  <c r="C14" i="36"/>
  <c r="A15" i="36"/>
  <c r="B15" i="36"/>
  <c r="AB50" i="3" s="1"/>
  <c r="C15" i="36"/>
  <c r="A16" i="36"/>
  <c r="B16" i="36"/>
  <c r="AC50" i="3" s="1"/>
  <c r="C16" i="36"/>
  <c r="C8" i="36"/>
  <c r="B8" i="36"/>
  <c r="W50" i="3" s="1"/>
  <c r="A8" i="36"/>
  <c r="B7" i="36"/>
  <c r="A7" i="36"/>
  <c r="K27" i="29" s="1"/>
  <c r="B104" i="51"/>
  <c r="B28" i="25" s="1"/>
  <c r="B16" i="27" s="1"/>
  <c r="B103" i="51"/>
  <c r="B26" i="25" s="1"/>
  <c r="B15" i="27" s="1"/>
  <c r="A104" i="51"/>
  <c r="A28" i="25" s="1"/>
  <c r="A16" i="27" s="1"/>
  <c r="A103" i="51"/>
  <c r="A26" i="25" s="1"/>
  <c r="B102" i="51"/>
  <c r="B24" i="25" s="1"/>
  <c r="B14" i="27" s="1"/>
  <c r="B101" i="51"/>
  <c r="B22" i="25" s="1"/>
  <c r="B13" i="27" s="1"/>
  <c r="A102" i="51"/>
  <c r="A24" i="25" s="1"/>
  <c r="N1" i="40" s="1"/>
  <c r="L24" i="25" s="1"/>
  <c r="D14" i="27" s="1"/>
  <c r="A101" i="51"/>
  <c r="A22" i="25" s="1"/>
  <c r="B100" i="51"/>
  <c r="B20" i="25" s="1"/>
  <c r="B12" i="27" s="1"/>
  <c r="B99" i="51"/>
  <c r="B18" i="25" s="1"/>
  <c r="B11" i="27" s="1"/>
  <c r="A99" i="51"/>
  <c r="A18" i="25" s="1"/>
  <c r="B98" i="51"/>
  <c r="B16" i="25" s="1"/>
  <c r="B10" i="27" s="1"/>
  <c r="B97" i="51"/>
  <c r="B14" i="25" s="1"/>
  <c r="B9" i="27" s="1"/>
  <c r="A98" i="51"/>
  <c r="A16" i="25" s="1"/>
  <c r="N1" i="36" s="1"/>
  <c r="L16" i="25" s="1"/>
  <c r="D10" i="27" s="1"/>
  <c r="A97" i="51"/>
  <c r="A14" i="25" s="1"/>
  <c r="N1" i="35" s="1"/>
  <c r="L14" i="25" s="1"/>
  <c r="D9" i="27" s="1"/>
  <c r="I9" i="35"/>
  <c r="M9" i="35" s="1"/>
  <c r="D9" i="35"/>
  <c r="E9" i="35" s="1"/>
  <c r="E16" i="36"/>
  <c r="C9" i="35"/>
  <c r="C8" i="35"/>
  <c r="A8" i="35"/>
  <c r="B8" i="35"/>
  <c r="U50" i="3" s="1"/>
  <c r="A9" i="35"/>
  <c r="B9" i="35"/>
  <c r="V50" i="3" s="1"/>
  <c r="B7" i="35"/>
  <c r="A7" i="35"/>
  <c r="I1" i="40"/>
  <c r="I1" i="39"/>
  <c r="I1" i="38"/>
  <c r="I1" i="37"/>
  <c r="I1" i="36"/>
  <c r="A100" i="51"/>
  <c r="A20" i="25" s="1"/>
  <c r="F89" i="51"/>
  <c r="F88" i="51"/>
  <c r="F84" i="51"/>
  <c r="F85" i="51" s="1"/>
  <c r="F103" i="51" s="1"/>
  <c r="G26" i="25" s="1"/>
  <c r="F80" i="51"/>
  <c r="F79" i="51"/>
  <c r="F78" i="51"/>
  <c r="F77" i="51"/>
  <c r="F76" i="51"/>
  <c r="I8" i="40" s="1"/>
  <c r="F72" i="51"/>
  <c r="F71" i="51"/>
  <c r="H517" i="29" s="1"/>
  <c r="F70" i="51"/>
  <c r="F69" i="51"/>
  <c r="F67" i="51"/>
  <c r="H444" i="29" s="1"/>
  <c r="F63" i="51"/>
  <c r="F62" i="51"/>
  <c r="F57" i="51"/>
  <c r="H391" i="29" s="1"/>
  <c r="F56" i="51"/>
  <c r="H357" i="29" s="1"/>
  <c r="F55" i="51"/>
  <c r="F54" i="51"/>
  <c r="I27" i="38" s="1"/>
  <c r="F53" i="51"/>
  <c r="I26" i="38" s="1"/>
  <c r="K26" i="38" s="1"/>
  <c r="F52" i="51"/>
  <c r="H218" i="29" s="1"/>
  <c r="F51" i="51"/>
  <c r="H187" i="29" s="1"/>
  <c r="F50" i="51"/>
  <c r="F49" i="51"/>
  <c r="H124" i="29" s="1"/>
  <c r="F48" i="51"/>
  <c r="H93" i="29" s="1"/>
  <c r="F47" i="51"/>
  <c r="I20" i="38" s="1"/>
  <c r="J20" i="38" s="1"/>
  <c r="F45" i="51"/>
  <c r="F44" i="51"/>
  <c r="F41" i="51"/>
  <c r="H70" i="29" s="1"/>
  <c r="F40" i="51"/>
  <c r="F39" i="51"/>
  <c r="F37" i="51"/>
  <c r="F36" i="51"/>
  <c r="F35" i="51"/>
  <c r="F30" i="51"/>
  <c r="I10" i="37" s="1"/>
  <c r="J10" i="37" s="1"/>
  <c r="F28" i="51"/>
  <c r="D29" i="51" s="1"/>
  <c r="F24" i="51"/>
  <c r="F23" i="51"/>
  <c r="I15" i="36" s="1"/>
  <c r="F22" i="51"/>
  <c r="F20" i="51"/>
  <c r="H19" i="29" s="1"/>
  <c r="F19" i="51"/>
  <c r="I11" i="36" s="1"/>
  <c r="F18" i="51"/>
  <c r="I10" i="36" s="1"/>
  <c r="F16" i="51"/>
  <c r="F12" i="51"/>
  <c r="F11" i="51"/>
  <c r="I8" i="35" s="1"/>
  <c r="B20" i="26"/>
  <c r="K23" i="28"/>
  <c r="G15" i="28" a="1"/>
  <c r="G15" i="28" s="1"/>
  <c r="H15" i="28" a="1"/>
  <c r="H15" i="28" s="1"/>
  <c r="G16" i="28" a="1"/>
  <c r="G16" i="28" s="1"/>
  <c r="H16" i="28" a="1"/>
  <c r="H16" i="28" s="1"/>
  <c r="G17" i="28" a="1"/>
  <c r="G17" i="28" s="1"/>
  <c r="H17" i="28" a="1"/>
  <c r="H17" i="28" s="1"/>
  <c r="G18" i="28" a="1"/>
  <c r="G18" i="28" s="1"/>
  <c r="H18" i="28" a="1"/>
  <c r="H18" i="28" s="1"/>
  <c r="G19" i="28" a="1"/>
  <c r="G19" i="28" s="1"/>
  <c r="H19" i="28" a="1"/>
  <c r="H19" i="28" s="1"/>
  <c r="G20" i="28" a="1"/>
  <c r="G20" i="28" s="1"/>
  <c r="H20" i="28" a="1"/>
  <c r="H20" i="28" s="1"/>
  <c r="G21" i="28" a="1"/>
  <c r="G21" i="28" s="1"/>
  <c r="H21" i="28" a="1"/>
  <c r="H21" i="28" s="1"/>
  <c r="G22" i="28" a="1"/>
  <c r="G22" i="28" s="1"/>
  <c r="H22" i="28" a="1"/>
  <c r="H22" i="28" s="1"/>
  <c r="H14" i="28" a="1"/>
  <c r="H14" i="28" s="1"/>
  <c r="G14" i="28" a="1"/>
  <c r="G14" i="28" s="1"/>
  <c r="G13" i="28" a="1"/>
  <c r="G13" i="28" s="1"/>
  <c r="G12" i="28" a="1"/>
  <c r="G12" i="28" s="1"/>
  <c r="H13" i="28" a="1"/>
  <c r="H13" i="28" s="1"/>
  <c r="H12" i="28" a="1"/>
  <c r="H12" i="28" s="1"/>
  <c r="H11" i="28" a="1"/>
  <c r="H11" i="28" s="1"/>
  <c r="G11" i="28" a="1"/>
  <c r="G11" i="28" s="1"/>
  <c r="F44" i="28"/>
  <c r="H44" i="28" s="1"/>
  <c r="F43" i="28"/>
  <c r="H43" i="28" s="1"/>
  <c r="F42" i="28"/>
  <c r="J42" i="28" s="1"/>
  <c r="J41" i="28"/>
  <c r="I41" i="28"/>
  <c r="E44" i="28"/>
  <c r="G44" i="28" s="1"/>
  <c r="E43" i="28"/>
  <c r="I43" i="28" s="1"/>
  <c r="E42" i="28"/>
  <c r="G42" i="28" s="1"/>
  <c r="D44" i="28"/>
  <c r="D43" i="28"/>
  <c r="D42" i="28"/>
  <c r="C44" i="28"/>
  <c r="C43" i="28"/>
  <c r="C42" i="28"/>
  <c r="H3" i="28"/>
  <c r="M3" i="28"/>
  <c r="J11" i="28"/>
  <c r="L11" i="28"/>
  <c r="O11" i="28"/>
  <c r="J12" i="28"/>
  <c r="L12" i="28"/>
  <c r="P12" i="28"/>
  <c r="O12" i="28"/>
  <c r="J13" i="28"/>
  <c r="L13" i="28"/>
  <c r="P13" i="28"/>
  <c r="O13" i="28"/>
  <c r="J14" i="28"/>
  <c r="L14" i="28"/>
  <c r="P14" i="28"/>
  <c r="O14" i="28"/>
  <c r="J15" i="28"/>
  <c r="L15" i="28"/>
  <c r="O15" i="28"/>
  <c r="P15" i="28"/>
  <c r="J16" i="28"/>
  <c r="L16" i="28"/>
  <c r="O16" i="28"/>
  <c r="P16" i="28"/>
  <c r="J17" i="28"/>
  <c r="L17" i="28"/>
  <c r="O17" i="28"/>
  <c r="P17" i="28"/>
  <c r="J18" i="28"/>
  <c r="L18" i="28"/>
  <c r="O18" i="28"/>
  <c r="P18" i="28"/>
  <c r="J19" i="28"/>
  <c r="L19" i="28"/>
  <c r="O19" i="28"/>
  <c r="P19" i="28"/>
  <c r="J20" i="28"/>
  <c r="L20" i="28"/>
  <c r="O20" i="28"/>
  <c r="P20" i="28"/>
  <c r="J21" i="28"/>
  <c r="L21" i="28"/>
  <c r="P21" i="28"/>
  <c r="O21" i="28"/>
  <c r="J22" i="28"/>
  <c r="L22" i="28"/>
  <c r="P22" i="28"/>
  <c r="O22" i="28"/>
  <c r="O23" i="28" s="1"/>
  <c r="M23" i="28"/>
  <c r="N23" i="28"/>
  <c r="P11" i="28"/>
  <c r="B108" i="51"/>
  <c r="BS50" i="3"/>
  <c r="BT50" i="3"/>
  <c r="BU50" i="3"/>
  <c r="BV50" i="3"/>
  <c r="BW50" i="3"/>
  <c r="BX50" i="3"/>
  <c r="BY50" i="3"/>
  <c r="BZ50" i="3"/>
  <c r="A4" i="51"/>
  <c r="K36" i="3"/>
  <c r="L36" i="3"/>
  <c r="K37" i="3"/>
  <c r="L37" i="3"/>
  <c r="K38" i="3"/>
  <c r="L38" i="3"/>
  <c r="K39" i="3"/>
  <c r="L39" i="3"/>
  <c r="K40" i="3"/>
  <c r="L40" i="3"/>
  <c r="K41" i="3"/>
  <c r="L41" i="3"/>
  <c r="P23" i="3"/>
  <c r="B28" i="26"/>
  <c r="A42" i="25"/>
  <c r="BR56" i="3"/>
  <c r="BR52" i="3" s="1"/>
  <c r="I36" i="25" s="1"/>
  <c r="K36" i="25" s="1"/>
  <c r="BR53" i="3" s="1"/>
  <c r="BQ56" i="3"/>
  <c r="BQ52" i="3" s="1"/>
  <c r="I34" i="25" s="1"/>
  <c r="K34" i="25" s="1"/>
  <c r="BQ53" i="3" s="1"/>
  <c r="G20" i="26"/>
  <c r="J8" i="34"/>
  <c r="BN50" i="3"/>
  <c r="BO50" i="3"/>
  <c r="BB50" i="3"/>
  <c r="K525" i="29"/>
  <c r="L220" i="29"/>
  <c r="L272" i="29"/>
  <c r="L267" i="29"/>
  <c r="L266" i="29"/>
  <c r="L265" i="29"/>
  <c r="L264" i="29"/>
  <c r="L263" i="29"/>
  <c r="L82" i="29"/>
  <c r="L81" i="29"/>
  <c r="L77" i="29"/>
  <c r="L76" i="29"/>
  <c r="L75" i="29"/>
  <c r="L74" i="29"/>
  <c r="L73" i="29"/>
  <c r="L72" i="29"/>
  <c r="L71" i="29"/>
  <c r="L430" i="29"/>
  <c r="L429" i="29"/>
  <c r="A40" i="29"/>
  <c r="A9" i="29"/>
  <c r="E16" i="46"/>
  <c r="B16" i="46" s="1"/>
  <c r="B16" i="24" s="1"/>
  <c r="B79" i="24" s="1"/>
  <c r="B11" i="47"/>
  <c r="B12" i="47"/>
  <c r="B75" i="47" s="1"/>
  <c r="B9" i="47"/>
  <c r="B9" i="24" s="1"/>
  <c r="E3" i="47"/>
  <c r="E3" i="24" s="1"/>
  <c r="E66" i="24" s="1"/>
  <c r="B71" i="24" s="1"/>
  <c r="A15" i="3"/>
  <c r="N57" i="3" s="1"/>
  <c r="BR50" i="3"/>
  <c r="BQ50" i="3"/>
  <c r="B58" i="24"/>
  <c r="B109" i="47"/>
  <c r="B96" i="47"/>
  <c r="B96" i="24" s="1"/>
  <c r="B122" i="47"/>
  <c r="B122" i="24" s="1"/>
  <c r="P56" i="3"/>
  <c r="P52" i="3" s="1"/>
  <c r="O56" i="3"/>
  <c r="O52" i="3" s="1"/>
  <c r="I32" i="25" s="1"/>
  <c r="L550" i="29"/>
  <c r="L551" i="29"/>
  <c r="L552" i="29"/>
  <c r="L553" i="29"/>
  <c r="L524" i="29"/>
  <c r="L523" i="29"/>
  <c r="L522" i="29"/>
  <c r="L521" i="29"/>
  <c r="L520" i="29"/>
  <c r="L518" i="29"/>
  <c r="L446" i="29"/>
  <c r="L445" i="29"/>
  <c r="L54" i="29"/>
  <c r="L55" i="29"/>
  <c r="L56" i="29"/>
  <c r="L42" i="29"/>
  <c r="C300" i="3"/>
  <c r="T50" i="3"/>
  <c r="S50" i="3"/>
  <c r="R50" i="3"/>
  <c r="Q50" i="3"/>
  <c r="P50" i="3"/>
  <c r="O50" i="3"/>
  <c r="L13" i="29"/>
  <c r="L24" i="29"/>
  <c r="L25" i="29"/>
  <c r="L26" i="29"/>
  <c r="L12" i="29"/>
  <c r="G3" i="34"/>
  <c r="F3" i="33"/>
  <c r="F3" i="32"/>
  <c r="F3" i="31"/>
  <c r="E3" i="30"/>
  <c r="F3" i="29"/>
  <c r="E3" i="27"/>
  <c r="H3" i="26"/>
  <c r="F301" i="3"/>
  <c r="F302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E119" i="24" s="1"/>
  <c r="B120" i="24"/>
  <c r="C120" i="24"/>
  <c r="B121" i="24"/>
  <c r="C121" i="24"/>
  <c r="C110" i="24"/>
  <c r="B110" i="24"/>
  <c r="B98" i="24"/>
  <c r="C98" i="24"/>
  <c r="E98" i="24" s="1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E108" i="24" s="1"/>
  <c r="C97" i="24"/>
  <c r="B97" i="24"/>
  <c r="B85" i="24"/>
  <c r="C85" i="24"/>
  <c r="E85" i="24" s="1"/>
  <c r="B86" i="24"/>
  <c r="C86" i="24"/>
  <c r="E86" i="24" s="1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E93" i="24" s="1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E56" i="24" s="1"/>
  <c r="C56" i="24"/>
  <c r="B57" i="24"/>
  <c r="C57" i="24"/>
  <c r="C46" i="24"/>
  <c r="B46" i="24"/>
  <c r="B34" i="24"/>
  <c r="E34" i="24" s="1"/>
  <c r="C34" i="24"/>
  <c r="B35" i="24"/>
  <c r="E35" i="24" s="1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E43" i="24" s="1"/>
  <c r="C43" i="24"/>
  <c r="B44" i="24"/>
  <c r="C44" i="24"/>
  <c r="C33" i="24"/>
  <c r="B33" i="24"/>
  <c r="B21" i="24"/>
  <c r="C21" i="24"/>
  <c r="B22" i="24"/>
  <c r="E22" i="24" s="1"/>
  <c r="C22" i="24"/>
  <c r="B23" i="24"/>
  <c r="C23" i="24"/>
  <c r="E23" i="24" s="1"/>
  <c r="B24" i="24"/>
  <c r="C24" i="24"/>
  <c r="B25" i="24"/>
  <c r="C25" i="24"/>
  <c r="B26" i="24"/>
  <c r="C26" i="24"/>
  <c r="E26" i="24" s="1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24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24"/>
  <c r="B109" i="24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24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/>
  <c r="F122" i="24"/>
  <c r="F109" i="24"/>
  <c r="F96" i="24"/>
  <c r="Y3" i="3"/>
  <c r="Y2" i="3"/>
  <c r="W5" i="3"/>
  <c r="W7" i="3" s="1"/>
  <c r="W9" i="3" s="1"/>
  <c r="W11" i="3" s="1"/>
  <c r="W13" i="3" s="1"/>
  <c r="W15" i="3" s="1"/>
  <c r="W17" i="3" s="1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W4" i="3"/>
  <c r="W6" i="3" s="1"/>
  <c r="Y6" i="3" s="1"/>
  <c r="K3" i="37"/>
  <c r="N53" i="3"/>
  <c r="B3" i="40"/>
  <c r="B3" i="39"/>
  <c r="B3" i="38"/>
  <c r="B3" i="37"/>
  <c r="B3" i="36"/>
  <c r="B3" i="35"/>
  <c r="K57" i="29"/>
  <c r="C2" i="25"/>
  <c r="F4" i="24"/>
  <c r="F67" i="24" s="1"/>
  <c r="D2" i="46"/>
  <c r="D65" i="46"/>
  <c r="D2" i="24"/>
  <c r="D65" i="24" s="1"/>
  <c r="C3" i="24"/>
  <c r="C66" i="24" s="1"/>
  <c r="C3" i="46"/>
  <c r="C66" i="46" s="1"/>
  <c r="E102" i="24"/>
  <c r="E111" i="24"/>
  <c r="E115" i="24"/>
  <c r="M53" i="3"/>
  <c r="M54" i="3" s="1"/>
  <c r="K3" i="33"/>
  <c r="K3" i="38"/>
  <c r="I3" i="27"/>
  <c r="K3" i="26"/>
  <c r="K3" i="31"/>
  <c r="K3" i="36"/>
  <c r="E4" i="47"/>
  <c r="E4" i="24" s="1"/>
  <c r="E67" i="24" s="1"/>
  <c r="K3" i="30"/>
  <c r="K3" i="40"/>
  <c r="K3" i="29"/>
  <c r="M3" i="34"/>
  <c r="K3" i="32"/>
  <c r="K3" i="35"/>
  <c r="K3" i="39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44" i="47"/>
  <c r="E43" i="47"/>
  <c r="E42" i="47"/>
  <c r="E41" i="47"/>
  <c r="E40" i="47"/>
  <c r="E39" i="47"/>
  <c r="E38" i="47"/>
  <c r="E37" i="47"/>
  <c r="E36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24"/>
  <c r="F45" i="47"/>
  <c r="C45" i="24"/>
  <c r="B32" i="47"/>
  <c r="F58" i="46"/>
  <c r="D58" i="46"/>
  <c r="D58" i="24" s="1"/>
  <c r="F45" i="46"/>
  <c r="D45" i="46"/>
  <c r="F32" i="46"/>
  <c r="D32" i="46"/>
  <c r="D32" i="24" s="1"/>
  <c r="C123" i="24"/>
  <c r="B32" i="24"/>
  <c r="C32" i="24"/>
  <c r="D41" i="43"/>
  <c r="C41" i="43"/>
  <c r="F48" i="34"/>
  <c r="M48" i="34" s="1"/>
  <c r="L47" i="34"/>
  <c r="N47" i="34" s="1"/>
  <c r="G47" i="34"/>
  <c r="L44" i="34"/>
  <c r="N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E36" i="34"/>
  <c r="G36" i="34" s="1"/>
  <c r="L35" i="34"/>
  <c r="N35" i="34" s="1"/>
  <c r="E35" i="34"/>
  <c r="G35" i="34" s="1"/>
  <c r="L34" i="34"/>
  <c r="N34" i="34" s="1"/>
  <c r="E34" i="34"/>
  <c r="G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L28" i="34"/>
  <c r="N28" i="34" s="1"/>
  <c r="F28" i="34"/>
  <c r="G28" i="34" s="1"/>
  <c r="L27" i="34"/>
  <c r="N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N20" i="34"/>
  <c r="E20" i="34"/>
  <c r="G20" i="34" s="1"/>
  <c r="L19" i="34"/>
  <c r="N19" i="34" s="1"/>
  <c r="E19" i="34"/>
  <c r="G19" i="34" s="1"/>
  <c r="L18" i="34"/>
  <c r="N18" i="34" s="1"/>
  <c r="E18" i="34"/>
  <c r="G18" i="34" s="1"/>
  <c r="E17" i="34"/>
  <c r="G17" i="34" s="1"/>
  <c r="E16" i="34"/>
  <c r="G16" i="34" s="1"/>
  <c r="E15" i="34"/>
  <c r="G15" i="34" s="1"/>
  <c r="F58" i="24"/>
  <c r="F45" i="24"/>
  <c r="F32" i="24"/>
  <c r="E25" i="24"/>
  <c r="C59" i="24"/>
  <c r="C83" i="24" s="1"/>
  <c r="BO53" i="3"/>
  <c r="BN53" i="3"/>
  <c r="BZ53" i="3"/>
  <c r="BU53" i="3"/>
  <c r="BT53" i="3"/>
  <c r="BW53" i="3"/>
  <c r="BY53" i="3"/>
  <c r="BX53" i="3"/>
  <c r="BV53" i="3"/>
  <c r="BS53" i="3"/>
  <c r="S53" i="3"/>
  <c r="Q53" i="3"/>
  <c r="B15" i="3" l="1"/>
  <c r="I28" i="38"/>
  <c r="J28" i="38" s="1"/>
  <c r="F64" i="51"/>
  <c r="B8" i="47"/>
  <c r="B71" i="47" s="1"/>
  <c r="K4" i="54"/>
  <c r="K32" i="38"/>
  <c r="K18" i="38"/>
  <c r="I25" i="38"/>
  <c r="J25" i="38" s="1"/>
  <c r="I12" i="39"/>
  <c r="J12" i="39" s="1"/>
  <c r="J10" i="38"/>
  <c r="A14" i="27"/>
  <c r="H262" i="29"/>
  <c r="E10" i="38"/>
  <c r="K10" i="38" s="1"/>
  <c r="I29" i="38"/>
  <c r="J29" i="38" s="1"/>
  <c r="A9" i="27"/>
  <c r="BP50" i="3"/>
  <c r="F90" i="51"/>
  <c r="F104" i="51" s="1"/>
  <c r="G28" i="25" s="1"/>
  <c r="K9" i="38"/>
  <c r="M10" i="38"/>
  <c r="I21" i="38"/>
  <c r="J21" i="38" s="1"/>
  <c r="J9" i="38"/>
  <c r="I12" i="36"/>
  <c r="J12" i="36" s="1"/>
  <c r="L10" i="30"/>
  <c r="K9" i="54"/>
  <c r="K8" i="53"/>
  <c r="K12" i="53" s="1"/>
  <c r="K14" i="53" s="1"/>
  <c r="I8" i="39"/>
  <c r="K8" i="39" s="1"/>
  <c r="D68" i="51"/>
  <c r="D9" i="39" s="1"/>
  <c r="J9" i="39" s="1"/>
  <c r="H325" i="29"/>
  <c r="I24" i="38"/>
  <c r="J24" i="38" s="1"/>
  <c r="H79" i="29"/>
  <c r="I14" i="38"/>
  <c r="K14" i="38" s="1"/>
  <c r="H41" i="29"/>
  <c r="K9" i="35"/>
  <c r="E117" i="24"/>
  <c r="E91" i="24"/>
  <c r="E90" i="24"/>
  <c r="E49" i="24"/>
  <c r="B8" i="24"/>
  <c r="K6" i="25" s="1"/>
  <c r="L3" i="25" s="1"/>
  <c r="E66" i="47"/>
  <c r="E3" i="46"/>
  <c r="B8" i="46" s="1"/>
  <c r="K4" i="39"/>
  <c r="K4" i="36"/>
  <c r="K4" i="35"/>
  <c r="A2" i="43"/>
  <c r="N1" i="38"/>
  <c r="L20" i="25" s="1"/>
  <c r="D12" i="27" s="1"/>
  <c r="A12" i="27"/>
  <c r="K20" i="38"/>
  <c r="E39" i="24"/>
  <c r="E48" i="24"/>
  <c r="E99" i="24"/>
  <c r="F32" i="47"/>
  <c r="F59" i="47" s="1"/>
  <c r="F83" i="47" s="1"/>
  <c r="F123" i="47" s="1"/>
  <c r="E44" i="24"/>
  <c r="E95" i="24"/>
  <c r="E87" i="24"/>
  <c r="E104" i="24"/>
  <c r="E100" i="24"/>
  <c r="E31" i="24"/>
  <c r="E27" i="24"/>
  <c r="E40" i="24"/>
  <c r="E36" i="24"/>
  <c r="E121" i="24"/>
  <c r="E29" i="24"/>
  <c r="E38" i="24"/>
  <c r="E47" i="24"/>
  <c r="J11" i="39"/>
  <c r="K13" i="39"/>
  <c r="E30" i="24"/>
  <c r="D21" i="51"/>
  <c r="F21" i="51" s="1"/>
  <c r="D42" i="51"/>
  <c r="F42" i="51" s="1"/>
  <c r="J14" i="36"/>
  <c r="J13" i="38"/>
  <c r="J32" i="38"/>
  <c r="J11" i="40"/>
  <c r="E107" i="24"/>
  <c r="Y7" i="3"/>
  <c r="E21" i="24"/>
  <c r="E42" i="24"/>
  <c r="E51" i="24"/>
  <c r="B9" i="46"/>
  <c r="B72" i="46" s="1"/>
  <c r="I22" i="38"/>
  <c r="K22" i="38" s="1"/>
  <c r="E116" i="24"/>
  <c r="W8" i="3"/>
  <c r="W10" i="3" s="1"/>
  <c r="Y11" i="3" s="1"/>
  <c r="E46" i="24"/>
  <c r="K8" i="40"/>
  <c r="J8" i="40"/>
  <c r="D9" i="37"/>
  <c r="J9" i="37" s="1"/>
  <c r="F29" i="51"/>
  <c r="K14" i="36"/>
  <c r="J9" i="54"/>
  <c r="K11" i="39"/>
  <c r="B72" i="47"/>
  <c r="B12" i="24"/>
  <c r="Y5" i="3"/>
  <c r="E89" i="24"/>
  <c r="E106" i="24"/>
  <c r="L23" i="28"/>
  <c r="I8" i="37"/>
  <c r="K8" i="37" s="1"/>
  <c r="J18" i="38"/>
  <c r="J13" i="39"/>
  <c r="M11" i="40"/>
  <c r="H302" i="3"/>
  <c r="B12" i="46"/>
  <c r="B75" i="46" s="1"/>
  <c r="I42" i="28"/>
  <c r="D59" i="46"/>
  <c r="E55" i="24"/>
  <c r="H538" i="29"/>
  <c r="A10" i="27"/>
  <c r="B79" i="46"/>
  <c r="K11" i="40"/>
  <c r="Y4" i="3"/>
  <c r="E32" i="47"/>
  <c r="E20" i="24"/>
  <c r="E28" i="24"/>
  <c r="E24" i="24"/>
  <c r="E33" i="24"/>
  <c r="E41" i="24"/>
  <c r="E37" i="24"/>
  <c r="E45" i="24" s="1"/>
  <c r="E54" i="24"/>
  <c r="E50" i="24"/>
  <c r="E92" i="24"/>
  <c r="E88" i="24"/>
  <c r="S2" i="3"/>
  <c r="T2" i="3" s="1"/>
  <c r="X2" i="3" s="1"/>
  <c r="X3" i="3" s="1"/>
  <c r="I30" i="38"/>
  <c r="J9" i="35"/>
  <c r="J8" i="38"/>
  <c r="K10" i="40"/>
  <c r="J10" i="40"/>
  <c r="E57" i="24"/>
  <c r="E67" i="47"/>
  <c r="A15" i="27"/>
  <c r="N1" i="53"/>
  <c r="L26" i="25" s="1"/>
  <c r="D15" i="27" s="1"/>
  <c r="A13" i="27"/>
  <c r="N1" i="39"/>
  <c r="L22" i="25" s="1"/>
  <c r="D13" i="27" s="1"/>
  <c r="H303" i="3"/>
  <c r="F303" i="3"/>
  <c r="C7" i="25"/>
  <c r="B72" i="24"/>
  <c r="F59" i="46"/>
  <c r="F83" i="46" s="1"/>
  <c r="F123" i="46" s="1"/>
  <c r="E94" i="24"/>
  <c r="E103" i="24"/>
  <c r="E120" i="24"/>
  <c r="E112" i="24"/>
  <c r="K16" i="36"/>
  <c r="M13" i="38"/>
  <c r="L25" i="30"/>
  <c r="L38" i="30"/>
  <c r="L40" i="30"/>
  <c r="L53" i="30"/>
  <c r="K10" i="39"/>
  <c r="F59" i="24"/>
  <c r="F83" i="24" s="1"/>
  <c r="F123" i="24" s="1"/>
  <c r="E32" i="46"/>
  <c r="E109" i="47"/>
  <c r="E97" i="24"/>
  <c r="E105" i="24"/>
  <c r="E101" i="24"/>
  <c r="E110" i="24"/>
  <c r="E118" i="24"/>
  <c r="E114" i="24"/>
  <c r="E96" i="46"/>
  <c r="E109" i="46"/>
  <c r="K28" i="38"/>
  <c r="H292" i="29"/>
  <c r="E8" i="38"/>
  <c r="K8" i="38" s="1"/>
  <c r="M32" i="38"/>
  <c r="J10" i="39"/>
  <c r="J8" i="53"/>
  <c r="E113" i="24"/>
  <c r="I44" i="28"/>
  <c r="K10" i="37"/>
  <c r="J26" i="38"/>
  <c r="H49" i="29"/>
  <c r="F13" i="51"/>
  <c r="K13" i="38"/>
  <c r="J16" i="36"/>
  <c r="D45" i="24"/>
  <c r="E53" i="24"/>
  <c r="G301" i="3"/>
  <c r="G302" i="3" s="1"/>
  <c r="G303" i="3" s="1"/>
  <c r="L546" i="29"/>
  <c r="L517" i="29"/>
  <c r="K517" i="29" s="1"/>
  <c r="L538" i="29"/>
  <c r="L357" i="29"/>
  <c r="K357" i="29" s="1"/>
  <c r="L325" i="29"/>
  <c r="L444" i="29"/>
  <c r="E58" i="47"/>
  <c r="B59" i="47"/>
  <c r="B59" i="24" s="1"/>
  <c r="B83" i="24" s="1"/>
  <c r="G48" i="34"/>
  <c r="J15" i="36"/>
  <c r="K15" i="36"/>
  <c r="M15" i="36"/>
  <c r="H156" i="29"/>
  <c r="I23" i="38"/>
  <c r="H423" i="29"/>
  <c r="I31" i="38"/>
  <c r="I9" i="40"/>
  <c r="F81" i="51"/>
  <c r="F102" i="51" s="1"/>
  <c r="G24" i="25" s="1"/>
  <c r="H546" i="29"/>
  <c r="E45" i="47"/>
  <c r="E122" i="46"/>
  <c r="K4" i="53"/>
  <c r="K4" i="38"/>
  <c r="K4" i="37"/>
  <c r="K4" i="40"/>
  <c r="L262" i="29"/>
  <c r="J8" i="35"/>
  <c r="K8" i="35"/>
  <c r="M8" i="35"/>
  <c r="K17" i="38"/>
  <c r="J8" i="54"/>
  <c r="E8" i="54"/>
  <c r="K8" i="54" s="1"/>
  <c r="E96" i="47"/>
  <c r="E122" i="47"/>
  <c r="D59" i="24"/>
  <c r="D83" i="24" s="1"/>
  <c r="D83" i="46"/>
  <c r="D123" i="46" s="1"/>
  <c r="E58" i="46"/>
  <c r="K32" i="29"/>
  <c r="K530" i="29"/>
  <c r="N1" i="37"/>
  <c r="L18" i="25" s="1"/>
  <c r="D11" i="27" s="1"/>
  <c r="A11" i="27"/>
  <c r="F17" i="51"/>
  <c r="F25" i="51" s="1"/>
  <c r="H11" i="29"/>
  <c r="I8" i="36"/>
  <c r="D17" i="51"/>
  <c r="D9" i="36" s="1"/>
  <c r="J9" i="36" s="1"/>
  <c r="J17" i="38"/>
  <c r="M17" i="38"/>
  <c r="E84" i="24"/>
  <c r="K10" i="36"/>
  <c r="M10" i="36"/>
  <c r="J10" i="36"/>
  <c r="J27" i="38"/>
  <c r="K27" i="38"/>
  <c r="J14" i="38"/>
  <c r="J11" i="36"/>
  <c r="M11" i="36"/>
  <c r="K11" i="36"/>
  <c r="E12" i="38"/>
  <c r="K12" i="38" s="1"/>
  <c r="J12" i="38"/>
  <c r="L23" i="30"/>
  <c r="M12" i="40"/>
  <c r="J12" i="40"/>
  <c r="K12" i="40"/>
  <c r="N48" i="34"/>
  <c r="J17" i="26" s="1"/>
  <c r="L17" i="26" s="1"/>
  <c r="H32" i="25" s="1"/>
  <c r="K32" i="25" s="1"/>
  <c r="O53" i="3" s="1"/>
  <c r="E45" i="46"/>
  <c r="P23" i="28"/>
  <c r="A24" i="28"/>
  <c r="J43" i="28"/>
  <c r="D31" i="51"/>
  <c r="J44" i="28"/>
  <c r="H42" i="28"/>
  <c r="C15" i="3"/>
  <c r="A18" i="3" s="1"/>
  <c r="G43" i="28"/>
  <c r="J13" i="26"/>
  <c r="L13" i="26" s="1"/>
  <c r="E52" i="24"/>
  <c r="M10" i="54"/>
  <c r="H16" i="27" s="1"/>
  <c r="L292" i="29"/>
  <c r="L124" i="29"/>
  <c r="K124" i="29" s="1"/>
  <c r="L391" i="29"/>
  <c r="K391" i="29" s="1"/>
  <c r="K25" i="38"/>
  <c r="L423" i="29"/>
  <c r="I38" i="25"/>
  <c r="N1" i="54"/>
  <c r="L28" i="25" s="1"/>
  <c r="D16" i="27" s="1"/>
  <c r="M13" i="54"/>
  <c r="M15" i="54" s="1"/>
  <c r="M17" i="39"/>
  <c r="L79" i="29"/>
  <c r="L218" i="29"/>
  <c r="K218" i="29" s="1"/>
  <c r="L156" i="29"/>
  <c r="L187" i="29"/>
  <c r="K187" i="29" s="1"/>
  <c r="K62" i="29"/>
  <c r="K436" i="29"/>
  <c r="L70" i="29"/>
  <c r="K70" i="29" s="1"/>
  <c r="L19" i="29"/>
  <c r="K19" i="29" s="1"/>
  <c r="L11" i="29"/>
  <c r="L49" i="29"/>
  <c r="L41" i="29"/>
  <c r="L93" i="29"/>
  <c r="K93" i="29" s="1"/>
  <c r="F530" i="29"/>
  <c r="F32" i="29"/>
  <c r="F62" i="29"/>
  <c r="F436" i="29"/>
  <c r="M9" i="53"/>
  <c r="H15" i="27" s="1"/>
  <c r="M52" i="3"/>
  <c r="F100" i="51" l="1"/>
  <c r="G20" i="25" s="1"/>
  <c r="C3" i="26"/>
  <c r="A3" i="27" s="1"/>
  <c r="A3" i="28" s="1"/>
  <c r="C3" i="29" s="1"/>
  <c r="A3" i="30" s="1"/>
  <c r="A3" i="31" s="1"/>
  <c r="A3" i="32" s="1"/>
  <c r="A3" i="33" s="1"/>
  <c r="A3" i="34" s="1"/>
  <c r="K262" i="29"/>
  <c r="K21" i="38"/>
  <c r="K12" i="39"/>
  <c r="K9" i="53"/>
  <c r="F15" i="27" s="1"/>
  <c r="L9" i="30"/>
  <c r="F68" i="51"/>
  <c r="F73" i="51" s="1"/>
  <c r="F101" i="51" s="1"/>
  <c r="G22" i="25" s="1"/>
  <c r="K29" i="38"/>
  <c r="K12" i="36"/>
  <c r="E13" i="36" s="1"/>
  <c r="K13" i="36" s="1"/>
  <c r="L24" i="30"/>
  <c r="K12" i="37"/>
  <c r="F11" i="27" s="1"/>
  <c r="K79" i="29"/>
  <c r="D13" i="36"/>
  <c r="J13" i="36" s="1"/>
  <c r="L39" i="30"/>
  <c r="K24" i="38"/>
  <c r="K538" i="29"/>
  <c r="J17" i="39"/>
  <c r="J8" i="39"/>
  <c r="J14" i="39" s="1"/>
  <c r="E13" i="27" s="1"/>
  <c r="K325" i="29"/>
  <c r="J22" i="38"/>
  <c r="D15" i="38"/>
  <c r="J15" i="38" s="1"/>
  <c r="K16" i="37"/>
  <c r="K17" i="37" s="1"/>
  <c r="J8" i="37"/>
  <c r="F97" i="51"/>
  <c r="G14" i="25" s="1"/>
  <c r="E66" i="46"/>
  <c r="B71" i="46" s="1"/>
  <c r="K36" i="38"/>
  <c r="E59" i="46"/>
  <c r="E83" i="46" s="1"/>
  <c r="E123" i="46" s="1"/>
  <c r="Y8" i="3"/>
  <c r="E32" i="24"/>
  <c r="Y9" i="3"/>
  <c r="W12" i="3"/>
  <c r="Y10" i="3"/>
  <c r="E122" i="24"/>
  <c r="J16" i="40"/>
  <c r="E58" i="24"/>
  <c r="M16" i="40"/>
  <c r="K16" i="40"/>
  <c r="K17" i="39"/>
  <c r="E96" i="24"/>
  <c r="C3" i="25"/>
  <c r="B75" i="24"/>
  <c r="J36" i="38"/>
  <c r="J30" i="38"/>
  <c r="K30" i="38"/>
  <c r="K546" i="29"/>
  <c r="L525" i="29"/>
  <c r="K292" i="29"/>
  <c r="M36" i="38"/>
  <c r="C32" i="29"/>
  <c r="K49" i="29"/>
  <c r="E59" i="47"/>
  <c r="E83" i="47" s="1"/>
  <c r="E123" i="47" s="1"/>
  <c r="J9" i="53"/>
  <c r="E15" i="27" s="1"/>
  <c r="J12" i="53"/>
  <c r="J14" i="53" s="1"/>
  <c r="F304" i="3"/>
  <c r="G304" i="3" s="1"/>
  <c r="H304" i="3"/>
  <c r="E109" i="24"/>
  <c r="L556" i="29"/>
  <c r="C436" i="29"/>
  <c r="K444" i="29"/>
  <c r="K423" i="29"/>
  <c r="C62" i="29"/>
  <c r="K156" i="29"/>
  <c r="M20" i="36"/>
  <c r="B83" i="47"/>
  <c r="B123" i="47" s="1"/>
  <c r="E15" i="38"/>
  <c r="K15" i="38" s="1"/>
  <c r="M13" i="35"/>
  <c r="M15" i="35" s="1"/>
  <c r="M10" i="35"/>
  <c r="H9" i="27" s="1"/>
  <c r="K20" i="36"/>
  <c r="J8" i="36"/>
  <c r="K8" i="36"/>
  <c r="K10" i="35"/>
  <c r="F9" i="27" s="1"/>
  <c r="K13" i="35"/>
  <c r="K15" i="35" s="1"/>
  <c r="B18" i="3"/>
  <c r="A20" i="3"/>
  <c r="J13" i="35"/>
  <c r="J15" i="35" s="1"/>
  <c r="J10" i="35"/>
  <c r="E9" i="27" s="1"/>
  <c r="X4" i="3"/>
  <c r="X5" i="3" s="1"/>
  <c r="F98" i="51"/>
  <c r="K10" i="54"/>
  <c r="F16" i="27" s="1"/>
  <c r="K13" i="54"/>
  <c r="K15" i="54" s="1"/>
  <c r="K9" i="40"/>
  <c r="J9" i="40"/>
  <c r="J18" i="39"/>
  <c r="F31" i="51"/>
  <c r="F32" i="51" s="1"/>
  <c r="D11" i="37"/>
  <c r="J11" i="37" s="1"/>
  <c r="J10" i="54"/>
  <c r="E16" i="27" s="1"/>
  <c r="J13" i="54"/>
  <c r="J15" i="54" s="1"/>
  <c r="J31" i="38"/>
  <c r="K31" i="38"/>
  <c r="E9" i="39"/>
  <c r="K9" i="39" s="1"/>
  <c r="K18" i="39" s="1"/>
  <c r="K11" i="29"/>
  <c r="J20" i="36"/>
  <c r="J23" i="38"/>
  <c r="K23" i="38"/>
  <c r="L54" i="30"/>
  <c r="L57" i="29"/>
  <c r="K41" i="29"/>
  <c r="L431" i="29"/>
  <c r="L27" i="29"/>
  <c r="AW52" i="3"/>
  <c r="F29" i="38" s="1"/>
  <c r="AI52" i="3"/>
  <c r="F12" i="38" s="1"/>
  <c r="AU52" i="3"/>
  <c r="F27" i="38" s="1"/>
  <c r="AG52" i="3"/>
  <c r="F9" i="38" s="1"/>
  <c r="AY52" i="3"/>
  <c r="F31" i="38" s="1"/>
  <c r="AR52" i="3"/>
  <c r="F24" i="38" s="1"/>
  <c r="BK52" i="3"/>
  <c r="F8" i="53" s="1"/>
  <c r="Q52" i="3"/>
  <c r="BI52" i="3"/>
  <c r="F11" i="40" s="1"/>
  <c r="BX52" i="3"/>
  <c r="BS52" i="3"/>
  <c r="BC52" i="3"/>
  <c r="F11" i="39" s="1"/>
  <c r="AT52" i="3"/>
  <c r="F26" i="38" s="1"/>
  <c r="AJ52" i="3"/>
  <c r="F13" i="38" s="1"/>
  <c r="AA52" i="3"/>
  <c r="F14" i="36" s="1"/>
  <c r="AX52" i="3"/>
  <c r="F30" i="38" s="1"/>
  <c r="BD52" i="3"/>
  <c r="F12" i="39" s="1"/>
  <c r="AK52" i="3"/>
  <c r="F14" i="38" s="1"/>
  <c r="BL52" i="3"/>
  <c r="F8" i="54" s="1"/>
  <c r="Y52" i="3"/>
  <c r="F11" i="36" s="1"/>
  <c r="BP52" i="3"/>
  <c r="AH52" i="3"/>
  <c r="F10" i="38" s="1"/>
  <c r="BM52" i="3"/>
  <c r="F9" i="54" s="1"/>
  <c r="AB52" i="3"/>
  <c r="F15" i="36" s="1"/>
  <c r="V52" i="3"/>
  <c r="F9" i="35" s="1"/>
  <c r="Z52" i="3"/>
  <c r="F12" i="36" s="1"/>
  <c r="BY52" i="3"/>
  <c r="BT52" i="3"/>
  <c r="AF52" i="3"/>
  <c r="F8" i="38" s="1"/>
  <c r="W52" i="3"/>
  <c r="F8" i="36" s="1"/>
  <c r="AO52" i="3"/>
  <c r="F21" i="38" s="1"/>
  <c r="T52" i="3"/>
  <c r="I27" i="27" s="1"/>
  <c r="J27" i="27" s="1"/>
  <c r="AZ52" i="3"/>
  <c r="F32" i="38" s="1"/>
  <c r="BN52" i="3"/>
  <c r="AS52" i="3"/>
  <c r="F25" i="38" s="1"/>
  <c r="U52" i="3"/>
  <c r="F8" i="35" s="1"/>
  <c r="AE52" i="3"/>
  <c r="F10" i="37" s="1"/>
  <c r="BV52" i="3"/>
  <c r="AM52" i="3"/>
  <c r="F18" i="38" s="1"/>
  <c r="BG52" i="3"/>
  <c r="F9" i="40" s="1"/>
  <c r="BH52" i="3"/>
  <c r="AP52" i="3"/>
  <c r="F22" i="38" s="1"/>
  <c r="X52" i="3"/>
  <c r="F10" i="36" s="1"/>
  <c r="BO52" i="3"/>
  <c r="BB52" i="3"/>
  <c r="F10" i="39" s="1"/>
  <c r="AN52" i="3"/>
  <c r="F20" i="38" s="1"/>
  <c r="BF52" i="3"/>
  <c r="F8" i="40" s="1"/>
  <c r="G8" i="40" s="1"/>
  <c r="M8" i="40" s="1"/>
  <c r="BU52" i="3"/>
  <c r="BZ52" i="3"/>
  <c r="AV52" i="3"/>
  <c r="F28" i="38" s="1"/>
  <c r="N52" i="3"/>
  <c r="BJ52" i="3"/>
  <c r="F12" i="40" s="1"/>
  <c r="BE52" i="3"/>
  <c r="F13" i="39" s="1"/>
  <c r="AQ52" i="3"/>
  <c r="F23" i="38" s="1"/>
  <c r="R52" i="3"/>
  <c r="J26" i="26" s="1"/>
  <c r="L26" i="26" s="1"/>
  <c r="AC52" i="3"/>
  <c r="F16" i="36" s="1"/>
  <c r="BA52" i="3"/>
  <c r="F8" i="39" s="1"/>
  <c r="L8" i="39" s="1"/>
  <c r="S52" i="3"/>
  <c r="AL52" i="3"/>
  <c r="F17" i="38" s="1"/>
  <c r="BW52" i="3"/>
  <c r="AD52" i="3"/>
  <c r="F8" i="37" s="1"/>
  <c r="C530" i="29" l="1"/>
  <c r="F99" i="51"/>
  <c r="G18" i="25" s="1"/>
  <c r="F92" i="51"/>
  <c r="J19" i="39"/>
  <c r="K14" i="39"/>
  <c r="F13" i="27" s="1"/>
  <c r="J33" i="38"/>
  <c r="E12" i="27" s="1"/>
  <c r="Y12" i="3"/>
  <c r="Y13" i="3"/>
  <c r="W14" i="3"/>
  <c r="E59" i="24"/>
  <c r="E83" i="24" s="1"/>
  <c r="E123" i="24" s="1"/>
  <c r="K33" i="38"/>
  <c r="F12" i="27" s="1"/>
  <c r="K19" i="39"/>
  <c r="L558" i="29"/>
  <c r="I25" i="27" s="1"/>
  <c r="J25" i="27" s="1"/>
  <c r="K37" i="38"/>
  <c r="K38" i="38" s="1"/>
  <c r="H305" i="3"/>
  <c r="F305" i="3"/>
  <c r="B123" i="24"/>
  <c r="B16" i="47"/>
  <c r="B79" i="47" s="1"/>
  <c r="G16" i="25"/>
  <c r="G40" i="25" s="1"/>
  <c r="G42" i="25" s="1"/>
  <c r="G44" i="25" s="1"/>
  <c r="F106" i="51"/>
  <c r="F14" i="51" s="1"/>
  <c r="E14" i="51" s="1"/>
  <c r="J12" i="37"/>
  <c r="E11" i="27" s="1"/>
  <c r="J16" i="37"/>
  <c r="J17" i="37" s="1"/>
  <c r="J17" i="40"/>
  <c r="J18" i="40" s="1"/>
  <c r="J13" i="40"/>
  <c r="E14" i="27" s="1"/>
  <c r="J37" i="38"/>
  <c r="J38" i="38" s="1"/>
  <c r="K17" i="40"/>
  <c r="K18" i="40" s="1"/>
  <c r="K13" i="40"/>
  <c r="F14" i="27" s="1"/>
  <c r="X6" i="3"/>
  <c r="E9" i="36"/>
  <c r="K9" i="36" s="1"/>
  <c r="K21" i="36" s="1"/>
  <c r="K22" i="36" s="1"/>
  <c r="F20" i="3"/>
  <c r="G20" i="3" s="1"/>
  <c r="C20" i="3"/>
  <c r="D20" i="3" s="1"/>
  <c r="H20" i="3"/>
  <c r="A21" i="3"/>
  <c r="J21" i="36"/>
  <c r="J22" i="36" s="1"/>
  <c r="J17" i="36"/>
  <c r="E10" i="27" s="1"/>
  <c r="L29" i="29"/>
  <c r="L38" i="29" s="1"/>
  <c r="L59" i="29" s="1"/>
  <c r="L68" i="29" s="1"/>
  <c r="L433" i="29" s="1"/>
  <c r="L442" i="29" s="1"/>
  <c r="L527" i="29" s="1"/>
  <c r="L536" i="29" s="1"/>
  <c r="L16" i="36"/>
  <c r="H16" i="36"/>
  <c r="L12" i="40"/>
  <c r="H12" i="40"/>
  <c r="L9" i="40"/>
  <c r="G9" i="40"/>
  <c r="M9" i="40" s="1"/>
  <c r="L8" i="35"/>
  <c r="H8" i="35"/>
  <c r="L15" i="36"/>
  <c r="H15" i="36"/>
  <c r="L11" i="36"/>
  <c r="H11" i="36"/>
  <c r="L30" i="38"/>
  <c r="G30" i="38"/>
  <c r="M30" i="38" s="1"/>
  <c r="H11" i="39"/>
  <c r="L11" i="39"/>
  <c r="H9" i="38"/>
  <c r="L9" i="38"/>
  <c r="H17" i="38"/>
  <c r="L17" i="38"/>
  <c r="L8" i="40"/>
  <c r="H8" i="40"/>
  <c r="L10" i="36"/>
  <c r="H10" i="36"/>
  <c r="L18" i="38"/>
  <c r="H18" i="38"/>
  <c r="L25" i="38"/>
  <c r="G25" i="38"/>
  <c r="M25" i="38" s="1"/>
  <c r="L21" i="38"/>
  <c r="G21" i="38"/>
  <c r="M21" i="38" s="1"/>
  <c r="H8" i="54"/>
  <c r="L8" i="54"/>
  <c r="H14" i="36"/>
  <c r="L14" i="36"/>
  <c r="H8" i="53"/>
  <c r="L8" i="53"/>
  <c r="G27" i="38"/>
  <c r="L27" i="38"/>
  <c r="L23" i="38"/>
  <c r="G23" i="38"/>
  <c r="M23" i="38" s="1"/>
  <c r="L28" i="38"/>
  <c r="G28" i="38"/>
  <c r="M28" i="38" s="1"/>
  <c r="G20" i="38"/>
  <c r="M20" i="38" s="1"/>
  <c r="L20" i="38"/>
  <c r="L22" i="38"/>
  <c r="G22" i="38"/>
  <c r="G8" i="36"/>
  <c r="M8" i="36" s="1"/>
  <c r="L8" i="36"/>
  <c r="F9" i="36" s="1"/>
  <c r="L12" i="36"/>
  <c r="F13" i="36" s="1"/>
  <c r="G12" i="36"/>
  <c r="H10" i="38"/>
  <c r="L10" i="38"/>
  <c r="G14" i="38"/>
  <c r="L14" i="38"/>
  <c r="F15" i="38" s="1"/>
  <c r="L15" i="38" s="1"/>
  <c r="L13" i="38"/>
  <c r="H13" i="38"/>
  <c r="G24" i="38"/>
  <c r="M24" i="38" s="1"/>
  <c r="L24" i="38"/>
  <c r="H12" i="38"/>
  <c r="L12" i="38"/>
  <c r="L8" i="37"/>
  <c r="F9" i="37" s="1"/>
  <c r="L9" i="37" s="1"/>
  <c r="G8" i="37"/>
  <c r="F9" i="39"/>
  <c r="L9" i="39" s="1"/>
  <c r="G8" i="39"/>
  <c r="M8" i="39" s="1"/>
  <c r="L13" i="39"/>
  <c r="H13" i="39"/>
  <c r="H10" i="39"/>
  <c r="L10" i="39"/>
  <c r="F10" i="40"/>
  <c r="G10" i="37"/>
  <c r="M10" i="37" s="1"/>
  <c r="L10" i="37"/>
  <c r="F11" i="37" s="1"/>
  <c r="H11" i="37" s="1"/>
  <c r="L32" i="38"/>
  <c r="H32" i="38"/>
  <c r="L8" i="38"/>
  <c r="H8" i="38"/>
  <c r="L9" i="35"/>
  <c r="H9" i="35"/>
  <c r="L12" i="39"/>
  <c r="G12" i="39"/>
  <c r="G26" i="38"/>
  <c r="L26" i="38"/>
  <c r="L11" i="40"/>
  <c r="H11" i="40"/>
  <c r="L31" i="38"/>
  <c r="G31" i="38"/>
  <c r="M31" i="38" s="1"/>
  <c r="L29" i="38"/>
  <c r="G29" i="38"/>
  <c r="M29" i="38" s="1"/>
  <c r="K17" i="36" l="1"/>
  <c r="F10" i="27" s="1"/>
  <c r="F17" i="27" s="1"/>
  <c r="Y14" i="3"/>
  <c r="Y15" i="3"/>
  <c r="W16" i="3"/>
  <c r="E17" i="27"/>
  <c r="H306" i="3"/>
  <c r="F306" i="3"/>
  <c r="G305" i="3"/>
  <c r="G306" i="3" s="1"/>
  <c r="X7" i="3"/>
  <c r="F108" i="51"/>
  <c r="F110" i="51" s="1"/>
  <c r="B21" i="3"/>
  <c r="A22" i="3" s="1"/>
  <c r="H21" i="3"/>
  <c r="C21" i="3"/>
  <c r="D21" i="3" s="1"/>
  <c r="F21" i="3"/>
  <c r="G21" i="3" s="1"/>
  <c r="H20" i="38"/>
  <c r="N20" i="38" s="1"/>
  <c r="H21" i="38"/>
  <c r="N21" i="38" s="1"/>
  <c r="H24" i="38"/>
  <c r="N24" i="38" s="1"/>
  <c r="H29" i="38"/>
  <c r="N9" i="35"/>
  <c r="V53" i="3"/>
  <c r="N32" i="38"/>
  <c r="AZ53" i="3"/>
  <c r="N10" i="39"/>
  <c r="BB53" i="3"/>
  <c r="AI53" i="3"/>
  <c r="N12" i="38"/>
  <c r="AJ53" i="3"/>
  <c r="N13" i="38"/>
  <c r="L9" i="36"/>
  <c r="H28" i="38"/>
  <c r="L12" i="53"/>
  <c r="L14" i="53" s="1"/>
  <c r="L9" i="53"/>
  <c r="G15" i="27" s="1"/>
  <c r="I26" i="25" s="1"/>
  <c r="AM53" i="3"/>
  <c r="N18" i="38"/>
  <c r="N8" i="40"/>
  <c r="BF53" i="3"/>
  <c r="H30" i="38"/>
  <c r="L13" i="35"/>
  <c r="L15" i="35" s="1"/>
  <c r="L10" i="35"/>
  <c r="G9" i="27" s="1"/>
  <c r="I14" i="25" s="1"/>
  <c r="BJ53" i="3"/>
  <c r="N12" i="40"/>
  <c r="M26" i="38"/>
  <c r="H26" i="38"/>
  <c r="L10" i="40"/>
  <c r="L16" i="40" s="1"/>
  <c r="H10" i="40"/>
  <c r="BE53" i="3"/>
  <c r="N13" i="39"/>
  <c r="H8" i="37"/>
  <c r="M8" i="37"/>
  <c r="AH53" i="3"/>
  <c r="N10" i="38"/>
  <c r="G9" i="36"/>
  <c r="M9" i="36" s="1"/>
  <c r="N8" i="53"/>
  <c r="BK53" i="3"/>
  <c r="N8" i="54"/>
  <c r="BL53" i="3"/>
  <c r="L17" i="40"/>
  <c r="N9" i="38"/>
  <c r="AG53" i="3"/>
  <c r="AB53" i="3"/>
  <c r="N15" i="36"/>
  <c r="M17" i="40"/>
  <c r="M18" i="40" s="1"/>
  <c r="M13" i="40"/>
  <c r="H14" i="27" s="1"/>
  <c r="BP53" i="3"/>
  <c r="N11" i="40"/>
  <c r="BI53" i="3"/>
  <c r="M12" i="39"/>
  <c r="H12" i="39"/>
  <c r="N8" i="38"/>
  <c r="AF53" i="3"/>
  <c r="L11" i="37"/>
  <c r="L16" i="37" s="1"/>
  <c r="L17" i="37" s="1"/>
  <c r="M12" i="36"/>
  <c r="G13" i="36" s="1"/>
  <c r="M13" i="36" s="1"/>
  <c r="H12" i="36"/>
  <c r="H8" i="36"/>
  <c r="H25" i="38"/>
  <c r="N10" i="36"/>
  <c r="X53" i="3"/>
  <c r="N16" i="36"/>
  <c r="AC53" i="3"/>
  <c r="H31" i="38"/>
  <c r="L36" i="38"/>
  <c r="H10" i="37"/>
  <c r="L17" i="39"/>
  <c r="H8" i="39"/>
  <c r="H14" i="38"/>
  <c r="M14" i="38"/>
  <c r="L13" i="36"/>
  <c r="M22" i="38"/>
  <c r="H22" i="38"/>
  <c r="H23" i="38"/>
  <c r="M27" i="38"/>
  <c r="H27" i="38"/>
  <c r="N14" i="36"/>
  <c r="AA53" i="3"/>
  <c r="L20" i="36"/>
  <c r="N17" i="38"/>
  <c r="AL53" i="3"/>
  <c r="N11" i="39"/>
  <c r="BC53" i="3"/>
  <c r="N11" i="36"/>
  <c r="Y53" i="3"/>
  <c r="N8" i="35"/>
  <c r="U53" i="3"/>
  <c r="H9" i="40"/>
  <c r="L14" i="39"/>
  <c r="G13" i="27" s="1"/>
  <c r="I22" i="25" s="1"/>
  <c r="L18" i="39"/>
  <c r="L33" i="38"/>
  <c r="G12" i="27" s="1"/>
  <c r="I20" i="25" s="1"/>
  <c r="L37" i="38"/>
  <c r="B13" i="47" l="1"/>
  <c r="B76" i="47" s="1"/>
  <c r="Y17" i="3"/>
  <c r="W18" i="3"/>
  <c r="Y16" i="3"/>
  <c r="L38" i="38"/>
  <c r="L19" i="39"/>
  <c r="H307" i="3"/>
  <c r="F307" i="3"/>
  <c r="L13" i="40"/>
  <c r="G14" i="27" s="1"/>
  <c r="I24" i="25" s="1"/>
  <c r="A23" i="3"/>
  <c r="F22" i="3"/>
  <c r="G22" i="3" s="1"/>
  <c r="C22" i="3"/>
  <c r="D22" i="3" s="1"/>
  <c r="H22" i="3"/>
  <c r="X8" i="3"/>
  <c r="X9" i="3" s="1"/>
  <c r="X10" i="3" s="1"/>
  <c r="L17" i="36"/>
  <c r="G10" i="27" s="1"/>
  <c r="I16" i="25" s="1"/>
  <c r="AO53" i="3"/>
  <c r="AN53" i="3"/>
  <c r="AR53" i="3"/>
  <c r="M17" i="36"/>
  <c r="H10" i="27" s="1"/>
  <c r="L12" i="37"/>
  <c r="G11" i="27" s="1"/>
  <c r="I18" i="25" s="1"/>
  <c r="L21" i="36"/>
  <c r="L22" i="36" s="1"/>
  <c r="BA53" i="3"/>
  <c r="N8" i="39"/>
  <c r="G9" i="37"/>
  <c r="N10" i="40"/>
  <c r="N16" i="40" s="1"/>
  <c r="BH53" i="3"/>
  <c r="N30" i="38"/>
  <c r="AX53" i="3"/>
  <c r="N9" i="40"/>
  <c r="N17" i="40" s="1"/>
  <c r="BG53" i="3"/>
  <c r="N27" i="38"/>
  <c r="AU53" i="3"/>
  <c r="N14" i="38"/>
  <c r="AK53" i="3"/>
  <c r="N13" i="35"/>
  <c r="N15" i="35" s="1"/>
  <c r="N10" i="35"/>
  <c r="I9" i="27" s="1"/>
  <c r="AQ53" i="3"/>
  <c r="N23" i="38"/>
  <c r="H13" i="36"/>
  <c r="N13" i="36" s="1"/>
  <c r="G9" i="39"/>
  <c r="N31" i="38"/>
  <c r="AY53" i="3"/>
  <c r="N20" i="36"/>
  <c r="N8" i="36"/>
  <c r="W53" i="3"/>
  <c r="N36" i="38"/>
  <c r="M21" i="36"/>
  <c r="M22" i="36" s="1"/>
  <c r="N8" i="37"/>
  <c r="AD53" i="3"/>
  <c r="L18" i="40"/>
  <c r="N28" i="38"/>
  <c r="AV53" i="3"/>
  <c r="N10" i="37"/>
  <c r="AE53" i="3"/>
  <c r="AP53" i="3"/>
  <c r="N22" i="38"/>
  <c r="G15" i="38"/>
  <c r="AS53" i="3"/>
  <c r="N25" i="38"/>
  <c r="N12" i="36"/>
  <c r="Z53" i="3"/>
  <c r="N12" i="39"/>
  <c r="BD53" i="3"/>
  <c r="N9" i="53"/>
  <c r="I15" i="27" s="1"/>
  <c r="N12" i="53"/>
  <c r="N14" i="53" s="1"/>
  <c r="N17" i="39"/>
  <c r="N26" i="38"/>
  <c r="AT53" i="3"/>
  <c r="H9" i="36"/>
  <c r="N9" i="36" s="1"/>
  <c r="N29" i="38"/>
  <c r="AW53" i="3"/>
  <c r="B13" i="46" l="1"/>
  <c r="B76" i="46" s="1"/>
  <c r="B13" i="24"/>
  <c r="B76" i="24" s="1"/>
  <c r="Y19" i="3"/>
  <c r="Y18" i="3"/>
  <c r="W20" i="3"/>
  <c r="F308" i="3"/>
  <c r="H308" i="3"/>
  <c r="G307" i="3"/>
  <c r="G308" i="3" s="1"/>
  <c r="X11" i="3"/>
  <c r="X12" i="3" s="1"/>
  <c r="A24" i="3"/>
  <c r="C23" i="3"/>
  <c r="D23" i="3" s="1"/>
  <c r="F23" i="3"/>
  <c r="G23" i="3" s="1"/>
  <c r="H23" i="3"/>
  <c r="N13" i="40"/>
  <c r="I14" i="27" s="1"/>
  <c r="H24" i="25" s="1"/>
  <c r="K24" i="25" s="1"/>
  <c r="M9" i="37"/>
  <c r="H9" i="37"/>
  <c r="N9" i="37" s="1"/>
  <c r="N16" i="37" s="1"/>
  <c r="N17" i="37" s="1"/>
  <c r="N17" i="36"/>
  <c r="I10" i="27" s="1"/>
  <c r="N18" i="40"/>
  <c r="J15" i="27"/>
  <c r="H26" i="25"/>
  <c r="K26" i="25" s="1"/>
  <c r="N21" i="36"/>
  <c r="N22" i="36" s="1"/>
  <c r="M15" i="38"/>
  <c r="H15" i="38"/>
  <c r="N15" i="38" s="1"/>
  <c r="N37" i="38" s="1"/>
  <c r="N38" i="38" s="1"/>
  <c r="M9" i="39"/>
  <c r="H9" i="39"/>
  <c r="N9" i="39" s="1"/>
  <c r="N18" i="39" s="1"/>
  <c r="N19" i="39" s="1"/>
  <c r="H14" i="25"/>
  <c r="K14" i="25" s="1"/>
  <c r="J9" i="27"/>
  <c r="Y21" i="3" l="1"/>
  <c r="W22" i="3"/>
  <c r="Y20" i="3"/>
  <c r="H309" i="3"/>
  <c r="F309" i="3"/>
  <c r="X13" i="3"/>
  <c r="X14" i="3" s="1"/>
  <c r="F24" i="3"/>
  <c r="G24" i="3" s="1"/>
  <c r="H24" i="3"/>
  <c r="A25" i="3"/>
  <c r="C24" i="3"/>
  <c r="D24" i="3" s="1"/>
  <c r="N33" i="38"/>
  <c r="I12" i="27" s="1"/>
  <c r="H20" i="25" s="1"/>
  <c r="K20" i="25" s="1"/>
  <c r="J14" i="27"/>
  <c r="M12" i="37"/>
  <c r="H11" i="27" s="1"/>
  <c r="M16" i="37"/>
  <c r="M17" i="37" s="1"/>
  <c r="N12" i="37"/>
  <c r="I11" i="27" s="1"/>
  <c r="M14" i="39"/>
  <c r="H13" i="27" s="1"/>
  <c r="M18" i="39"/>
  <c r="M19" i="39" s="1"/>
  <c r="M33" i="38"/>
  <c r="H12" i="27" s="1"/>
  <c r="M37" i="38"/>
  <c r="M38" i="38" s="1"/>
  <c r="N14" i="39"/>
  <c r="I13" i="27" s="1"/>
  <c r="J10" i="27"/>
  <c r="H16" i="25"/>
  <c r="K16" i="25" s="1"/>
  <c r="Y23" i="3" l="1"/>
  <c r="W24" i="3"/>
  <c r="Y22" i="3"/>
  <c r="X15" i="3"/>
  <c r="X16" i="3" s="1"/>
  <c r="F310" i="3"/>
  <c r="H310" i="3"/>
  <c r="G309" i="3"/>
  <c r="J12" i="27"/>
  <c r="C25" i="3"/>
  <c r="D25" i="3" s="1"/>
  <c r="H25" i="3"/>
  <c r="A26" i="3"/>
  <c r="F25" i="3"/>
  <c r="G25" i="3" s="1"/>
  <c r="H17" i="27"/>
  <c r="J13" i="27"/>
  <c r="H22" i="25"/>
  <c r="K22" i="25" s="1"/>
  <c r="J11" i="27"/>
  <c r="H18" i="25"/>
  <c r="K18" i="25" s="1"/>
  <c r="Y24" i="3" l="1"/>
  <c r="W26" i="3"/>
  <c r="Y25" i="3"/>
  <c r="G310" i="3"/>
  <c r="X17" i="3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F311" i="3"/>
  <c r="H311" i="3"/>
  <c r="A27" i="3"/>
  <c r="H26" i="3"/>
  <c r="F26" i="3"/>
  <c r="G26" i="3" s="1"/>
  <c r="C26" i="3"/>
  <c r="D26" i="3" s="1"/>
  <c r="Y27" i="3" l="1"/>
  <c r="W28" i="3"/>
  <c r="Y26" i="3"/>
  <c r="H312" i="3"/>
  <c r="F312" i="3"/>
  <c r="G311" i="3"/>
  <c r="A28" i="3"/>
  <c r="H27" i="3"/>
  <c r="F27" i="3"/>
  <c r="G27" i="3" s="1"/>
  <c r="C27" i="3"/>
  <c r="D27" i="3" s="1"/>
  <c r="Y29" i="3" l="1"/>
  <c r="W30" i="3"/>
  <c r="Y28" i="3"/>
  <c r="G312" i="3"/>
  <c r="H313" i="3"/>
  <c r="F313" i="3"/>
  <c r="C28" i="3"/>
  <c r="D28" i="3" s="1"/>
  <c r="H28" i="3"/>
  <c r="A29" i="3"/>
  <c r="F28" i="3"/>
  <c r="G28" i="3" s="1"/>
  <c r="W32" i="3" l="1"/>
  <c r="Y31" i="3"/>
  <c r="Y30" i="3"/>
  <c r="F314" i="3"/>
  <c r="H314" i="3"/>
  <c r="G313" i="3"/>
  <c r="H29" i="3"/>
  <c r="F29" i="3"/>
  <c r="G29" i="3" s="1"/>
  <c r="A30" i="3"/>
  <c r="C29" i="3"/>
  <c r="D29" i="3" s="1"/>
  <c r="Y33" i="3" l="1"/>
  <c r="W34" i="3"/>
  <c r="Y32" i="3"/>
  <c r="G314" i="3"/>
  <c r="H315" i="3"/>
  <c r="F315" i="3"/>
  <c r="A31" i="3"/>
  <c r="H30" i="3"/>
  <c r="C30" i="3"/>
  <c r="D30" i="3" s="1"/>
  <c r="F30" i="3"/>
  <c r="G30" i="3" s="1"/>
  <c r="W36" i="3" l="1"/>
  <c r="Y34" i="3"/>
  <c r="Y35" i="3"/>
  <c r="F316" i="3"/>
  <c r="H316" i="3"/>
  <c r="G315" i="3"/>
  <c r="G316" i="3" s="1"/>
  <c r="A32" i="3"/>
  <c r="H31" i="3"/>
  <c r="C31" i="3"/>
  <c r="D31" i="3" s="1"/>
  <c r="F31" i="3"/>
  <c r="G31" i="3" s="1"/>
  <c r="Y37" i="3" l="1"/>
  <c r="Y36" i="3"/>
  <c r="W38" i="3"/>
  <c r="F317" i="3"/>
  <c r="H317" i="3"/>
  <c r="F32" i="3"/>
  <c r="G32" i="3" s="1"/>
  <c r="H32" i="3"/>
  <c r="A33" i="3"/>
  <c r="C32" i="3"/>
  <c r="D32" i="3" s="1"/>
  <c r="Y38" i="3" l="1"/>
  <c r="Y39" i="3"/>
  <c r="W40" i="3"/>
  <c r="H318" i="3"/>
  <c r="F318" i="3"/>
  <c r="G317" i="3"/>
  <c r="H33" i="3"/>
  <c r="F33" i="3"/>
  <c r="G33" i="3" s="1"/>
  <c r="B33" i="3"/>
  <c r="A34" i="3" s="1"/>
  <c r="C33" i="3"/>
  <c r="D33" i="3" s="1"/>
  <c r="Y41" i="3" l="1"/>
  <c r="U2" i="3" s="1"/>
  <c r="A20" i="24" s="1"/>
  <c r="Y40" i="3"/>
  <c r="G318" i="3"/>
  <c r="F319" i="3"/>
  <c r="H319" i="3"/>
  <c r="H34" i="3"/>
  <c r="C34" i="3"/>
  <c r="D34" i="3" s="1"/>
  <c r="F34" i="3"/>
  <c r="G34" i="3" s="1"/>
  <c r="A35" i="3"/>
  <c r="A20" i="46" l="1"/>
  <c r="E19" i="47"/>
  <c r="A21" i="24"/>
  <c r="A20" i="47"/>
  <c r="A32" i="24"/>
  <c r="H320" i="3"/>
  <c r="F320" i="3"/>
  <c r="G319" i="3"/>
  <c r="F35" i="3"/>
  <c r="G35" i="3" s="1"/>
  <c r="H35" i="3"/>
  <c r="A36" i="3"/>
  <c r="C35" i="3"/>
  <c r="D35" i="3" s="1"/>
  <c r="A32" i="46" l="1"/>
  <c r="A32" i="47"/>
  <c r="A22" i="24"/>
  <c r="A21" i="46"/>
  <c r="A21" i="47"/>
  <c r="F321" i="3"/>
  <c r="H321" i="3"/>
  <c r="G320" i="3"/>
  <c r="F36" i="3"/>
  <c r="G36" i="3" s="1"/>
  <c r="H36" i="3"/>
  <c r="C36" i="3"/>
  <c r="D36" i="3" s="1"/>
  <c r="A37" i="3"/>
  <c r="A22" i="47" l="1"/>
  <c r="A23" i="24"/>
  <c r="A22" i="46"/>
  <c r="G321" i="3"/>
  <c r="H322" i="3"/>
  <c r="F322" i="3"/>
  <c r="H37" i="3"/>
  <c r="F37" i="3"/>
  <c r="G37" i="3" s="1"/>
  <c r="A38" i="3"/>
  <c r="C37" i="3"/>
  <c r="D37" i="3" s="1"/>
  <c r="A24" i="24" l="1"/>
  <c r="A23" i="46"/>
  <c r="A23" i="47"/>
  <c r="F323" i="3"/>
  <c r="H323" i="3"/>
  <c r="G322" i="3"/>
  <c r="H38" i="3"/>
  <c r="A39" i="3"/>
  <c r="F38" i="3"/>
  <c r="G38" i="3" s="1"/>
  <c r="C38" i="3"/>
  <c r="D38" i="3" s="1"/>
  <c r="A24" i="47" l="1"/>
  <c r="A25" i="24"/>
  <c r="A24" i="46"/>
  <c r="G323" i="3"/>
  <c r="F324" i="3"/>
  <c r="H324" i="3"/>
  <c r="C39" i="3"/>
  <c r="D39" i="3" s="1"/>
  <c r="A40" i="3"/>
  <c r="H39" i="3"/>
  <c r="F39" i="3"/>
  <c r="G39" i="3" s="1"/>
  <c r="A25" i="46" l="1"/>
  <c r="A25" i="47"/>
  <c r="A26" i="24"/>
  <c r="G324" i="3"/>
  <c r="F325" i="3"/>
  <c r="H325" i="3"/>
  <c r="A41" i="3"/>
  <c r="F40" i="3"/>
  <c r="G40" i="3" s="1"/>
  <c r="H40" i="3"/>
  <c r="C40" i="3"/>
  <c r="D40" i="3" s="1"/>
  <c r="A27" i="24" l="1"/>
  <c r="A26" i="47"/>
  <c r="A26" i="46"/>
  <c r="H326" i="3"/>
  <c r="F326" i="3"/>
  <c r="G325" i="3"/>
  <c r="G326" i="3" s="1"/>
  <c r="A42" i="3"/>
  <c r="F41" i="3"/>
  <c r="G41" i="3" s="1"/>
  <c r="C41" i="3"/>
  <c r="D41" i="3" s="1"/>
  <c r="H41" i="3"/>
  <c r="A28" i="24" l="1"/>
  <c r="A27" i="46"/>
  <c r="A27" i="47"/>
  <c r="F327" i="3"/>
  <c r="H327" i="3"/>
  <c r="G327" i="3"/>
  <c r="A43" i="3"/>
  <c r="C42" i="3"/>
  <c r="D42" i="3" s="1"/>
  <c r="F42" i="3"/>
  <c r="G42" i="3" s="1"/>
  <c r="H42" i="3"/>
  <c r="A28" i="47" l="1"/>
  <c r="A29" i="24"/>
  <c r="A28" i="46"/>
  <c r="H328" i="3"/>
  <c r="F328" i="3"/>
  <c r="H43" i="3"/>
  <c r="A44" i="3"/>
  <c r="C43" i="3"/>
  <c r="D43" i="3" s="1"/>
  <c r="F43" i="3"/>
  <c r="G43" i="3" s="1"/>
  <c r="A29" i="47" l="1"/>
  <c r="A29" i="46"/>
  <c r="A30" i="24"/>
  <c r="H329" i="3"/>
  <c r="F329" i="3"/>
  <c r="G328" i="3"/>
  <c r="A45" i="3"/>
  <c r="H44" i="3"/>
  <c r="F44" i="3"/>
  <c r="G44" i="3" s="1"/>
  <c r="C44" i="3"/>
  <c r="D44" i="3" s="1"/>
  <c r="A30" i="46" l="1"/>
  <c r="A30" i="47"/>
  <c r="A31" i="24"/>
  <c r="G329" i="3"/>
  <c r="H330" i="3"/>
  <c r="F330" i="3"/>
  <c r="B45" i="3"/>
  <c r="A46" i="3" s="1"/>
  <c r="F45" i="3"/>
  <c r="G45" i="3" s="1"/>
  <c r="C45" i="3"/>
  <c r="D45" i="3" s="1"/>
  <c r="H45" i="3"/>
  <c r="G330" i="3" l="1"/>
  <c r="A31" i="46"/>
  <c r="A31" i="47"/>
  <c r="A33" i="24"/>
  <c r="F331" i="3"/>
  <c r="H331" i="3"/>
  <c r="H46" i="3"/>
  <c r="A47" i="3"/>
  <c r="F46" i="3"/>
  <c r="G46" i="3" s="1"/>
  <c r="C46" i="3"/>
  <c r="D46" i="3" s="1"/>
  <c r="A34" i="24" l="1"/>
  <c r="A33" i="46"/>
  <c r="A45" i="24"/>
  <c r="A33" i="47"/>
  <c r="F332" i="3"/>
  <c r="H332" i="3"/>
  <c r="G331" i="3"/>
  <c r="C47" i="3"/>
  <c r="D47" i="3" s="1"/>
  <c r="A48" i="3"/>
  <c r="H47" i="3"/>
  <c r="F47" i="3"/>
  <c r="G47" i="3" s="1"/>
  <c r="A45" i="47" l="1"/>
  <c r="A45" i="46"/>
  <c r="A34" i="46"/>
  <c r="A34" i="47"/>
  <c r="A35" i="24"/>
  <c r="G332" i="3"/>
  <c r="F333" i="3"/>
  <c r="H333" i="3"/>
  <c r="H48" i="3"/>
  <c r="A49" i="3"/>
  <c r="F48" i="3"/>
  <c r="G48" i="3" s="1"/>
  <c r="C48" i="3"/>
  <c r="D48" i="3" s="1"/>
  <c r="A36" i="24" l="1"/>
  <c r="A35" i="47"/>
  <c r="A35" i="46"/>
  <c r="H334" i="3"/>
  <c r="F334" i="3"/>
  <c r="G333" i="3"/>
  <c r="A50" i="3"/>
  <c r="F49" i="3"/>
  <c r="G49" i="3" s="1"/>
  <c r="H49" i="3"/>
  <c r="C49" i="3"/>
  <c r="D49" i="3" s="1"/>
  <c r="A36" i="46" l="1"/>
  <c r="A37" i="24"/>
  <c r="A36" i="47"/>
  <c r="G334" i="3"/>
  <c r="F335" i="3"/>
  <c r="H335" i="3"/>
  <c r="H50" i="3"/>
  <c r="F50" i="3"/>
  <c r="G50" i="3" s="1"/>
  <c r="A51" i="3"/>
  <c r="C50" i="3"/>
  <c r="D50" i="3" s="1"/>
  <c r="A37" i="47" l="1"/>
  <c r="A38" i="24"/>
  <c r="A37" i="46"/>
  <c r="H336" i="3"/>
  <c r="F336" i="3"/>
  <c r="G335" i="3"/>
  <c r="C51" i="3"/>
  <c r="D51" i="3" s="1"/>
  <c r="A52" i="3"/>
  <c r="H51" i="3"/>
  <c r="F51" i="3"/>
  <c r="G51" i="3" s="1"/>
  <c r="A38" i="47" l="1"/>
  <c r="A39" i="24"/>
  <c r="A38" i="46"/>
  <c r="G336" i="3"/>
  <c r="H337" i="3"/>
  <c r="F337" i="3"/>
  <c r="H52" i="3"/>
  <c r="A53" i="3"/>
  <c r="C52" i="3"/>
  <c r="D52" i="3" s="1"/>
  <c r="F52" i="3"/>
  <c r="G52" i="3" s="1"/>
  <c r="A39" i="46" l="1"/>
  <c r="A40" i="24"/>
  <c r="A39" i="47"/>
  <c r="H338" i="3"/>
  <c r="F338" i="3"/>
  <c r="G337" i="3"/>
  <c r="F53" i="3"/>
  <c r="G53" i="3" s="1"/>
  <c r="C53" i="3"/>
  <c r="D53" i="3" s="1"/>
  <c r="H53" i="3"/>
  <c r="A54" i="3"/>
  <c r="A40" i="46" l="1"/>
  <c r="A41" i="24"/>
  <c r="A40" i="47"/>
  <c r="F339" i="3"/>
  <c r="H339" i="3"/>
  <c r="G338" i="3"/>
  <c r="G339" i="3" s="1"/>
  <c r="A55" i="3"/>
  <c r="F54" i="3"/>
  <c r="G54" i="3" s="1"/>
  <c r="H54" i="3"/>
  <c r="C54" i="3"/>
  <c r="D54" i="3" s="1"/>
  <c r="A41" i="46" l="1"/>
  <c r="A41" i="47"/>
  <c r="A42" i="24"/>
  <c r="F340" i="3"/>
  <c r="G340" i="3" s="1"/>
  <c r="H340" i="3"/>
  <c r="C55" i="3"/>
  <c r="D55" i="3" s="1"/>
  <c r="H55" i="3"/>
  <c r="A56" i="3"/>
  <c r="F55" i="3"/>
  <c r="G55" i="3" s="1"/>
  <c r="A42" i="46" l="1"/>
  <c r="A42" i="47"/>
  <c r="A43" i="24"/>
  <c r="F341" i="3"/>
  <c r="H341" i="3"/>
  <c r="F56" i="3"/>
  <c r="G56" i="3" s="1"/>
  <c r="H56" i="3"/>
  <c r="A57" i="3"/>
  <c r="C56" i="3"/>
  <c r="D56" i="3" s="1"/>
  <c r="A44" i="24" l="1"/>
  <c r="A43" i="46"/>
  <c r="A43" i="47"/>
  <c r="H342" i="3"/>
  <c r="F342" i="3"/>
  <c r="G341" i="3"/>
  <c r="F57" i="3"/>
  <c r="G57" i="3" s="1"/>
  <c r="H57" i="3"/>
  <c r="B57" i="3"/>
  <c r="A58" i="3" s="1"/>
  <c r="C57" i="3"/>
  <c r="D57" i="3" s="1"/>
  <c r="A44" i="46" l="1"/>
  <c r="A44" i="47"/>
  <c r="A46" i="24"/>
  <c r="G342" i="3"/>
  <c r="H343" i="3"/>
  <c r="F343" i="3"/>
  <c r="C58" i="3"/>
  <c r="D58" i="3" s="1"/>
  <c r="A59" i="3"/>
  <c r="F58" i="3"/>
  <c r="G58" i="3" s="1"/>
  <c r="H58" i="3"/>
  <c r="A58" i="24" l="1"/>
  <c r="A46" i="46"/>
  <c r="A47" i="24"/>
  <c r="A46" i="47"/>
  <c r="F344" i="3"/>
  <c r="H344" i="3"/>
  <c r="G343" i="3"/>
  <c r="A60" i="3"/>
  <c r="H59" i="3"/>
  <c r="C59" i="3"/>
  <c r="D59" i="3" s="1"/>
  <c r="F59" i="3"/>
  <c r="G59" i="3" s="1"/>
  <c r="A47" i="47" l="1"/>
  <c r="A47" i="46"/>
  <c r="A48" i="24"/>
  <c r="A58" i="46"/>
  <c r="A58" i="47"/>
  <c r="G344" i="3"/>
  <c r="H345" i="3"/>
  <c r="F345" i="3"/>
  <c r="H60" i="3"/>
  <c r="A61" i="3"/>
  <c r="C60" i="3"/>
  <c r="D60" i="3" s="1"/>
  <c r="F60" i="3"/>
  <c r="G60" i="3" s="1"/>
  <c r="G345" i="3" l="1"/>
  <c r="A48" i="47"/>
  <c r="A48" i="46"/>
  <c r="A49" i="24"/>
  <c r="H346" i="3"/>
  <c r="F346" i="3"/>
  <c r="H61" i="3"/>
  <c r="F61" i="3"/>
  <c r="G61" i="3" s="1"/>
  <c r="A62" i="3"/>
  <c r="C61" i="3"/>
  <c r="D61" i="3" s="1"/>
  <c r="A49" i="46" l="1"/>
  <c r="A49" i="47"/>
  <c r="A50" i="24"/>
  <c r="F347" i="3"/>
  <c r="H347" i="3"/>
  <c r="G346" i="3"/>
  <c r="C62" i="3"/>
  <c r="D62" i="3" s="1"/>
  <c r="H62" i="3"/>
  <c r="F62" i="3"/>
  <c r="G62" i="3" s="1"/>
  <c r="A63" i="3"/>
  <c r="A51" i="24" l="1"/>
  <c r="A50" i="46"/>
  <c r="A50" i="47"/>
  <c r="G347" i="3"/>
  <c r="H348" i="3"/>
  <c r="F348" i="3"/>
  <c r="C63" i="3"/>
  <c r="D63" i="3" s="1"/>
  <c r="F63" i="3"/>
  <c r="G63" i="3" s="1"/>
  <c r="H63" i="3"/>
  <c r="A64" i="3"/>
  <c r="A51" i="46" l="1"/>
  <c r="A51" i="47"/>
  <c r="A52" i="24"/>
  <c r="G348" i="3"/>
  <c r="F349" i="3"/>
  <c r="H349" i="3"/>
  <c r="H64" i="3"/>
  <c r="A65" i="3"/>
  <c r="F64" i="3"/>
  <c r="G64" i="3" s="1"/>
  <c r="C64" i="3"/>
  <c r="D64" i="3" s="1"/>
  <c r="A52" i="47" l="1"/>
  <c r="A53" i="24"/>
  <c r="A52" i="46"/>
  <c r="H350" i="3"/>
  <c r="F350" i="3"/>
  <c r="G349" i="3"/>
  <c r="A66" i="3"/>
  <c r="F65" i="3"/>
  <c r="G65" i="3" s="1"/>
  <c r="C65" i="3"/>
  <c r="D65" i="3" s="1"/>
  <c r="H65" i="3"/>
  <c r="A54" i="24" l="1"/>
  <c r="A53" i="47"/>
  <c r="A53" i="46"/>
  <c r="H351" i="3"/>
  <c r="F351" i="3"/>
  <c r="G350" i="3"/>
  <c r="G351" i="3" s="1"/>
  <c r="A67" i="3"/>
  <c r="F66" i="3"/>
  <c r="G66" i="3" s="1"/>
  <c r="H66" i="3"/>
  <c r="C66" i="3"/>
  <c r="D66" i="3" s="1"/>
  <c r="A54" i="46" l="1"/>
  <c r="A55" i="24"/>
  <c r="A54" i="47"/>
  <c r="H352" i="3"/>
  <c r="F352" i="3"/>
  <c r="G352" i="3"/>
  <c r="F67" i="3"/>
  <c r="G67" i="3" s="1"/>
  <c r="A68" i="3"/>
  <c r="C67" i="3"/>
  <c r="D67" i="3" s="1"/>
  <c r="H67" i="3"/>
  <c r="A55" i="47" l="1"/>
  <c r="A56" i="24"/>
  <c r="A55" i="46"/>
  <c r="F353" i="3"/>
  <c r="H353" i="3"/>
  <c r="F68" i="3"/>
  <c r="G68" i="3" s="1"/>
  <c r="H68" i="3"/>
  <c r="C68" i="3"/>
  <c r="D68" i="3" s="1"/>
  <c r="A69" i="3"/>
  <c r="A57" i="24" l="1"/>
  <c r="A56" i="47"/>
  <c r="A56" i="46"/>
  <c r="F354" i="3"/>
  <c r="H354" i="3"/>
  <c r="G353" i="3"/>
  <c r="B69" i="3"/>
  <c r="A70" i="3" s="1"/>
  <c r="F69" i="3"/>
  <c r="G69" i="3" s="1"/>
  <c r="C69" i="3"/>
  <c r="D69" i="3" s="1"/>
  <c r="H69" i="3"/>
  <c r="A84" i="24" l="1"/>
  <c r="A57" i="47"/>
  <c r="A57" i="46"/>
  <c r="G354" i="3"/>
  <c r="H355" i="3"/>
  <c r="F355" i="3"/>
  <c r="C70" i="3"/>
  <c r="D70" i="3" s="1"/>
  <c r="H70" i="3"/>
  <c r="A71" i="3"/>
  <c r="F70" i="3"/>
  <c r="G70" i="3" s="1"/>
  <c r="A84" i="46" l="1"/>
  <c r="A96" i="24"/>
  <c r="A84" i="47"/>
  <c r="A85" i="24"/>
  <c r="F356" i="3"/>
  <c r="F357" i="3" s="1"/>
  <c r="F358" i="3" s="1"/>
  <c r="H356" i="3"/>
  <c r="G355" i="3"/>
  <c r="G356" i="3" s="1"/>
  <c r="F71" i="3"/>
  <c r="G71" i="3" s="1"/>
  <c r="A72" i="3"/>
  <c r="C71" i="3"/>
  <c r="D71" i="3" s="1"/>
  <c r="H71" i="3"/>
  <c r="A86" i="24" l="1"/>
  <c r="A85" i="46"/>
  <c r="A85" i="47"/>
  <c r="A96" i="46"/>
  <c r="A96" i="47"/>
  <c r="F359" i="3"/>
  <c r="H359" i="3"/>
  <c r="G359" i="3"/>
  <c r="H72" i="3"/>
  <c r="C72" i="3"/>
  <c r="D72" i="3" s="1"/>
  <c r="A73" i="3"/>
  <c r="F72" i="3"/>
  <c r="G72" i="3" s="1"/>
  <c r="A87" i="24" l="1"/>
  <c r="A86" i="47"/>
  <c r="A86" i="46"/>
  <c r="F360" i="3"/>
  <c r="H360" i="3"/>
  <c r="H73" i="3"/>
  <c r="C73" i="3"/>
  <c r="D73" i="3" s="1"/>
  <c r="F73" i="3"/>
  <c r="G73" i="3" s="1"/>
  <c r="A74" i="3"/>
  <c r="A87" i="46" l="1"/>
  <c r="A88" i="24"/>
  <c r="A87" i="47"/>
  <c r="H361" i="3"/>
  <c r="F361" i="3"/>
  <c r="G360" i="3"/>
  <c r="F74" i="3"/>
  <c r="G74" i="3" s="1"/>
  <c r="C74" i="3"/>
  <c r="D74" i="3" s="1"/>
  <c r="H74" i="3"/>
  <c r="A75" i="3"/>
  <c r="A89" i="24" l="1"/>
  <c r="A88" i="47"/>
  <c r="A88" i="46"/>
  <c r="G361" i="3"/>
  <c r="G362" i="3" s="1"/>
  <c r="F362" i="3"/>
  <c r="H362" i="3"/>
  <c r="C75" i="3"/>
  <c r="D75" i="3" s="1"/>
  <c r="A76" i="3"/>
  <c r="F75" i="3"/>
  <c r="G75" i="3" s="1"/>
  <c r="H75" i="3"/>
  <c r="A89" i="47" l="1"/>
  <c r="A89" i="46"/>
  <c r="A90" i="24"/>
  <c r="H363" i="3"/>
  <c r="F363" i="3"/>
  <c r="G363" i="3" s="1"/>
  <c r="H76" i="3"/>
  <c r="F76" i="3"/>
  <c r="G76" i="3" s="1"/>
  <c r="C76" i="3"/>
  <c r="D76" i="3" s="1"/>
  <c r="A77" i="3"/>
  <c r="A90" i="46" l="1"/>
  <c r="A91" i="24"/>
  <c r="A90" i="47"/>
  <c r="H364" i="3"/>
  <c r="F364" i="3"/>
  <c r="G364" i="3"/>
  <c r="F77" i="3"/>
  <c r="G77" i="3" s="1"/>
  <c r="A78" i="3"/>
  <c r="C77" i="3"/>
  <c r="D77" i="3" s="1"/>
  <c r="H77" i="3"/>
  <c r="A91" i="46" l="1"/>
  <c r="A91" i="47"/>
  <c r="A92" i="24"/>
  <c r="F365" i="3"/>
  <c r="H365" i="3"/>
  <c r="F78" i="3"/>
  <c r="G78" i="3" s="1"/>
  <c r="H78" i="3"/>
  <c r="A79" i="3"/>
  <c r="C78" i="3"/>
  <c r="D78" i="3" s="1"/>
  <c r="A93" i="24" l="1"/>
  <c r="A92" i="47"/>
  <c r="A92" i="46"/>
  <c r="H366" i="3"/>
  <c r="F366" i="3"/>
  <c r="G365" i="3"/>
  <c r="A80" i="3"/>
  <c r="H79" i="3"/>
  <c r="F79" i="3"/>
  <c r="G79" i="3" s="1"/>
  <c r="C79" i="3"/>
  <c r="D79" i="3" s="1"/>
  <c r="A94" i="24" l="1"/>
  <c r="A93" i="47"/>
  <c r="A93" i="46"/>
  <c r="G366" i="3"/>
  <c r="F367" i="3"/>
  <c r="H367" i="3"/>
  <c r="H80" i="3"/>
  <c r="F80" i="3"/>
  <c r="G80" i="3" s="1"/>
  <c r="C80" i="3"/>
  <c r="D80" i="3" s="1"/>
  <c r="A81" i="3"/>
  <c r="A94" i="46" l="1"/>
  <c r="A95" i="24"/>
  <c r="A94" i="47"/>
  <c r="H368" i="3"/>
  <c r="F368" i="3"/>
  <c r="G367" i="3"/>
  <c r="G368" i="3" s="1"/>
  <c r="F81" i="3"/>
  <c r="G81" i="3" s="1"/>
  <c r="C81" i="3"/>
  <c r="D81" i="3" s="1"/>
  <c r="H81" i="3"/>
  <c r="B81" i="3"/>
  <c r="A82" i="3" s="1"/>
  <c r="A95" i="47" l="1"/>
  <c r="A95" i="46"/>
  <c r="A97" i="24"/>
  <c r="H369" i="3"/>
  <c r="F369" i="3"/>
  <c r="F82" i="3"/>
  <c r="G82" i="3" s="1"/>
  <c r="H82" i="3"/>
  <c r="A83" i="3"/>
  <c r="C82" i="3"/>
  <c r="D82" i="3" s="1"/>
  <c r="A109" i="24" l="1"/>
  <c r="A97" i="47"/>
  <c r="A97" i="46"/>
  <c r="A98" i="24"/>
  <c r="F370" i="3"/>
  <c r="H370" i="3"/>
  <c r="G369" i="3"/>
  <c r="A84" i="3"/>
  <c r="H83" i="3"/>
  <c r="F83" i="3"/>
  <c r="G83" i="3" s="1"/>
  <c r="C83" i="3"/>
  <c r="D83" i="3" s="1"/>
  <c r="A99" i="24" l="1"/>
  <c r="A98" i="46"/>
  <c r="A98" i="47"/>
  <c r="A109" i="46"/>
  <c r="A109" i="47"/>
  <c r="G370" i="3"/>
  <c r="G371" i="3" s="1"/>
  <c r="F371" i="3"/>
  <c r="H371" i="3"/>
  <c r="C84" i="3"/>
  <c r="D84" i="3" s="1"/>
  <c r="A85" i="3"/>
  <c r="H84" i="3"/>
  <c r="F84" i="3"/>
  <c r="G84" i="3" s="1"/>
  <c r="A99" i="46" l="1"/>
  <c r="A99" i="47"/>
  <c r="A100" i="24"/>
  <c r="H372" i="3"/>
  <c r="F372" i="3"/>
  <c r="F85" i="3"/>
  <c r="G85" i="3" s="1"/>
  <c r="A86" i="3"/>
  <c r="C85" i="3"/>
  <c r="D85" i="3" s="1"/>
  <c r="H85" i="3"/>
  <c r="A100" i="46" l="1"/>
  <c r="A101" i="24"/>
  <c r="A100" i="47"/>
  <c r="H373" i="3"/>
  <c r="F373" i="3"/>
  <c r="G372" i="3"/>
  <c r="A87" i="3"/>
  <c r="H86" i="3"/>
  <c r="C86" i="3"/>
  <c r="D86" i="3" s="1"/>
  <c r="F86" i="3"/>
  <c r="G86" i="3" s="1"/>
  <c r="A101" i="46" l="1"/>
  <c r="A101" i="47"/>
  <c r="A102" i="24"/>
  <c r="G373" i="3"/>
  <c r="H374" i="3"/>
  <c r="F374" i="3"/>
  <c r="A88" i="3"/>
  <c r="C87" i="3"/>
  <c r="D87" i="3" s="1"/>
  <c r="F87" i="3"/>
  <c r="G87" i="3" s="1"/>
  <c r="H87" i="3"/>
  <c r="A103" i="24" l="1"/>
  <c r="A102" i="46"/>
  <c r="A102" i="47"/>
  <c r="G374" i="3"/>
  <c r="F375" i="3"/>
  <c r="H375" i="3"/>
  <c r="F88" i="3"/>
  <c r="G88" i="3" s="1"/>
  <c r="A89" i="3"/>
  <c r="C88" i="3"/>
  <c r="D88" i="3" s="1"/>
  <c r="H88" i="3"/>
  <c r="A103" i="47" l="1"/>
  <c r="A103" i="46"/>
  <c r="A104" i="24"/>
  <c r="G375" i="3"/>
  <c r="H376" i="3"/>
  <c r="F376" i="3"/>
  <c r="A90" i="3"/>
  <c r="H89" i="3"/>
  <c r="F89" i="3"/>
  <c r="G89" i="3" s="1"/>
  <c r="C89" i="3"/>
  <c r="D89" i="3" s="1"/>
  <c r="A105" i="24" l="1"/>
  <c r="A104" i="47"/>
  <c r="A104" i="46"/>
  <c r="F377" i="3"/>
  <c r="H377" i="3"/>
  <c r="G376" i="3"/>
  <c r="A91" i="3"/>
  <c r="H90" i="3"/>
  <c r="F90" i="3"/>
  <c r="G90" i="3" s="1"/>
  <c r="C90" i="3"/>
  <c r="D90" i="3" s="1"/>
  <c r="A106" i="24" l="1"/>
  <c r="A105" i="47"/>
  <c r="A105" i="46"/>
  <c r="G377" i="3"/>
  <c r="H378" i="3"/>
  <c r="F378" i="3"/>
  <c r="C91" i="3"/>
  <c r="D91" i="3" s="1"/>
  <c r="H91" i="3"/>
  <c r="F91" i="3"/>
  <c r="G91" i="3" s="1"/>
  <c r="A92" i="3"/>
  <c r="A107" i="24" l="1"/>
  <c r="A106" i="47"/>
  <c r="A106" i="46"/>
  <c r="H379" i="3"/>
  <c r="F379" i="3"/>
  <c r="G378" i="3"/>
  <c r="C92" i="3"/>
  <c r="D92" i="3" s="1"/>
  <c r="F92" i="3"/>
  <c r="G92" i="3" s="1"/>
  <c r="A93" i="3"/>
  <c r="H92" i="3"/>
  <c r="A107" i="46" l="1"/>
  <c r="A108" i="24"/>
  <c r="A107" i="47"/>
  <c r="G379" i="3"/>
  <c r="F380" i="3"/>
  <c r="H380" i="3"/>
  <c r="H93" i="3"/>
  <c r="B93" i="3"/>
  <c r="A94" i="3" s="1"/>
  <c r="F93" i="3"/>
  <c r="G93" i="3" s="1"/>
  <c r="C93" i="3"/>
  <c r="D93" i="3" s="1"/>
  <c r="A108" i="47" l="1"/>
  <c r="A108" i="46"/>
  <c r="A110" i="24"/>
  <c r="H381" i="3"/>
  <c r="F381" i="3"/>
  <c r="G380" i="3"/>
  <c r="C94" i="3"/>
  <c r="D94" i="3" s="1"/>
  <c r="A95" i="3"/>
  <c r="H94" i="3"/>
  <c r="F94" i="3"/>
  <c r="G94" i="3" s="1"/>
  <c r="A111" i="24" l="1"/>
  <c r="A110" i="47"/>
  <c r="A110" i="46"/>
  <c r="A122" i="24"/>
  <c r="F382" i="3"/>
  <c r="H382" i="3"/>
  <c r="G381" i="3"/>
  <c r="H95" i="3"/>
  <c r="A96" i="3"/>
  <c r="F95" i="3"/>
  <c r="G95" i="3" s="1"/>
  <c r="C95" i="3"/>
  <c r="D95" i="3" s="1"/>
  <c r="A122" i="47" l="1"/>
  <c r="A122" i="46"/>
  <c r="A112" i="24"/>
  <c r="A111" i="47"/>
  <c r="A111" i="46"/>
  <c r="G382" i="3"/>
  <c r="H383" i="3"/>
  <c r="F383" i="3"/>
  <c r="C96" i="3"/>
  <c r="D96" i="3" s="1"/>
  <c r="H96" i="3"/>
  <c r="F96" i="3"/>
  <c r="G96" i="3" s="1"/>
  <c r="A97" i="3"/>
  <c r="A112" i="47" l="1"/>
  <c r="A112" i="46"/>
  <c r="A113" i="24"/>
  <c r="H384" i="3"/>
  <c r="F384" i="3"/>
  <c r="G383" i="3"/>
  <c r="H97" i="3"/>
  <c r="F97" i="3"/>
  <c r="G97" i="3" s="1"/>
  <c r="A98" i="3"/>
  <c r="C97" i="3"/>
  <c r="D97" i="3" s="1"/>
  <c r="A113" i="47" l="1"/>
  <c r="A113" i="46"/>
  <c r="A114" i="24"/>
  <c r="H385" i="3"/>
  <c r="F385" i="3"/>
  <c r="G384" i="3"/>
  <c r="A99" i="3"/>
  <c r="C98" i="3"/>
  <c r="D98" i="3" s="1"/>
  <c r="F98" i="3"/>
  <c r="G98" i="3" s="1"/>
  <c r="H98" i="3"/>
  <c r="A115" i="24" l="1"/>
  <c r="A114" i="46"/>
  <c r="A114" i="47"/>
  <c r="F386" i="3"/>
  <c r="H386" i="3"/>
  <c r="G385" i="3"/>
  <c r="C99" i="3"/>
  <c r="D99" i="3" s="1"/>
  <c r="H99" i="3"/>
  <c r="F99" i="3"/>
  <c r="G99" i="3" s="1"/>
  <c r="A100" i="3"/>
  <c r="A115" i="46" l="1"/>
  <c r="A116" i="24"/>
  <c r="A115" i="47"/>
  <c r="G386" i="3"/>
  <c r="H387" i="3"/>
  <c r="F387" i="3"/>
  <c r="A101" i="3"/>
  <c r="H100" i="3"/>
  <c r="F100" i="3"/>
  <c r="G100" i="3" s="1"/>
  <c r="C100" i="3"/>
  <c r="D100" i="3" s="1"/>
  <c r="A116" i="46" l="1"/>
  <c r="A117" i="24"/>
  <c r="A116" i="47"/>
  <c r="H388" i="3"/>
  <c r="F388" i="3"/>
  <c r="G387" i="3"/>
  <c r="A102" i="3"/>
  <c r="H101" i="3"/>
  <c r="F101" i="3"/>
  <c r="G101" i="3" s="1"/>
  <c r="C101" i="3"/>
  <c r="D101" i="3" s="1"/>
  <c r="A118" i="24" l="1"/>
  <c r="A117" i="46"/>
  <c r="A117" i="47"/>
  <c r="G388" i="3"/>
  <c r="G389" i="3" s="1"/>
  <c r="H389" i="3"/>
  <c r="F389" i="3"/>
  <c r="C102" i="3"/>
  <c r="D102" i="3" s="1"/>
  <c r="H102" i="3"/>
  <c r="A103" i="3"/>
  <c r="F102" i="3"/>
  <c r="G102" i="3" s="1"/>
  <c r="A118" i="46" l="1"/>
  <c r="A119" i="24"/>
  <c r="A118" i="47"/>
  <c r="F390" i="3"/>
  <c r="H390" i="3"/>
  <c r="G390" i="3"/>
  <c r="C103" i="3"/>
  <c r="D103" i="3" s="1"/>
  <c r="H103" i="3"/>
  <c r="F103" i="3"/>
  <c r="G103" i="3" s="1"/>
  <c r="A104" i="3"/>
  <c r="A120" i="24" l="1"/>
  <c r="A119" i="47"/>
  <c r="A119" i="46"/>
  <c r="H391" i="3"/>
  <c r="F391" i="3"/>
  <c r="A105" i="3"/>
  <c r="F104" i="3"/>
  <c r="G104" i="3" s="1"/>
  <c r="C104" i="3"/>
  <c r="D104" i="3" s="1"/>
  <c r="H104" i="3"/>
  <c r="A120" i="46" l="1"/>
  <c r="A120" i="47"/>
  <c r="A121" i="24"/>
  <c r="F392" i="3"/>
  <c r="H392" i="3"/>
  <c r="G391" i="3"/>
  <c r="B105" i="3"/>
  <c r="A106" i="3" s="1"/>
  <c r="F105" i="3"/>
  <c r="G105" i="3" s="1"/>
  <c r="C105" i="3"/>
  <c r="D105" i="3" s="1"/>
  <c r="H105" i="3"/>
  <c r="A121" i="46" l="1"/>
  <c r="A121" i="47"/>
  <c r="G392" i="3"/>
  <c r="F393" i="3"/>
  <c r="H393" i="3"/>
  <c r="F106" i="3"/>
  <c r="G106" i="3" s="1"/>
  <c r="H106" i="3"/>
  <c r="C106" i="3"/>
  <c r="D106" i="3" s="1"/>
  <c r="A107" i="3"/>
  <c r="H394" i="3" l="1"/>
  <c r="F394" i="3"/>
  <c r="G393" i="3"/>
  <c r="C107" i="3"/>
  <c r="D107" i="3" s="1"/>
  <c r="A108" i="3"/>
  <c r="F107" i="3"/>
  <c r="G107" i="3" s="1"/>
  <c r="H107" i="3"/>
  <c r="F395" i="3" l="1"/>
  <c r="H395" i="3"/>
  <c r="G394" i="3"/>
  <c r="G395" i="3" s="1"/>
  <c r="F108" i="3"/>
  <c r="G108" i="3" s="1"/>
  <c r="C108" i="3"/>
  <c r="D108" i="3" s="1"/>
  <c r="A109" i="3"/>
  <c r="H108" i="3"/>
  <c r="F396" i="3" l="1"/>
  <c r="G396" i="3" s="1"/>
  <c r="H396" i="3"/>
  <c r="H109" i="3"/>
  <c r="A110" i="3"/>
  <c r="F109" i="3"/>
  <c r="G109" i="3" s="1"/>
  <c r="C109" i="3"/>
  <c r="D109" i="3" s="1"/>
  <c r="H397" i="3" l="1"/>
  <c r="F397" i="3"/>
  <c r="H110" i="3"/>
  <c r="A111" i="3"/>
  <c r="F110" i="3"/>
  <c r="G110" i="3" s="1"/>
  <c r="C110" i="3"/>
  <c r="D110" i="3" s="1"/>
  <c r="H398" i="3" l="1"/>
  <c r="F398" i="3"/>
  <c r="G397" i="3"/>
  <c r="C111" i="3"/>
  <c r="D111" i="3" s="1"/>
  <c r="A112" i="3"/>
  <c r="H111" i="3"/>
  <c r="F111" i="3"/>
  <c r="G111" i="3" s="1"/>
  <c r="G398" i="3" l="1"/>
  <c r="F399" i="3"/>
  <c r="H399" i="3"/>
  <c r="H112" i="3"/>
  <c r="F112" i="3"/>
  <c r="G112" i="3" s="1"/>
  <c r="C112" i="3"/>
  <c r="D112" i="3" s="1"/>
  <c r="A113" i="3"/>
  <c r="G399" i="3" l="1"/>
  <c r="F400" i="3"/>
  <c r="H400" i="3"/>
  <c r="C113" i="3"/>
  <c r="D113" i="3" s="1"/>
  <c r="A114" i="3"/>
  <c r="H113" i="3"/>
  <c r="F113" i="3"/>
  <c r="G113" i="3" s="1"/>
  <c r="F401" i="3" l="1"/>
  <c r="H401" i="3"/>
  <c r="G400" i="3"/>
  <c r="G401" i="3" s="1"/>
  <c r="F114" i="3"/>
  <c r="G114" i="3" s="1"/>
  <c r="H114" i="3"/>
  <c r="A115" i="3"/>
  <c r="C114" i="3"/>
  <c r="D114" i="3" s="1"/>
  <c r="F402" i="3" l="1"/>
  <c r="H402" i="3"/>
  <c r="A116" i="3"/>
  <c r="F115" i="3"/>
  <c r="G115" i="3" s="1"/>
  <c r="H115" i="3"/>
  <c r="C115" i="3"/>
  <c r="D115" i="3" s="1"/>
  <c r="F403" i="3" l="1"/>
  <c r="H403" i="3"/>
  <c r="G402" i="3"/>
  <c r="C116" i="3"/>
  <c r="D116" i="3" s="1"/>
  <c r="H116" i="3"/>
  <c r="F116" i="3"/>
  <c r="G116" i="3" s="1"/>
  <c r="A117" i="3"/>
  <c r="G403" i="3" l="1"/>
  <c r="G404" i="3" s="1"/>
  <c r="H404" i="3"/>
  <c r="F404" i="3"/>
  <c r="C117" i="3"/>
  <c r="D117" i="3" s="1"/>
  <c r="B117" i="3"/>
  <c r="A118" i="3" s="1"/>
  <c r="F117" i="3"/>
  <c r="G117" i="3" s="1"/>
  <c r="H117" i="3"/>
  <c r="H405" i="3" l="1"/>
  <c r="F405" i="3"/>
  <c r="C118" i="3"/>
  <c r="D118" i="3" s="1"/>
  <c r="F118" i="3"/>
  <c r="G118" i="3" s="1"/>
  <c r="A119" i="3"/>
  <c r="H118" i="3"/>
  <c r="H406" i="3" l="1"/>
  <c r="F406" i="3"/>
  <c r="G405" i="3"/>
  <c r="G406" i="3" s="1"/>
  <c r="H119" i="3"/>
  <c r="F119" i="3"/>
  <c r="G119" i="3" s="1"/>
  <c r="C119" i="3"/>
  <c r="D119" i="3" s="1"/>
  <c r="A120" i="3"/>
  <c r="G407" i="3" l="1"/>
  <c r="H407" i="3"/>
  <c r="F407" i="3"/>
  <c r="H120" i="3"/>
  <c r="C120" i="3"/>
  <c r="D120" i="3" s="1"/>
  <c r="A121" i="3"/>
  <c r="F120" i="3"/>
  <c r="G120" i="3" s="1"/>
  <c r="F408" i="3" l="1"/>
  <c r="G408" i="3" s="1"/>
  <c r="H408" i="3"/>
  <c r="C121" i="3"/>
  <c r="D121" i="3" s="1"/>
  <c r="A122" i="3"/>
  <c r="F121" i="3"/>
  <c r="G121" i="3" s="1"/>
  <c r="H121" i="3"/>
  <c r="H409" i="3" l="1"/>
  <c r="F409" i="3"/>
  <c r="G409" i="3" s="1"/>
  <c r="C122" i="3"/>
  <c r="D122" i="3" s="1"/>
  <c r="F122" i="3"/>
  <c r="G122" i="3" s="1"/>
  <c r="H122" i="3"/>
  <c r="A123" i="3"/>
  <c r="G410" i="3" l="1"/>
  <c r="H410" i="3"/>
  <c r="F410" i="3"/>
  <c r="A124" i="3"/>
  <c r="C123" i="3"/>
  <c r="D123" i="3" s="1"/>
  <c r="H123" i="3"/>
  <c r="F123" i="3"/>
  <c r="G123" i="3" s="1"/>
  <c r="G411" i="3" l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C301" i="3" s="1"/>
  <c r="K48" i="25" s="1"/>
  <c r="F411" i="3"/>
  <c r="H411" i="3"/>
  <c r="H124" i="3"/>
  <c r="A125" i="3"/>
  <c r="C124" i="3"/>
  <c r="D124" i="3" s="1"/>
  <c r="F124" i="3"/>
  <c r="G124" i="3" s="1"/>
  <c r="H412" i="3" l="1"/>
  <c r="F412" i="3"/>
  <c r="C125" i="3"/>
  <c r="D125" i="3" s="1"/>
  <c r="A126" i="3"/>
  <c r="H125" i="3"/>
  <c r="F125" i="3"/>
  <c r="G125" i="3" s="1"/>
  <c r="H413" i="3" l="1"/>
  <c r="F413" i="3"/>
  <c r="A127" i="3"/>
  <c r="C126" i="3"/>
  <c r="D126" i="3" s="1"/>
  <c r="F126" i="3"/>
  <c r="G126" i="3" s="1"/>
  <c r="H126" i="3"/>
  <c r="H414" i="3" l="1"/>
  <c r="F414" i="3"/>
  <c r="C127" i="3"/>
  <c r="D127" i="3" s="1"/>
  <c r="F127" i="3"/>
  <c r="G127" i="3" s="1"/>
  <c r="H127" i="3"/>
  <c r="A128" i="3"/>
  <c r="H415" i="3" l="1"/>
  <c r="F415" i="3"/>
  <c r="H128" i="3"/>
  <c r="A129" i="3"/>
  <c r="F128" i="3"/>
  <c r="G128" i="3" s="1"/>
  <c r="C128" i="3"/>
  <c r="D128" i="3" s="1"/>
  <c r="F416" i="3" l="1"/>
  <c r="H416" i="3"/>
  <c r="B129" i="3"/>
  <c r="A130" i="3" s="1"/>
  <c r="H129" i="3"/>
  <c r="F129" i="3"/>
  <c r="G129" i="3" s="1"/>
  <c r="C129" i="3"/>
  <c r="D129" i="3" s="1"/>
  <c r="F417" i="3" l="1"/>
  <c r="H417" i="3"/>
  <c r="C130" i="3"/>
  <c r="D130" i="3" s="1"/>
  <c r="H130" i="3"/>
  <c r="A131" i="3"/>
  <c r="F130" i="3"/>
  <c r="G130" i="3" s="1"/>
  <c r="F418" i="3" l="1"/>
  <c r="H418" i="3"/>
  <c r="H131" i="3"/>
  <c r="A132" i="3"/>
  <c r="C131" i="3"/>
  <c r="D131" i="3" s="1"/>
  <c r="F131" i="3"/>
  <c r="G131" i="3" s="1"/>
  <c r="F419" i="3" l="1"/>
  <c r="H419" i="3"/>
  <c r="F132" i="3"/>
  <c r="G132" i="3" s="1"/>
  <c r="C132" i="3"/>
  <c r="D132" i="3" s="1"/>
  <c r="H132" i="3"/>
  <c r="A133" i="3"/>
  <c r="F420" i="3" l="1"/>
  <c r="H420" i="3"/>
  <c r="A134" i="3"/>
  <c r="F133" i="3"/>
  <c r="G133" i="3" s="1"/>
  <c r="H133" i="3"/>
  <c r="C133" i="3"/>
  <c r="D133" i="3" s="1"/>
  <c r="F421" i="3" l="1"/>
  <c r="H421" i="3"/>
  <c r="F134" i="3"/>
  <c r="G134" i="3" s="1"/>
  <c r="A135" i="3"/>
  <c r="H134" i="3"/>
  <c r="C134" i="3"/>
  <c r="D134" i="3" s="1"/>
  <c r="H422" i="3" l="1"/>
  <c r="F422" i="3"/>
  <c r="F135" i="3"/>
  <c r="G135" i="3" s="1"/>
  <c r="H135" i="3"/>
  <c r="A136" i="3"/>
  <c r="C135" i="3"/>
  <c r="D135" i="3" s="1"/>
  <c r="F423" i="3" l="1"/>
  <c r="H423" i="3"/>
  <c r="C136" i="3"/>
  <c r="D136" i="3" s="1"/>
  <c r="H136" i="3"/>
  <c r="F136" i="3"/>
  <c r="G136" i="3" s="1"/>
  <c r="A137" i="3"/>
  <c r="H424" i="3" l="1"/>
  <c r="F424" i="3"/>
  <c r="H137" i="3"/>
  <c r="C137" i="3"/>
  <c r="D137" i="3" s="1"/>
  <c r="F137" i="3"/>
  <c r="G137" i="3" s="1"/>
  <c r="A138" i="3"/>
  <c r="H425" i="3" l="1"/>
  <c r="F425" i="3"/>
  <c r="A139" i="3"/>
  <c r="F138" i="3"/>
  <c r="G138" i="3" s="1"/>
  <c r="H138" i="3"/>
  <c r="C138" i="3"/>
  <c r="D138" i="3" s="1"/>
  <c r="H426" i="3" l="1"/>
  <c r="F426" i="3"/>
  <c r="F139" i="3"/>
  <c r="G139" i="3" s="1"/>
  <c r="A140" i="3"/>
  <c r="H139" i="3"/>
  <c r="C139" i="3"/>
  <c r="D139" i="3" s="1"/>
  <c r="F427" i="3" l="1"/>
  <c r="H427" i="3"/>
  <c r="C140" i="3"/>
  <c r="D140" i="3" s="1"/>
  <c r="H140" i="3"/>
  <c r="F140" i="3"/>
  <c r="G140" i="3" s="1"/>
  <c r="A141" i="3"/>
  <c r="H428" i="3" l="1"/>
  <c r="F428" i="3"/>
  <c r="C141" i="3"/>
  <c r="D141" i="3" s="1"/>
  <c r="H141" i="3"/>
  <c r="F141" i="3"/>
  <c r="G141" i="3" s="1"/>
  <c r="B141" i="3"/>
  <c r="A142" i="3" s="1"/>
  <c r="F429" i="3" l="1"/>
  <c r="H429" i="3"/>
  <c r="H142" i="3"/>
  <c r="A143" i="3"/>
  <c r="C142" i="3"/>
  <c r="D142" i="3" s="1"/>
  <c r="F142" i="3"/>
  <c r="G142" i="3" s="1"/>
  <c r="H430" i="3" l="1"/>
  <c r="F430" i="3"/>
  <c r="H143" i="3"/>
  <c r="A144" i="3"/>
  <c r="C143" i="3"/>
  <c r="D143" i="3" s="1"/>
  <c r="F143" i="3"/>
  <c r="G143" i="3" s="1"/>
  <c r="H431" i="3" l="1"/>
  <c r="F431" i="3"/>
  <c r="A145" i="3"/>
  <c r="F144" i="3"/>
  <c r="G144" i="3" s="1"/>
  <c r="H144" i="3"/>
  <c r="C144" i="3"/>
  <c r="D144" i="3" s="1"/>
  <c r="F432" i="3" l="1"/>
  <c r="H432" i="3"/>
  <c r="C145" i="3"/>
  <c r="D145" i="3" s="1"/>
  <c r="A146" i="3"/>
  <c r="F145" i="3"/>
  <c r="G145" i="3" s="1"/>
  <c r="H145" i="3"/>
  <c r="H433" i="3" l="1"/>
  <c r="F433" i="3"/>
  <c r="H146" i="3"/>
  <c r="A147" i="3"/>
  <c r="F146" i="3"/>
  <c r="G146" i="3" s="1"/>
  <c r="C146" i="3"/>
  <c r="D146" i="3" s="1"/>
  <c r="H434" i="3" l="1"/>
  <c r="F434" i="3"/>
  <c r="H147" i="3"/>
  <c r="A148" i="3"/>
  <c r="F147" i="3"/>
  <c r="G147" i="3" s="1"/>
  <c r="C147" i="3"/>
  <c r="D147" i="3" s="1"/>
  <c r="H435" i="3" l="1"/>
  <c r="F435" i="3"/>
  <c r="H148" i="3"/>
  <c r="F148" i="3"/>
  <c r="G148" i="3" s="1"/>
  <c r="A149" i="3"/>
  <c r="C148" i="3"/>
  <c r="D148" i="3" s="1"/>
  <c r="H436" i="3" l="1"/>
  <c r="F436" i="3"/>
  <c r="C149" i="3"/>
  <c r="D149" i="3" s="1"/>
  <c r="A150" i="3"/>
  <c r="F149" i="3"/>
  <c r="G149" i="3" s="1"/>
  <c r="H149" i="3"/>
  <c r="H437" i="3" l="1"/>
  <c r="F437" i="3"/>
  <c r="H150" i="3"/>
  <c r="A151" i="3"/>
  <c r="C150" i="3"/>
  <c r="D150" i="3" s="1"/>
  <c r="F150" i="3"/>
  <c r="G150" i="3" s="1"/>
  <c r="H438" i="3" l="1"/>
  <c r="F438" i="3"/>
  <c r="A152" i="3"/>
  <c r="F151" i="3"/>
  <c r="G151" i="3" s="1"/>
  <c r="H151" i="3"/>
  <c r="C151" i="3"/>
  <c r="D151" i="3" s="1"/>
  <c r="H439" i="3" l="1"/>
  <c r="F439" i="3"/>
  <c r="A153" i="3"/>
  <c r="F152" i="3"/>
  <c r="G152" i="3" s="1"/>
  <c r="C152" i="3"/>
  <c r="D152" i="3" s="1"/>
  <c r="H152" i="3"/>
  <c r="H440" i="3" l="1"/>
  <c r="F440" i="3"/>
  <c r="H153" i="3"/>
  <c r="B153" i="3"/>
  <c r="A154" i="3" s="1"/>
  <c r="C153" i="3"/>
  <c r="D153" i="3" s="1"/>
  <c r="F153" i="3"/>
  <c r="G153" i="3" s="1"/>
  <c r="H441" i="3" l="1"/>
  <c r="F441" i="3"/>
  <c r="H154" i="3"/>
  <c r="C154" i="3"/>
  <c r="D154" i="3" s="1"/>
  <c r="A155" i="3"/>
  <c r="F154" i="3"/>
  <c r="G154" i="3" s="1"/>
  <c r="F442" i="3" l="1"/>
  <c r="H442" i="3"/>
  <c r="C155" i="3"/>
  <c r="D155" i="3" s="1"/>
  <c r="H155" i="3"/>
  <c r="F155" i="3"/>
  <c r="G155" i="3" s="1"/>
  <c r="A156" i="3"/>
  <c r="F443" i="3" l="1"/>
  <c r="H443" i="3"/>
  <c r="H156" i="3"/>
  <c r="A157" i="3"/>
  <c r="C156" i="3"/>
  <c r="D156" i="3" s="1"/>
  <c r="F156" i="3"/>
  <c r="G156" i="3" s="1"/>
  <c r="H444" i="3" l="1"/>
  <c r="F444" i="3"/>
  <c r="H157" i="3"/>
  <c r="A158" i="3"/>
  <c r="F157" i="3"/>
  <c r="G157" i="3" s="1"/>
  <c r="C157" i="3"/>
  <c r="D157" i="3" s="1"/>
  <c r="H445" i="3" l="1"/>
  <c r="F445" i="3"/>
  <c r="F158" i="3"/>
  <c r="G158" i="3" s="1"/>
  <c r="C158" i="3"/>
  <c r="D158" i="3" s="1"/>
  <c r="H158" i="3"/>
  <c r="A159" i="3"/>
  <c r="H446" i="3" l="1"/>
  <c r="F446" i="3"/>
  <c r="C159" i="3"/>
  <c r="D159" i="3" s="1"/>
  <c r="A160" i="3"/>
  <c r="H159" i="3"/>
  <c r="F159" i="3"/>
  <c r="G159" i="3" s="1"/>
  <c r="H447" i="3" l="1"/>
  <c r="F447" i="3"/>
  <c r="H160" i="3"/>
  <c r="A161" i="3"/>
  <c r="C160" i="3"/>
  <c r="D160" i="3" s="1"/>
  <c r="F160" i="3"/>
  <c r="G160" i="3" s="1"/>
  <c r="H448" i="3" l="1"/>
  <c r="F448" i="3"/>
  <c r="H161" i="3"/>
  <c r="A162" i="3"/>
  <c r="F161" i="3"/>
  <c r="G161" i="3" s="1"/>
  <c r="C161" i="3"/>
  <c r="D161" i="3" s="1"/>
  <c r="H449" i="3" l="1"/>
  <c r="F449" i="3"/>
  <c r="F162" i="3"/>
  <c r="G162" i="3" s="1"/>
  <c r="H162" i="3"/>
  <c r="A163" i="3"/>
  <c r="C162" i="3"/>
  <c r="D162" i="3" s="1"/>
  <c r="H450" i="3" l="1"/>
  <c r="F450" i="3"/>
  <c r="C163" i="3"/>
  <c r="D163" i="3" s="1"/>
  <c r="H163" i="3"/>
  <c r="F163" i="3"/>
  <c r="G163" i="3" s="1"/>
  <c r="A164" i="3"/>
  <c r="H451" i="3" l="1"/>
  <c r="F451" i="3"/>
  <c r="H164" i="3"/>
  <c r="A165" i="3"/>
  <c r="C164" i="3"/>
  <c r="D164" i="3" s="1"/>
  <c r="F164" i="3"/>
  <c r="G164" i="3" s="1"/>
  <c r="H452" i="3" l="1"/>
  <c r="F452" i="3"/>
  <c r="H165" i="3"/>
  <c r="F165" i="3"/>
  <c r="G165" i="3" s="1"/>
  <c r="B165" i="3"/>
  <c r="A166" i="3" s="1"/>
  <c r="C165" i="3"/>
  <c r="D165" i="3" s="1"/>
  <c r="F453" i="3" l="1"/>
  <c r="H453" i="3"/>
  <c r="A167" i="3"/>
  <c r="H166" i="3"/>
  <c r="C166" i="3"/>
  <c r="D166" i="3" s="1"/>
  <c r="F166" i="3"/>
  <c r="G166" i="3" s="1"/>
  <c r="H454" i="3" l="1"/>
  <c r="F454" i="3"/>
  <c r="A168" i="3"/>
  <c r="F167" i="3"/>
  <c r="G167" i="3" s="1"/>
  <c r="H167" i="3"/>
  <c r="C167" i="3"/>
  <c r="D167" i="3" s="1"/>
  <c r="F455" i="3" l="1"/>
  <c r="H455" i="3"/>
  <c r="C168" i="3"/>
  <c r="D168" i="3" s="1"/>
  <c r="A169" i="3"/>
  <c r="F168" i="3"/>
  <c r="G168" i="3" s="1"/>
  <c r="H168" i="3"/>
  <c r="H456" i="3" l="1"/>
  <c r="F456" i="3"/>
  <c r="C169" i="3"/>
  <c r="D169" i="3" s="1"/>
  <c r="H169" i="3"/>
  <c r="F169" i="3"/>
  <c r="G169" i="3" s="1"/>
  <c r="A170" i="3"/>
  <c r="H457" i="3" l="1"/>
  <c r="F457" i="3"/>
  <c r="C170" i="3"/>
  <c r="D170" i="3" s="1"/>
  <c r="A171" i="3"/>
  <c r="H170" i="3"/>
  <c r="F170" i="3"/>
  <c r="G170" i="3" s="1"/>
  <c r="H458" i="3" l="1"/>
  <c r="F458" i="3"/>
  <c r="A172" i="3"/>
  <c r="F171" i="3"/>
  <c r="G171" i="3" s="1"/>
  <c r="H171" i="3"/>
  <c r="C171" i="3"/>
  <c r="D171" i="3" s="1"/>
  <c r="F459" i="3" l="1"/>
  <c r="H459" i="3"/>
  <c r="C172" i="3"/>
  <c r="D172" i="3" s="1"/>
  <c r="A173" i="3"/>
  <c r="F172" i="3"/>
  <c r="G172" i="3" s="1"/>
  <c r="H172" i="3"/>
  <c r="F460" i="3" l="1"/>
  <c r="H460" i="3"/>
  <c r="C173" i="3"/>
  <c r="D173" i="3" s="1"/>
  <c r="H173" i="3"/>
  <c r="F173" i="3"/>
  <c r="G173" i="3" s="1"/>
  <c r="A174" i="3"/>
  <c r="F461" i="3" l="1"/>
  <c r="H461" i="3"/>
  <c r="F174" i="3"/>
  <c r="G174" i="3" s="1"/>
  <c r="H174" i="3"/>
  <c r="A175" i="3"/>
  <c r="C174" i="3"/>
  <c r="D174" i="3" s="1"/>
  <c r="H462" i="3" l="1"/>
  <c r="F462" i="3"/>
  <c r="C175" i="3"/>
  <c r="D175" i="3" s="1"/>
  <c r="H175" i="3"/>
  <c r="A176" i="3"/>
  <c r="F175" i="3"/>
  <c r="G175" i="3" s="1"/>
  <c r="H463" i="3" l="1"/>
  <c r="F463" i="3"/>
  <c r="F176" i="3"/>
  <c r="G176" i="3" s="1"/>
  <c r="H176" i="3"/>
  <c r="C176" i="3"/>
  <c r="D176" i="3" s="1"/>
  <c r="A177" i="3"/>
  <c r="H464" i="3" l="1"/>
  <c r="F464" i="3"/>
  <c r="F177" i="3"/>
  <c r="G177" i="3" s="1"/>
  <c r="H177" i="3"/>
  <c r="B177" i="3"/>
  <c r="A178" i="3" s="1"/>
  <c r="C177" i="3"/>
  <c r="D177" i="3" s="1"/>
  <c r="F465" i="3" l="1"/>
  <c r="H465" i="3"/>
  <c r="C178" i="3"/>
  <c r="D178" i="3" s="1"/>
  <c r="F178" i="3"/>
  <c r="G178" i="3" s="1"/>
  <c r="H178" i="3"/>
  <c r="A179" i="3"/>
  <c r="H466" i="3" l="1"/>
  <c r="F466" i="3"/>
  <c r="F179" i="3"/>
  <c r="G179" i="3" s="1"/>
  <c r="A180" i="3"/>
  <c r="C179" i="3"/>
  <c r="D179" i="3" s="1"/>
  <c r="H179" i="3"/>
  <c r="H467" i="3" l="1"/>
  <c r="F467" i="3"/>
  <c r="F180" i="3"/>
  <c r="G180" i="3" s="1"/>
  <c r="H180" i="3"/>
  <c r="C180" i="3"/>
  <c r="D180" i="3" s="1"/>
  <c r="A181" i="3"/>
  <c r="F468" i="3" l="1"/>
  <c r="H468" i="3"/>
  <c r="F181" i="3"/>
  <c r="G181" i="3" s="1"/>
  <c r="A182" i="3"/>
  <c r="C181" i="3"/>
  <c r="D181" i="3" s="1"/>
  <c r="H181" i="3"/>
  <c r="F469" i="3" l="1"/>
  <c r="H469" i="3"/>
  <c r="F182" i="3"/>
  <c r="G182" i="3" s="1"/>
  <c r="A183" i="3"/>
  <c r="C182" i="3"/>
  <c r="D182" i="3" s="1"/>
  <c r="H182" i="3"/>
  <c r="F470" i="3" l="1"/>
  <c r="H470" i="3"/>
  <c r="H183" i="3"/>
  <c r="A184" i="3"/>
  <c r="C183" i="3"/>
  <c r="D183" i="3" s="1"/>
  <c r="F183" i="3"/>
  <c r="G183" i="3" s="1"/>
  <c r="H471" i="3" l="1"/>
  <c r="F471" i="3"/>
  <c r="H184" i="3"/>
  <c r="A185" i="3"/>
  <c r="F184" i="3"/>
  <c r="G184" i="3" s="1"/>
  <c r="C184" i="3"/>
  <c r="D184" i="3" s="1"/>
  <c r="F472" i="3" l="1"/>
  <c r="H472" i="3"/>
  <c r="F185" i="3"/>
  <c r="G185" i="3" s="1"/>
  <c r="A186" i="3"/>
  <c r="H185" i="3"/>
  <c r="C185" i="3"/>
  <c r="D185" i="3" s="1"/>
  <c r="F473" i="3" l="1"/>
  <c r="H473" i="3"/>
  <c r="F186" i="3"/>
  <c r="G186" i="3" s="1"/>
  <c r="A187" i="3"/>
  <c r="C186" i="3"/>
  <c r="D186" i="3" s="1"/>
  <c r="H186" i="3"/>
  <c r="F474" i="3" l="1"/>
  <c r="H474" i="3"/>
  <c r="C187" i="3"/>
  <c r="D187" i="3" s="1"/>
  <c r="H187" i="3"/>
  <c r="A188" i="3"/>
  <c r="F187" i="3"/>
  <c r="G187" i="3" s="1"/>
  <c r="H475" i="3" l="1"/>
  <c r="F475" i="3"/>
  <c r="H188" i="3"/>
  <c r="A189" i="3"/>
  <c r="F188" i="3"/>
  <c r="G188" i="3" s="1"/>
  <c r="C188" i="3"/>
  <c r="D188" i="3" s="1"/>
  <c r="F476" i="3" l="1"/>
  <c r="H476" i="3"/>
  <c r="C189" i="3"/>
  <c r="D189" i="3" s="1"/>
  <c r="H189" i="3"/>
  <c r="F189" i="3"/>
  <c r="G189" i="3" s="1"/>
  <c r="B189" i="3"/>
  <c r="A190" i="3" s="1"/>
  <c r="H477" i="3" l="1"/>
  <c r="F477" i="3"/>
  <c r="F190" i="3"/>
  <c r="G190" i="3" s="1"/>
  <c r="C190" i="3"/>
  <c r="D190" i="3" s="1"/>
  <c r="H190" i="3"/>
  <c r="A191" i="3"/>
  <c r="H478" i="3" l="1"/>
  <c r="F478" i="3"/>
  <c r="C191" i="3"/>
  <c r="D191" i="3" s="1"/>
  <c r="H191" i="3"/>
  <c r="A192" i="3"/>
  <c r="F191" i="3"/>
  <c r="G191" i="3" s="1"/>
  <c r="H479" i="3" l="1"/>
  <c r="F479" i="3"/>
  <c r="C192" i="3"/>
  <c r="D192" i="3" s="1"/>
  <c r="H192" i="3"/>
  <c r="A193" i="3"/>
  <c r="F192" i="3"/>
  <c r="G192" i="3" s="1"/>
  <c r="H480" i="3" l="1"/>
  <c r="F480" i="3"/>
  <c r="H193" i="3"/>
  <c r="F193" i="3"/>
  <c r="G193" i="3" s="1"/>
  <c r="A194" i="3"/>
  <c r="C193" i="3"/>
  <c r="D193" i="3" s="1"/>
  <c r="F481" i="3" l="1"/>
  <c r="H481" i="3"/>
  <c r="A195" i="3"/>
  <c r="F194" i="3"/>
  <c r="G194" i="3" s="1"/>
  <c r="H194" i="3"/>
  <c r="C194" i="3"/>
  <c r="D194" i="3" s="1"/>
  <c r="H482" i="3" l="1"/>
  <c r="F482" i="3"/>
  <c r="F195" i="3"/>
  <c r="G195" i="3" s="1"/>
  <c r="C195" i="3"/>
  <c r="D195" i="3" s="1"/>
  <c r="A196" i="3"/>
  <c r="H195" i="3"/>
  <c r="H483" i="3" l="1"/>
  <c r="F483" i="3"/>
  <c r="C196" i="3"/>
  <c r="D196" i="3" s="1"/>
  <c r="H196" i="3"/>
  <c r="A197" i="3"/>
  <c r="F196" i="3"/>
  <c r="G196" i="3" s="1"/>
  <c r="H484" i="3" l="1"/>
  <c r="F484" i="3"/>
  <c r="C197" i="3"/>
  <c r="D197" i="3" s="1"/>
  <c r="H197" i="3"/>
  <c r="A198" i="3"/>
  <c r="F197" i="3"/>
  <c r="G197" i="3" s="1"/>
  <c r="F485" i="3" l="1"/>
  <c r="H485" i="3"/>
  <c r="C198" i="3"/>
  <c r="D198" i="3" s="1"/>
  <c r="H198" i="3"/>
  <c r="A199" i="3"/>
  <c r="F198" i="3"/>
  <c r="G198" i="3" s="1"/>
  <c r="H486" i="3" l="1"/>
  <c r="F486" i="3"/>
  <c r="F199" i="3"/>
  <c r="G199" i="3" s="1"/>
  <c r="C199" i="3"/>
  <c r="D199" i="3" s="1"/>
  <c r="H199" i="3"/>
  <c r="A200" i="3"/>
  <c r="H487" i="3" l="1"/>
  <c r="F487" i="3"/>
  <c r="A201" i="3"/>
  <c r="F200" i="3"/>
  <c r="G200" i="3" s="1"/>
  <c r="H200" i="3"/>
  <c r="C200" i="3"/>
  <c r="D200" i="3" s="1"/>
  <c r="H488" i="3" l="1"/>
  <c r="F488" i="3"/>
  <c r="H201" i="3"/>
  <c r="B201" i="3"/>
  <c r="A202" i="3" s="1"/>
  <c r="C201" i="3"/>
  <c r="D201" i="3" s="1"/>
  <c r="F201" i="3"/>
  <c r="G201" i="3" s="1"/>
  <c r="F489" i="3" l="1"/>
  <c r="H489" i="3"/>
  <c r="C202" i="3"/>
  <c r="D202" i="3" s="1"/>
  <c r="H202" i="3"/>
  <c r="A203" i="3"/>
  <c r="F202" i="3"/>
  <c r="G202" i="3" s="1"/>
  <c r="F490" i="3" l="1"/>
  <c r="H490" i="3"/>
  <c r="F203" i="3"/>
  <c r="G203" i="3" s="1"/>
  <c r="H203" i="3"/>
  <c r="C203" i="3"/>
  <c r="D203" i="3" s="1"/>
  <c r="A204" i="3"/>
  <c r="F491" i="3" l="1"/>
  <c r="H491" i="3"/>
  <c r="H204" i="3"/>
  <c r="A205" i="3"/>
  <c r="C204" i="3"/>
  <c r="D204" i="3" s="1"/>
  <c r="F204" i="3"/>
  <c r="G204" i="3" s="1"/>
  <c r="F492" i="3" l="1"/>
  <c r="H492" i="3"/>
  <c r="C205" i="3"/>
  <c r="D205" i="3" s="1"/>
  <c r="A206" i="3"/>
  <c r="H205" i="3"/>
  <c r="F205" i="3"/>
  <c r="G205" i="3" s="1"/>
  <c r="H493" i="3" l="1"/>
  <c r="F493" i="3"/>
  <c r="H206" i="3"/>
  <c r="A207" i="3"/>
  <c r="F206" i="3"/>
  <c r="G206" i="3" s="1"/>
  <c r="C206" i="3"/>
  <c r="D206" i="3" s="1"/>
  <c r="F494" i="3" l="1"/>
  <c r="H494" i="3"/>
  <c r="A208" i="3"/>
  <c r="F207" i="3"/>
  <c r="G207" i="3" s="1"/>
  <c r="C207" i="3"/>
  <c r="D207" i="3" s="1"/>
  <c r="H207" i="3"/>
  <c r="F495" i="3" l="1"/>
  <c r="H495" i="3"/>
  <c r="F208" i="3"/>
  <c r="G208" i="3" s="1"/>
  <c r="C208" i="3"/>
  <c r="D208" i="3" s="1"/>
  <c r="H208" i="3"/>
  <c r="A209" i="3"/>
  <c r="F496" i="3" l="1"/>
  <c r="H496" i="3"/>
  <c r="C209" i="3"/>
  <c r="D209" i="3" s="1"/>
  <c r="H209" i="3"/>
  <c r="A210" i="3"/>
  <c r="F209" i="3"/>
  <c r="G209" i="3" s="1"/>
  <c r="F497" i="3" l="1"/>
  <c r="H497" i="3"/>
  <c r="H210" i="3"/>
  <c r="A211" i="3"/>
  <c r="F210" i="3"/>
  <c r="G210" i="3" s="1"/>
  <c r="C210" i="3"/>
  <c r="D210" i="3" s="1"/>
  <c r="F498" i="3" l="1"/>
  <c r="H498" i="3"/>
  <c r="A212" i="3"/>
  <c r="F211" i="3"/>
  <c r="G211" i="3" s="1"/>
  <c r="C211" i="3"/>
  <c r="D211" i="3" s="1"/>
  <c r="H211" i="3"/>
  <c r="F499" i="3" l="1"/>
  <c r="H499" i="3"/>
  <c r="A213" i="3"/>
  <c r="F212" i="3"/>
  <c r="G212" i="3" s="1"/>
  <c r="C212" i="3"/>
  <c r="D212" i="3" s="1"/>
  <c r="H212" i="3"/>
  <c r="F500" i="3" l="1"/>
  <c r="H500" i="3"/>
  <c r="B213" i="3"/>
  <c r="A214" i="3" s="1"/>
  <c r="C213" i="3"/>
  <c r="D213" i="3" s="1"/>
  <c r="F213" i="3"/>
  <c r="G213" i="3" s="1"/>
  <c r="H213" i="3"/>
  <c r="F501" i="3" l="1"/>
  <c r="H501" i="3"/>
  <c r="F214" i="3"/>
  <c r="G214" i="3" s="1"/>
  <c r="C214" i="3"/>
  <c r="D214" i="3" s="1"/>
  <c r="H214" i="3"/>
  <c r="A215" i="3"/>
  <c r="E211" i="3" l="1"/>
  <c r="E213" i="3"/>
  <c r="H502" i="3"/>
  <c r="F502" i="3"/>
  <c r="C215" i="3"/>
  <c r="D215" i="3" s="1"/>
  <c r="A216" i="3"/>
  <c r="F215" i="3"/>
  <c r="G215" i="3" s="1"/>
  <c r="H215" i="3"/>
  <c r="E60" i="3" l="1"/>
  <c r="E61" i="3"/>
  <c r="E62" i="3"/>
  <c r="E63" i="3"/>
  <c r="E65" i="3"/>
  <c r="E66" i="3"/>
  <c r="E67" i="3"/>
  <c r="E64" i="3"/>
  <c r="E68" i="3"/>
  <c r="E69" i="3"/>
  <c r="E72" i="3"/>
  <c r="E70" i="3"/>
  <c r="E71" i="3"/>
  <c r="E73" i="3"/>
  <c r="E74" i="3"/>
  <c r="E75" i="3"/>
  <c r="E76" i="3"/>
  <c r="E77" i="3"/>
  <c r="E78" i="3"/>
  <c r="E80" i="3"/>
  <c r="E81" i="3"/>
  <c r="E79" i="3"/>
  <c r="E84" i="3"/>
  <c r="E83" i="3"/>
  <c r="E82" i="3"/>
  <c r="E85" i="3"/>
  <c r="E87" i="3"/>
  <c r="E86" i="3"/>
  <c r="E89" i="3"/>
  <c r="E88" i="3"/>
  <c r="E91" i="3"/>
  <c r="E90" i="3"/>
  <c r="E93" i="3"/>
  <c r="E94" i="3"/>
  <c r="E92" i="3"/>
  <c r="E95" i="3"/>
  <c r="E96" i="3"/>
  <c r="E98" i="3"/>
  <c r="E99" i="3"/>
  <c r="E97" i="3"/>
  <c r="E102" i="3"/>
  <c r="E100" i="3"/>
  <c r="E103" i="3"/>
  <c r="E101" i="3"/>
  <c r="E105" i="3"/>
  <c r="E106" i="3"/>
  <c r="E104" i="3"/>
  <c r="E109" i="3"/>
  <c r="E107" i="3"/>
  <c r="E110" i="3"/>
  <c r="E108" i="3"/>
  <c r="E112" i="3"/>
  <c r="E111" i="3"/>
  <c r="E113" i="3"/>
  <c r="E117" i="3"/>
  <c r="E116" i="3"/>
  <c r="E114" i="3"/>
  <c r="E115" i="3"/>
  <c r="E119" i="3"/>
  <c r="E118" i="3"/>
  <c r="E120" i="3"/>
  <c r="E121" i="3"/>
  <c r="E122" i="3"/>
  <c r="E125" i="3"/>
  <c r="E123" i="3"/>
  <c r="E124" i="3"/>
  <c r="E126" i="3"/>
  <c r="E130" i="3"/>
  <c r="E128" i="3"/>
  <c r="E127" i="3"/>
  <c r="E131" i="3"/>
  <c r="E129" i="3"/>
  <c r="E132" i="3"/>
  <c r="E134" i="3"/>
  <c r="E133" i="3"/>
  <c r="E135" i="3"/>
  <c r="E138" i="3"/>
  <c r="E136" i="3"/>
  <c r="E139" i="3"/>
  <c r="E137" i="3"/>
  <c r="E140" i="3"/>
  <c r="E141" i="3"/>
  <c r="E142" i="3"/>
  <c r="E143" i="3"/>
  <c r="E144" i="3"/>
  <c r="E147" i="3"/>
  <c r="E145" i="3"/>
  <c r="E146" i="3"/>
  <c r="E148" i="3"/>
  <c r="E149" i="3"/>
  <c r="E150" i="3"/>
  <c r="E154" i="3"/>
  <c r="E151" i="3"/>
  <c r="E152" i="3"/>
  <c r="E155" i="3"/>
  <c r="E153" i="3"/>
  <c r="E157" i="3"/>
  <c r="E156" i="3"/>
  <c r="E159" i="3"/>
  <c r="E158" i="3"/>
  <c r="E160" i="3"/>
  <c r="E162" i="3"/>
  <c r="E164" i="3"/>
  <c r="E161" i="3"/>
  <c r="E163" i="3"/>
  <c r="E165" i="3"/>
  <c r="E166" i="3"/>
  <c r="E167" i="3"/>
  <c r="E170" i="3"/>
  <c r="E169" i="3"/>
  <c r="E168" i="3"/>
  <c r="E172" i="3"/>
  <c r="E171" i="3"/>
  <c r="E175" i="3"/>
  <c r="E174" i="3"/>
  <c r="E173" i="3"/>
  <c r="E179" i="3"/>
  <c r="E178" i="3"/>
  <c r="E176" i="3"/>
  <c r="E177" i="3"/>
  <c r="E180" i="3"/>
  <c r="E182" i="3"/>
  <c r="E181" i="3"/>
  <c r="E184" i="3"/>
  <c r="E183" i="3"/>
  <c r="E187" i="3"/>
  <c r="E186" i="3"/>
  <c r="E185" i="3"/>
  <c r="E189" i="3"/>
  <c r="E188" i="3"/>
  <c r="E191" i="3"/>
  <c r="E190" i="3"/>
  <c r="E193" i="3"/>
  <c r="E192" i="3"/>
  <c r="E196" i="3"/>
  <c r="E195" i="3"/>
  <c r="E194" i="3"/>
  <c r="E198" i="3"/>
  <c r="E200" i="3"/>
  <c r="E197" i="3"/>
  <c r="E199" i="3"/>
  <c r="E201" i="3"/>
  <c r="E205" i="3"/>
  <c r="E202" i="3"/>
  <c r="E204" i="3"/>
  <c r="E203" i="3"/>
  <c r="E206" i="3"/>
  <c r="E207" i="3"/>
  <c r="E210" i="3"/>
  <c r="E212" i="3"/>
  <c r="E209" i="3"/>
  <c r="E208" i="3"/>
  <c r="E214" i="3"/>
  <c r="E58" i="3"/>
  <c r="E59" i="3"/>
  <c r="E56" i="3"/>
  <c r="E57" i="3"/>
  <c r="H503" i="3"/>
  <c r="F503" i="3"/>
  <c r="E54" i="3"/>
  <c r="E55" i="3"/>
  <c r="H216" i="3"/>
  <c r="A217" i="3"/>
  <c r="F216" i="3"/>
  <c r="G216" i="3" s="1"/>
  <c r="C216" i="3"/>
  <c r="D216" i="3" s="1"/>
  <c r="E216" i="3" s="1"/>
  <c r="E215" i="3"/>
  <c r="E20" i="3"/>
  <c r="E21" i="3"/>
  <c r="E22" i="3"/>
  <c r="E24" i="3"/>
  <c r="E23" i="3"/>
  <c r="E25" i="3"/>
  <c r="E26" i="3"/>
  <c r="E28" i="3"/>
  <c r="E29" i="3"/>
  <c r="E27" i="3"/>
  <c r="E30" i="3"/>
  <c r="E32" i="3"/>
  <c r="E31" i="3"/>
  <c r="E34" i="3"/>
  <c r="E33" i="3"/>
  <c r="E35" i="3"/>
  <c r="E38" i="3"/>
  <c r="E36" i="3"/>
  <c r="E37" i="3"/>
  <c r="E40" i="3"/>
  <c r="E39" i="3"/>
  <c r="E42" i="3"/>
  <c r="E43" i="3"/>
  <c r="E41" i="3"/>
  <c r="E44" i="3"/>
  <c r="E45" i="3"/>
  <c r="E46" i="3"/>
  <c r="E47" i="3"/>
  <c r="E48" i="3"/>
  <c r="E50" i="3"/>
  <c r="E53" i="3"/>
  <c r="E49" i="3"/>
  <c r="E51" i="3"/>
  <c r="E52" i="3"/>
  <c r="H504" i="3" l="1"/>
  <c r="F504" i="3"/>
  <c r="N44" i="3"/>
  <c r="K44" i="3"/>
  <c r="M44" i="3"/>
  <c r="N45" i="3"/>
  <c r="K45" i="3"/>
  <c r="M45" i="3"/>
  <c r="H217" i="3"/>
  <c r="A218" i="3"/>
  <c r="F217" i="3"/>
  <c r="G217" i="3" s="1"/>
  <c r="C217" i="3"/>
  <c r="D217" i="3" s="1"/>
  <c r="E217" i="3" s="1"/>
  <c r="H505" i="3" l="1"/>
  <c r="F505" i="3"/>
  <c r="C218" i="3"/>
  <c r="D218" i="3" s="1"/>
  <c r="E218" i="3" s="1"/>
  <c r="H218" i="3"/>
  <c r="F218" i="3"/>
  <c r="G218" i="3" s="1"/>
  <c r="A219" i="3"/>
  <c r="A220" i="3" l="1"/>
  <c r="F219" i="3"/>
  <c r="G219" i="3" s="1"/>
  <c r="H219" i="3"/>
  <c r="C219" i="3"/>
  <c r="D219" i="3" s="1"/>
  <c r="E219" i="3" s="1"/>
  <c r="F220" i="3" l="1"/>
  <c r="G220" i="3" s="1"/>
  <c r="C220" i="3"/>
  <c r="D220" i="3" s="1"/>
  <c r="E220" i="3" s="1"/>
  <c r="H220" i="3"/>
  <c r="A221" i="3"/>
  <c r="F221" i="3" l="1"/>
  <c r="G221" i="3" s="1"/>
  <c r="A222" i="3"/>
  <c r="H221" i="3"/>
  <c r="C221" i="3"/>
  <c r="D221" i="3" s="1"/>
  <c r="E221" i="3" s="1"/>
  <c r="C222" i="3" l="1"/>
  <c r="D222" i="3" s="1"/>
  <c r="E222" i="3" s="1"/>
  <c r="A223" i="3"/>
  <c r="F222" i="3"/>
  <c r="G222" i="3" s="1"/>
  <c r="H222" i="3"/>
  <c r="H223" i="3" l="1"/>
  <c r="F223" i="3"/>
  <c r="G223" i="3" s="1"/>
  <c r="C223" i="3"/>
  <c r="D223" i="3" s="1"/>
  <c r="E223" i="3" s="1"/>
  <c r="A224" i="3"/>
  <c r="C224" i="3" l="1"/>
  <c r="D224" i="3" s="1"/>
  <c r="E224" i="3" s="1"/>
  <c r="F224" i="3"/>
  <c r="G224" i="3" s="1"/>
  <c r="H224" i="3"/>
  <c r="A225" i="3"/>
  <c r="C225" i="3" l="1"/>
  <c r="D225" i="3" s="1"/>
  <c r="E225" i="3" s="1"/>
  <c r="B225" i="3"/>
  <c r="A226" i="3" s="1"/>
  <c r="F225" i="3"/>
  <c r="G225" i="3" s="1"/>
  <c r="H225" i="3"/>
  <c r="H226" i="3" l="1"/>
  <c r="A227" i="3"/>
  <c r="F226" i="3"/>
  <c r="G226" i="3" s="1"/>
  <c r="C226" i="3"/>
  <c r="D226" i="3" s="1"/>
  <c r="E226" i="3" s="1"/>
  <c r="H227" i="3" l="1"/>
  <c r="A228" i="3"/>
  <c r="C227" i="3"/>
  <c r="D227" i="3" s="1"/>
  <c r="E227" i="3" s="1"/>
  <c r="F227" i="3"/>
  <c r="G227" i="3" s="1"/>
  <c r="C228" i="3" l="1"/>
  <c r="D228" i="3" s="1"/>
  <c r="E228" i="3" s="1"/>
  <c r="H228" i="3"/>
  <c r="F228" i="3"/>
  <c r="G228" i="3" s="1"/>
  <c r="A229" i="3"/>
  <c r="A230" i="3" l="1"/>
  <c r="F229" i="3"/>
  <c r="G229" i="3" s="1"/>
  <c r="C229" i="3"/>
  <c r="D229" i="3" s="1"/>
  <c r="E229" i="3" s="1"/>
  <c r="H229" i="3"/>
  <c r="H230" i="3" l="1"/>
  <c r="F230" i="3"/>
  <c r="G230" i="3" s="1"/>
  <c r="A231" i="3"/>
  <c r="C230" i="3"/>
  <c r="D230" i="3" s="1"/>
  <c r="E230" i="3" s="1"/>
  <c r="C231" i="3" l="1"/>
  <c r="D231" i="3" s="1"/>
  <c r="E231" i="3" s="1"/>
  <c r="H231" i="3"/>
  <c r="A232" i="3"/>
  <c r="F231" i="3"/>
  <c r="G231" i="3" s="1"/>
  <c r="C232" i="3" l="1"/>
  <c r="D232" i="3" s="1"/>
  <c r="E232" i="3" s="1"/>
  <c r="H232" i="3"/>
  <c r="A233" i="3"/>
  <c r="F232" i="3"/>
  <c r="G232" i="3" s="1"/>
  <c r="F233" i="3" l="1"/>
  <c r="G233" i="3" s="1"/>
  <c r="H233" i="3"/>
  <c r="C233" i="3"/>
  <c r="D233" i="3" s="1"/>
  <c r="E233" i="3" s="1"/>
  <c r="A234" i="3"/>
  <c r="A235" i="3" l="1"/>
  <c r="H234" i="3"/>
  <c r="F234" i="3"/>
  <c r="G234" i="3" s="1"/>
  <c r="C234" i="3"/>
  <c r="D234" i="3" s="1"/>
  <c r="E234" i="3" s="1"/>
  <c r="C235" i="3" l="1"/>
  <c r="D235" i="3" s="1"/>
  <c r="E235" i="3" s="1"/>
  <c r="A236" i="3"/>
  <c r="F235" i="3"/>
  <c r="G235" i="3" s="1"/>
  <c r="H235" i="3"/>
  <c r="C236" i="3" l="1"/>
  <c r="D236" i="3" s="1"/>
  <c r="E236" i="3" s="1"/>
  <c r="A237" i="3"/>
  <c r="H236" i="3"/>
  <c r="F236" i="3"/>
  <c r="G236" i="3" s="1"/>
  <c r="H237" i="3" l="1"/>
  <c r="F237" i="3"/>
  <c r="G237" i="3" s="1"/>
  <c r="B237" i="3"/>
  <c r="A238" i="3" s="1"/>
  <c r="C237" i="3"/>
  <c r="D237" i="3" s="1"/>
  <c r="E237" i="3" s="1"/>
  <c r="F238" i="3" l="1"/>
  <c r="G238" i="3" s="1"/>
  <c r="H238" i="3"/>
  <c r="C238" i="3"/>
  <c r="D238" i="3" s="1"/>
  <c r="E238" i="3" s="1"/>
  <c r="A239" i="3"/>
  <c r="A240" i="3" l="1"/>
  <c r="F239" i="3"/>
  <c r="G239" i="3" s="1"/>
  <c r="H239" i="3"/>
  <c r="C239" i="3"/>
  <c r="D239" i="3" s="1"/>
  <c r="E239" i="3" s="1"/>
  <c r="C240" i="3" l="1"/>
  <c r="D240" i="3" s="1"/>
  <c r="E240" i="3" s="1"/>
  <c r="A241" i="3"/>
  <c r="F240" i="3"/>
  <c r="G240" i="3" s="1"/>
  <c r="H240" i="3"/>
  <c r="A242" i="3" l="1"/>
  <c r="F241" i="3"/>
  <c r="G241" i="3" s="1"/>
  <c r="H241" i="3"/>
  <c r="C241" i="3"/>
  <c r="D241" i="3" s="1"/>
  <c r="E241" i="3" s="1"/>
  <c r="F242" i="3" l="1"/>
  <c r="G242" i="3" s="1"/>
  <c r="C242" i="3"/>
  <c r="D242" i="3" s="1"/>
  <c r="E242" i="3" s="1"/>
  <c r="A243" i="3"/>
  <c r="H242" i="3"/>
  <c r="F243" i="3" l="1"/>
  <c r="G243" i="3" s="1"/>
  <c r="A244" i="3"/>
  <c r="C243" i="3"/>
  <c r="D243" i="3" s="1"/>
  <c r="E243" i="3" s="1"/>
  <c r="H243" i="3"/>
  <c r="F244" i="3" l="1"/>
  <c r="G244" i="3" s="1"/>
  <c r="C244" i="3"/>
  <c r="D244" i="3" s="1"/>
  <c r="E244" i="3" s="1"/>
  <c r="A245" i="3"/>
  <c r="H244" i="3"/>
  <c r="H245" i="3" l="1"/>
  <c r="F245" i="3"/>
  <c r="G245" i="3" s="1"/>
  <c r="A246" i="3"/>
  <c r="C245" i="3"/>
  <c r="D245" i="3" s="1"/>
  <c r="E245" i="3" s="1"/>
  <c r="C246" i="3" l="1"/>
  <c r="D246" i="3" s="1"/>
  <c r="E246" i="3" s="1"/>
  <c r="A247" i="3"/>
  <c r="H246" i="3"/>
  <c r="F246" i="3"/>
  <c r="G246" i="3" s="1"/>
  <c r="C247" i="3" l="1"/>
  <c r="D247" i="3" s="1"/>
  <c r="E247" i="3" s="1"/>
  <c r="A248" i="3"/>
  <c r="H247" i="3"/>
  <c r="F247" i="3"/>
  <c r="G247" i="3" s="1"/>
  <c r="A249" i="3" l="1"/>
  <c r="F248" i="3"/>
  <c r="G248" i="3" s="1"/>
  <c r="C248" i="3"/>
  <c r="D248" i="3" s="1"/>
  <c r="E248" i="3" s="1"/>
  <c r="H248" i="3"/>
  <c r="F249" i="3" l="1"/>
  <c r="G249" i="3" s="1"/>
  <c r="C249" i="3"/>
  <c r="D249" i="3" s="1"/>
  <c r="E249" i="3" s="1"/>
  <c r="H249" i="3"/>
  <c r="B249" i="3"/>
  <c r="A250" i="3" s="1"/>
  <c r="H250" i="3" l="1"/>
  <c r="A251" i="3"/>
  <c r="F250" i="3"/>
  <c r="G250" i="3" s="1"/>
  <c r="C250" i="3"/>
  <c r="D250" i="3" s="1"/>
  <c r="E250" i="3" s="1"/>
  <c r="A252" i="3" l="1"/>
  <c r="C251" i="3"/>
  <c r="D251" i="3" s="1"/>
  <c r="E251" i="3" s="1"/>
  <c r="H251" i="3"/>
  <c r="F251" i="3"/>
  <c r="G251" i="3" s="1"/>
  <c r="A253" i="3" l="1"/>
  <c r="C252" i="3"/>
  <c r="D252" i="3" s="1"/>
  <c r="E252" i="3" s="1"/>
  <c r="H252" i="3"/>
  <c r="F252" i="3"/>
  <c r="G252" i="3" s="1"/>
  <c r="A254" i="3" l="1"/>
  <c r="F253" i="3"/>
  <c r="G253" i="3" s="1"/>
  <c r="C253" i="3"/>
  <c r="D253" i="3" s="1"/>
  <c r="E253" i="3" s="1"/>
  <c r="H253" i="3"/>
  <c r="H254" i="3" l="1"/>
  <c r="F254" i="3"/>
  <c r="G254" i="3" s="1"/>
  <c r="A255" i="3"/>
  <c r="C254" i="3"/>
  <c r="D254" i="3" s="1"/>
  <c r="E254" i="3" s="1"/>
  <c r="A256" i="3" l="1"/>
  <c r="F255" i="3"/>
  <c r="G255" i="3" s="1"/>
  <c r="C255" i="3"/>
  <c r="D255" i="3" s="1"/>
  <c r="E255" i="3" s="1"/>
  <c r="H255" i="3"/>
  <c r="H256" i="3" l="1"/>
  <c r="C256" i="3"/>
  <c r="D256" i="3" s="1"/>
  <c r="E256" i="3" s="1"/>
  <c r="F256" i="3"/>
  <c r="G256" i="3" s="1"/>
  <c r="A257" i="3"/>
  <c r="H257" i="3" l="1"/>
  <c r="A258" i="3"/>
  <c r="C257" i="3"/>
  <c r="D257" i="3" s="1"/>
  <c r="E257" i="3" s="1"/>
  <c r="F257" i="3"/>
  <c r="G257" i="3" s="1"/>
  <c r="C258" i="3" l="1"/>
  <c r="D258" i="3" s="1"/>
  <c r="E258" i="3" s="1"/>
  <c r="H258" i="3"/>
  <c r="A259" i="3"/>
  <c r="F258" i="3"/>
  <c r="G258" i="3" s="1"/>
  <c r="H259" i="3" l="1"/>
  <c r="A260" i="3"/>
  <c r="C259" i="3"/>
  <c r="D259" i="3" s="1"/>
  <c r="E259" i="3" s="1"/>
  <c r="F259" i="3"/>
  <c r="G259" i="3" s="1"/>
  <c r="H260" i="3" l="1"/>
  <c r="A261" i="3"/>
  <c r="F260" i="3"/>
  <c r="G260" i="3" s="1"/>
  <c r="C260" i="3"/>
  <c r="D260" i="3" s="1"/>
  <c r="E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F263" i="3" l="1"/>
  <c r="G263" i="3" s="1"/>
  <c r="H263" i="3"/>
  <c r="A264" i="3"/>
  <c r="C263" i="3"/>
  <c r="D263" i="3" s="1"/>
  <c r="E263" i="3" s="1"/>
  <c r="A265" i="3" l="1"/>
  <c r="H264" i="3"/>
  <c r="F264" i="3"/>
  <c r="G264" i="3" s="1"/>
  <c r="C264" i="3"/>
  <c r="D264" i="3" s="1"/>
  <c r="E264" i="3" s="1"/>
  <c r="F265" i="3" l="1"/>
  <c r="G265" i="3" s="1"/>
  <c r="C265" i="3"/>
  <c r="D265" i="3" s="1"/>
  <c r="E265" i="3" s="1"/>
  <c r="H265" i="3"/>
  <c r="A266" i="3"/>
  <c r="C266" i="3" l="1"/>
  <c r="D266" i="3" s="1"/>
  <c r="E266" i="3" s="1"/>
  <c r="A267" i="3"/>
  <c r="H266" i="3"/>
  <c r="F266" i="3"/>
  <c r="G266" i="3" s="1"/>
  <c r="A268" i="3" l="1"/>
  <c r="C267" i="3"/>
  <c r="D267" i="3" s="1"/>
  <c r="E267" i="3" s="1"/>
  <c r="F267" i="3"/>
  <c r="G267" i="3" s="1"/>
  <c r="H267" i="3"/>
  <c r="C268" i="3" l="1"/>
  <c r="D268" i="3" s="1"/>
  <c r="E268" i="3" s="1"/>
  <c r="A269" i="3"/>
  <c r="H268" i="3"/>
  <c r="F268" i="3"/>
  <c r="G268" i="3" s="1"/>
  <c r="F269" i="3" l="1"/>
  <c r="G269" i="3" s="1"/>
  <c r="H269" i="3"/>
  <c r="A270" i="3"/>
  <c r="C269" i="3"/>
  <c r="D269" i="3" s="1"/>
  <c r="E269" i="3" s="1"/>
  <c r="A271" i="3" l="1"/>
  <c r="H270" i="3"/>
  <c r="F270" i="3"/>
  <c r="G270" i="3" s="1"/>
  <c r="C270" i="3"/>
  <c r="D270" i="3" s="1"/>
  <c r="E270" i="3" s="1"/>
  <c r="A272" i="3" l="1"/>
  <c r="F271" i="3"/>
  <c r="G271" i="3" s="1"/>
  <c r="C271" i="3"/>
  <c r="D271" i="3" s="1"/>
  <c r="E271" i="3" s="1"/>
  <c r="H271" i="3"/>
  <c r="F272" i="3" l="1"/>
  <c r="G272" i="3" s="1"/>
  <c r="C272" i="3"/>
  <c r="D272" i="3" s="1"/>
  <c r="E272" i="3" s="1"/>
  <c r="A273" i="3"/>
  <c r="H272" i="3"/>
  <c r="F273" i="3" l="1"/>
  <c r="G273" i="3" s="1"/>
  <c r="C273" i="3"/>
  <c r="D273" i="3" s="1"/>
  <c r="E273" i="3" s="1"/>
  <c r="H273" i="3"/>
  <c r="B273" i="3"/>
  <c r="A274" i="3" s="1"/>
  <c r="H274" i="3" l="1"/>
  <c r="A275" i="3"/>
  <c r="C274" i="3"/>
  <c r="D274" i="3" s="1"/>
  <c r="E274" i="3" s="1"/>
  <c r="F274" i="3"/>
  <c r="G274" i="3" s="1"/>
  <c r="C275" i="3" l="1"/>
  <c r="D275" i="3" s="1"/>
  <c r="E275" i="3" s="1"/>
  <c r="A276" i="3"/>
  <c r="H275" i="3"/>
  <c r="F275" i="3"/>
  <c r="G275" i="3" s="1"/>
  <c r="C276" i="3" l="1"/>
  <c r="D276" i="3" s="1"/>
  <c r="E276" i="3" s="1"/>
  <c r="A277" i="3"/>
  <c r="F276" i="3"/>
  <c r="G276" i="3" s="1"/>
  <c r="H276" i="3"/>
  <c r="A278" i="3" l="1"/>
  <c r="F277" i="3"/>
  <c r="G277" i="3" s="1"/>
  <c r="C277" i="3"/>
  <c r="D277" i="3" s="1"/>
  <c r="E277" i="3" s="1"/>
  <c r="H277" i="3"/>
  <c r="C278" i="3" l="1"/>
  <c r="D278" i="3" s="1"/>
  <c r="E278" i="3" s="1"/>
  <c r="H278" i="3"/>
  <c r="A279" i="3"/>
  <c r="F278" i="3"/>
  <c r="G278" i="3" s="1"/>
  <c r="F279" i="3" l="1"/>
  <c r="G279" i="3" s="1"/>
  <c r="H279" i="3"/>
  <c r="A280" i="3"/>
  <c r="C279" i="3"/>
  <c r="D279" i="3" s="1"/>
  <c r="E279" i="3" s="1"/>
  <c r="C280" i="3" l="1"/>
  <c r="D280" i="3" s="1"/>
  <c r="E280" i="3" s="1"/>
  <c r="H280" i="3"/>
  <c r="A281" i="3"/>
  <c r="F280" i="3"/>
  <c r="G280" i="3" s="1"/>
  <c r="H281" i="3" l="1"/>
  <c r="A282" i="3"/>
  <c r="F281" i="3"/>
  <c r="G281" i="3" s="1"/>
  <c r="C281" i="3"/>
  <c r="D281" i="3" s="1"/>
  <c r="E281" i="3" s="1"/>
  <c r="C282" i="3" l="1"/>
  <c r="D282" i="3" s="1"/>
  <c r="E282" i="3" s="1"/>
  <c r="H282" i="3"/>
  <c r="A283" i="3"/>
  <c r="F282" i="3"/>
  <c r="G282" i="3" s="1"/>
  <c r="H283" i="3" l="1"/>
  <c r="F283" i="3"/>
  <c r="G283" i="3" s="1"/>
  <c r="C283" i="3"/>
  <c r="D283" i="3" s="1"/>
  <c r="E283" i="3" s="1"/>
  <c r="A284" i="3"/>
  <c r="C284" i="3" l="1"/>
  <c r="D284" i="3" s="1"/>
  <c r="E284" i="3" s="1"/>
  <c r="F284" i="3"/>
  <c r="G284" i="3" s="1"/>
  <c r="A285" i="3"/>
  <c r="H284" i="3"/>
  <c r="C285" i="3" l="1"/>
  <c r="D285" i="3" s="1"/>
  <c r="E285" i="3" s="1"/>
  <c r="H285" i="3"/>
  <c r="B285" i="3"/>
  <c r="A286" i="3" s="1"/>
  <c r="F285" i="3"/>
  <c r="G285" i="3" s="1"/>
  <c r="H286" i="3" l="1"/>
  <c r="A287" i="3"/>
  <c r="C286" i="3"/>
  <c r="D286" i="3" s="1"/>
  <c r="E286" i="3" s="1"/>
  <c r="F286" i="3"/>
  <c r="G286" i="3" s="1"/>
  <c r="H287" i="3" l="1"/>
  <c r="C287" i="3"/>
  <c r="D287" i="3" s="1"/>
  <c r="E287" i="3" s="1"/>
  <c r="F287" i="3"/>
  <c r="G287" i="3" s="1"/>
  <c r="H9" i="54"/>
  <c r="N9" i="54" s="1"/>
  <c r="L9" i="54"/>
  <c r="L10" i="54" s="1"/>
  <c r="G16" i="27" s="1"/>
  <c r="BM53" i="3" l="1"/>
  <c r="N13" i="54"/>
  <c r="N15" i="54" s="1"/>
  <c r="N10" i="54"/>
  <c r="I16" i="27" s="1"/>
  <c r="G17" i="27"/>
  <c r="I28" i="25"/>
  <c r="I40" i="25" s="1"/>
  <c r="L13" i="54"/>
  <c r="L15" i="54" s="1"/>
  <c r="I42" i="25" l="1"/>
  <c r="I44" i="25" s="1"/>
  <c r="I17" i="27"/>
  <c r="J16" i="27"/>
  <c r="J18" i="27"/>
  <c r="H28" i="25"/>
  <c r="J23" i="27" l="1"/>
  <c r="J26" i="27" s="1"/>
  <c r="J28" i="27" s="1"/>
  <c r="J17" i="27"/>
  <c r="K28" i="25"/>
  <c r="J12" i="26"/>
  <c r="I23" i="27"/>
  <c r="I26" i="27" s="1"/>
  <c r="T53" i="3" l="1"/>
  <c r="I28" i="27"/>
  <c r="J15" i="26"/>
  <c r="J18" i="26" s="1"/>
  <c r="L12" i="26"/>
  <c r="L15" i="26" s="1"/>
  <c r="L18" i="26" s="1"/>
  <c r="J20" i="26" l="1"/>
  <c r="J22" i="26" l="1"/>
  <c r="J24" i="26" s="1"/>
  <c r="L22" i="26"/>
  <c r="L20" i="26" s="1"/>
  <c r="H38" i="25" l="1"/>
  <c r="L24" i="26"/>
  <c r="L27" i="26" s="1"/>
  <c r="J27" i="26"/>
  <c r="R53" i="3"/>
  <c r="L28" i="26" l="1"/>
  <c r="L29" i="26" s="1"/>
  <c r="J28" i="26"/>
  <c r="J29" i="26" s="1"/>
  <c r="K38" i="25"/>
  <c r="P53" i="3" s="1"/>
  <c r="H40" i="25"/>
  <c r="K40" i="25" l="1"/>
  <c r="H42" i="25"/>
  <c r="H44" i="25" s="1"/>
  <c r="K42" i="25" l="1"/>
  <c r="K44" i="25" s="1"/>
  <c r="K46" i="2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1A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<sst xmlns="http://schemas.openxmlformats.org/spreadsheetml/2006/main" count="1233" uniqueCount="620">
  <si>
    <t>Description</t>
  </si>
  <si>
    <t>Unit</t>
  </si>
  <si>
    <t>Quantity</t>
  </si>
  <si>
    <t>Rate</t>
  </si>
  <si>
    <t>Project Leader</t>
  </si>
  <si>
    <t>Alternate Project Leader</t>
  </si>
  <si>
    <t>Contracts Engineer</t>
  </si>
  <si>
    <t>Alternate Contracts Engineer</t>
  </si>
  <si>
    <t>Resident Engineer</t>
  </si>
  <si>
    <t>Senior Materials Technician</t>
  </si>
  <si>
    <t>Project Leader (Toll)</t>
  </si>
  <si>
    <t>Design Specialist (Toll)</t>
  </si>
  <si>
    <t>Electronics Systems Engineer (Toll)</t>
  </si>
  <si>
    <t>DS1</t>
  </si>
  <si>
    <t>DS2</t>
  </si>
  <si>
    <t>DS3</t>
  </si>
  <si>
    <t>DS4</t>
  </si>
  <si>
    <t>DS5</t>
  </si>
  <si>
    <t>A</t>
  </si>
  <si>
    <t>B</t>
  </si>
  <si>
    <t>C</t>
  </si>
  <si>
    <t>D</t>
  </si>
  <si>
    <t>RATE</t>
  </si>
  <si>
    <t>None</t>
  </si>
  <si>
    <t>ALL CATEGORIES</t>
  </si>
  <si>
    <t>SOUTH AFRICAN NATIONAL ROADS AGENCY SOC LTD</t>
  </si>
  <si>
    <t>PL1</t>
  </si>
  <si>
    <t>PL(T)</t>
  </si>
  <si>
    <t>APL1</t>
  </si>
  <si>
    <t>APL2</t>
  </si>
  <si>
    <t>DL(T)</t>
  </si>
  <si>
    <t>ACE1</t>
  </si>
  <si>
    <t>ACE3</t>
  </si>
  <si>
    <t>DS(T)</t>
  </si>
  <si>
    <t>CE1</t>
  </si>
  <si>
    <t>RE1</t>
  </si>
  <si>
    <t>SMT1</t>
  </si>
  <si>
    <t>SMT2</t>
  </si>
  <si>
    <t>ETS(T)</t>
  </si>
  <si>
    <t>Senior Materials Technician 2</t>
  </si>
  <si>
    <t>Alternate Project Leader 2</t>
  </si>
  <si>
    <t>Design Leader (Toll)</t>
  </si>
  <si>
    <t>Alternate Contracts Engineer 3</t>
  </si>
  <si>
    <t>Design Specialist 1 - Pavement and Materials</t>
  </si>
  <si>
    <t>Design Specialist 2 - Structures</t>
  </si>
  <si>
    <t>Design Specialist 3 - Geometrics</t>
  </si>
  <si>
    <t>Design Specialist 4 - Traffic and Transportation</t>
  </si>
  <si>
    <t>Design Specialist 5</t>
  </si>
  <si>
    <t>INSERT KEY PERSONS NAMES BELOW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</si>
  <si>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</si>
  <si>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</si>
  <si>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</si>
  <si>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</si>
  <si>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</si>
  <si>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</si>
  <si>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</si>
  <si>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</si>
  <si>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</si>
  <si>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</si>
  <si>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An example project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</si>
  <si>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</si>
  <si>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</si>
  <si>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</si>
  <si>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</si>
  <si>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</si>
  <si>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</si>
  <si>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</si>
  <si>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</si>
  <si>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</si>
  <si>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</si>
  <si>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</si>
  <si>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</si>
  <si>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</si>
  <si>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</si>
  <si>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</si>
  <si>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</si>
  <si>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</si>
  <si>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</si>
  <si>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</si>
  <si>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</si>
  <si>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</si>
  <si>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</si>
  <si>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</si>
  <si>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</si>
  <si>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</si>
  <si>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</si>
  <si>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</si>
  <si>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CD ,PD&amp; DD</t>
  </si>
  <si>
    <t>PD &amp; DD</t>
  </si>
  <si>
    <t>PD, DD, AMW, CO</t>
  </si>
  <si>
    <t>AMW &amp; CO</t>
  </si>
  <si>
    <t>Mechanical, Electrical and Electronic</t>
  </si>
  <si>
    <t>Item No.</t>
  </si>
  <si>
    <t>SUB-TOTAL</t>
  </si>
  <si>
    <t xml:space="preserve">Day </t>
  </si>
  <si>
    <t xml:space="preserve">Month </t>
  </si>
  <si>
    <t>Year</t>
  </si>
  <si>
    <t>Date code:</t>
  </si>
  <si>
    <t xml:space="preserve">Date </t>
  </si>
  <si>
    <t>Lump Sum</t>
  </si>
  <si>
    <t>Project Description:</t>
  </si>
  <si>
    <t>Project Number :</t>
  </si>
  <si>
    <t>NO</t>
  </si>
  <si>
    <t>YES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</si>
  <si>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</si>
  <si>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</si>
  <si>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</si>
  <si>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</si>
  <si>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</si>
  <si>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</si>
  <si>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</si>
  <si>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 SOUTH AFRICAN NATIONAL ROADS AGENCY LTD</t>
  </si>
  <si>
    <t>Consulting Engineers Fee Account</t>
  </si>
  <si>
    <t>SUMMARY FORM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</si>
  <si>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</si>
  <si>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</si>
  <si>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</si>
  <si>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</si>
  <si>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</si>
  <si>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</si>
  <si>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</si>
  <si>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</si>
  <si>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</si>
  <si>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</si>
  <si>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</si>
  <si>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</si>
  <si>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</si>
  <si>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</si>
  <si>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</si>
  <si>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</si>
  <si>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</si>
  <si>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</si>
  <si>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</si>
  <si>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</si>
  <si>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</si>
  <si>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</si>
  <si>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</si>
  <si>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</si>
  <si>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</si>
  <si>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</si>
  <si>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</si>
  <si>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</si>
  <si>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</si>
  <si>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</si>
  <si>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</si>
  <si>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</si>
  <si>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</si>
  <si>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</si>
  <si>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</si>
  <si>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</si>
  <si>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</si>
  <si>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</si>
  <si>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</si>
  <si>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</si>
  <si>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</si>
  <si>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</si>
  <si>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</si>
  <si>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 xml:space="preserve">  Item No:</t>
  </si>
  <si>
    <t xml:space="preserve"> PAYMENT AUTHORISATION</t>
  </si>
  <si>
    <t>…………………………..</t>
  </si>
  <si>
    <t xml:space="preserve"> PROJECT MANAGER       </t>
  </si>
  <si>
    <t xml:space="preserve"> DATE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</si>
  <si>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</si>
  <si>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</si>
  <si>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</si>
  <si>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</si>
  <si>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</si>
  <si>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</si>
  <si>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Sub-Total</t>
  </si>
  <si>
    <t>GRAND TOTAL:</t>
  </si>
  <si>
    <t>AMOUNT PAYABLE</t>
  </si>
  <si>
    <t>BUDGET AMOUNT AS PER CASHFLOW</t>
  </si>
  <si>
    <t xml:space="preserve">  …………………………..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</si>
  <si>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</si>
  <si>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</si>
  <si>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</si>
  <si>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</si>
  <si>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</si>
  <si>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</si>
  <si>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</si>
  <si>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</si>
  <si>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</si>
  <si>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</si>
  <si>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</si>
  <si>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</si>
  <si>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</si>
  <si>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</si>
  <si>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</si>
  <si>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</si>
  <si>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</si>
  <si>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</si>
  <si>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</si>
  <si>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</si>
  <si>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</si>
  <si>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</si>
  <si>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</si>
  <si>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</si>
  <si>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</si>
  <si>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</si>
  <si>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</si>
  <si>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</si>
  <si>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</si>
  <si>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</si>
  <si>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</si>
  <si>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</si>
  <si>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</si>
  <si>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</si>
  <si>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</si>
  <si>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</si>
  <si>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</si>
  <si>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</si>
  <si>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>Name</t>
  </si>
  <si>
    <t>Car Details</t>
  </si>
  <si>
    <t>Km</t>
  </si>
  <si>
    <t>Amount</t>
  </si>
  <si>
    <t>From</t>
  </si>
  <si>
    <t>To</t>
  </si>
  <si>
    <t>Make and Type</t>
  </si>
  <si>
    <t>cm3</t>
  </si>
  <si>
    <t>Per Km</t>
  </si>
  <si>
    <t>Total km</t>
  </si>
  <si>
    <t>FIXED</t>
  </si>
  <si>
    <t>CHANGE</t>
  </si>
  <si>
    <t>PP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</si>
  <si>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</si>
  <si>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</si>
  <si>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</si>
  <si>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</si>
  <si>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</si>
  <si>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</si>
  <si>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</si>
  <si>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</si>
  <si>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</si>
  <si>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</si>
  <si>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</si>
  <si>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Total Provisional Sums and PC Sum &amp; Mark-up</t>
  </si>
  <si>
    <t>PAGE 5</t>
  </si>
  <si>
    <t xml:space="preserve">ACCOUNT NO: </t>
  </si>
  <si>
    <t>ADDITIONAL DUTIES BREAKDOWN</t>
  </si>
  <si>
    <t>Total Additional Duties</t>
  </si>
  <si>
    <t>PAGE 6</t>
  </si>
  <si>
    <t>PAGE 7</t>
  </si>
  <si>
    <t>Total Variation Orders (CPI not applicable)</t>
  </si>
  <si>
    <t>PAGE 8</t>
  </si>
  <si>
    <t>PENALTIES</t>
  </si>
  <si>
    <t>Penalty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</si>
  <si>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</si>
  <si>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</si>
  <si>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</si>
  <si>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</si>
  <si>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</si>
  <si>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</si>
  <si>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</si>
  <si>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</si>
  <si>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</si>
  <si>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</si>
  <si>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</si>
  <si>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</si>
  <si>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</si>
  <si>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</si>
  <si>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</si>
  <si>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</si>
  <si>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</si>
  <si>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</si>
  <si>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</si>
  <si>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</si>
  <si>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</si>
  <si>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</si>
  <si>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</si>
  <si>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</si>
  <si>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</si>
  <si>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</si>
  <si>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</si>
  <si>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</si>
  <si>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</si>
  <si>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</si>
  <si>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</si>
  <si>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</si>
  <si>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</si>
  <si>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</si>
  <si>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</si>
  <si>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</si>
  <si>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</si>
  <si>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</si>
  <si>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</si>
  <si>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</si>
  <si>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</si>
  <si>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</si>
  <si>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</si>
  <si>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</si>
  <si>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</si>
  <si>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</si>
  <si>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</si>
  <si>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</si>
  <si>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</si>
  <si>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</si>
  <si>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</si>
  <si>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</si>
  <si>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</si>
  <si>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DATE :</t>
  </si>
  <si>
    <t>FULL PROJECT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</si>
  <si>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</si>
  <si>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</si>
  <si>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</si>
  <si>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</si>
  <si>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</si>
  <si>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</si>
  <si>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</si>
  <si>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</si>
  <si>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</si>
  <si>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</si>
  <si>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</si>
  <si>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</si>
  <si>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Consultant Account no.:</t>
  </si>
  <si>
    <t>Contractor Account no.: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</si>
  <si>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</si>
  <si>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</si>
  <si>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</si>
  <si>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</si>
  <si>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% OF VALUE OF WORK</t>
  </si>
  <si>
    <t>FINALIZED</t>
  </si>
  <si>
    <t>DATE OF TENDER CLOSE</t>
  </si>
  <si>
    <t>Leap Years</t>
  </si>
  <si>
    <t>Consultant Fee Claim Month:</t>
  </si>
  <si>
    <t>Latest</t>
  </si>
  <si>
    <t>CATEGORY OF PROJECT</t>
  </si>
  <si>
    <t>Related % of Project Phases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</si>
  <si>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</si>
  <si>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</si>
  <si>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</si>
  <si>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</si>
  <si>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</si>
  <si>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</si>
  <si>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</si>
  <si>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</si>
  <si>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WORKS AUTHORISATION FORMS (NOT REFLECTED IN PRICING SCHEDULE) - CPI NOT APPLICABLE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</si>
  <si>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</si>
  <si>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</si>
  <si>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</si>
  <si>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</si>
  <si>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</si>
  <si>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</si>
  <si>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</si>
  <si>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</si>
  <si>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</si>
  <si>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</si>
  <si>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</si>
  <si>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</si>
  <si>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</si>
  <si>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</si>
  <si>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</si>
  <si>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</si>
  <si>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</si>
  <si>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</si>
  <si>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</si>
  <si>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</si>
  <si>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</si>
  <si>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</si>
  <si>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</si>
  <si>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</si>
  <si>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</si>
  <si>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</si>
  <si>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</si>
  <si>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</si>
  <si>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</si>
  <si>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</si>
  <si>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</si>
  <si>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</si>
  <si>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</si>
  <si>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</si>
  <si>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</si>
  <si>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</si>
  <si>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</si>
  <si>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</si>
  <si>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</si>
  <si>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</si>
  <si>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</si>
  <si>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</si>
  <si>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</si>
  <si>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</si>
  <si>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</si>
  <si>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</si>
  <si>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</si>
  <si>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</si>
  <si>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</si>
  <si>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</si>
  <si>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H29</t>
  </si>
  <si>
    <t>H30</t>
  </si>
  <si>
    <t>H31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</si>
  <si>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</si>
  <si>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</si>
  <si>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H25</t>
  </si>
  <si>
    <t>H32</t>
  </si>
  <si>
    <t>green cells to be input by the preffered service provider during project</t>
  </si>
  <si>
    <t>Carried forward to Page 4.4</t>
  </si>
  <si>
    <t>Carried forward to Page 4.5</t>
  </si>
  <si>
    <t>PAGE 4.5</t>
  </si>
  <si>
    <t>Brought forward from Page 4.4</t>
  </si>
  <si>
    <t>H26</t>
  </si>
  <si>
    <t>SUMMARY OF KEY PERSONS</t>
  </si>
  <si>
    <t>NRA.N.xxx-xxx-20xx/1</t>
  </si>
  <si>
    <t>Designation</t>
  </si>
  <si>
    <t>I34</t>
  </si>
  <si>
    <t>I36</t>
  </si>
  <si>
    <t>WAF</t>
  </si>
  <si>
    <t>Pg 1</t>
  </si>
  <si>
    <t>PEN</t>
  </si>
  <si>
    <t>Penalties</t>
  </si>
  <si>
    <t>Pg1</t>
  </si>
  <si>
    <t>RET</t>
  </si>
  <si>
    <t>k38</t>
  </si>
  <si>
    <t>H17</t>
  </si>
  <si>
    <t>To be updated monthly (DO NOT RUN THE MACRO FOR THE FIRST FEE CLAIM - RESAVE AND RUN MACRO FOR FEE CLAIM 2 AND ONWARDS)</t>
  </si>
  <si>
    <t xml:space="preserve">Original Est.
 (Excl. VAT) = </t>
  </si>
  <si>
    <t>Other</t>
  </si>
  <si>
    <t>Reduce Retention • 60% on receipt of approved draft Contract Report and As-built material records and drawings within 3 (three) months of issue of the Taking-over Certificates of the Works Contract.</t>
  </si>
  <si>
    <t>Tax Rate:</t>
  </si>
  <si>
    <t>CONTRACT:</t>
  </si>
  <si>
    <t>C2.2</t>
  </si>
  <si>
    <t>PRICING SCHEDULE  (Incorporating SBD3)</t>
  </si>
  <si>
    <t>Item</t>
  </si>
  <si>
    <t>Total  (R)</t>
  </si>
  <si>
    <t>Prov. Sum</t>
  </si>
  <si>
    <t>C2.3</t>
  </si>
  <si>
    <t>SUMMARY OF PRICING SCHEDULE</t>
  </si>
  <si>
    <t>TENDER SUM CARRIED FORWARD TO FORM OF OFFER (C1.1.1)</t>
  </si>
  <si>
    <t>PROJECT DESCRIPTION:</t>
  </si>
  <si>
    <t>PROJECT NUMBER:</t>
  </si>
  <si>
    <t>CONSULTANT COMPANY NAME:</t>
  </si>
  <si>
    <t>VAT %:</t>
  </si>
  <si>
    <t>TENDER CLOSING DATE:</t>
  </si>
  <si>
    <t>TENDERED BUDGET:</t>
  </si>
  <si>
    <t>CONTRACT AWARD DATE:</t>
  </si>
  <si>
    <r>
      <t xml:space="preserve">  </t>
    </r>
    <r>
      <rPr>
        <b/>
        <sz val="10"/>
        <rFont val="Arial"/>
        <family val="2"/>
      </rPr>
      <t>SOUTH AFRICAN NATIONAL ROADS AGENCY SOC LIMITED</t>
    </r>
  </si>
  <si>
    <r>
      <t xml:space="preserve">  </t>
    </r>
    <r>
      <rPr>
        <b/>
        <sz val="9"/>
        <rFont val="Arial"/>
        <family val="2"/>
      </rPr>
      <t>SOUTH AFRICAN NATIONAL ROADS AGENCY SOC LIMITED</t>
    </r>
  </si>
  <si>
    <t>RETENTION AMOUNT LIMIT (EXCL. VAT):</t>
  </si>
  <si>
    <t>H24</t>
  </si>
  <si>
    <t>NO INPUT REQUIRED ON THIS SHEET  - DO NOT DELETE OR ALTER AS IT IS REQUIRED FOR MACRO OPERATION</t>
  </si>
  <si>
    <t>Reduce Retention • 100% on receipt of approved final copies of the Contract Report and As-built material records and drawings within 1 (one) month of the issue of the Performance Certificate for the Works Contract.</t>
  </si>
  <si>
    <t>Notes on completion on Fee Claims</t>
  </si>
  <si>
    <t xml:space="preserve">      </t>
  </si>
  <si>
    <t>WESTERN</t>
  </si>
  <si>
    <t>Assistant Contracts Engineer</t>
  </si>
  <si>
    <t>Route Manager</t>
  </si>
  <si>
    <t>Assistant Route Manager</t>
  </si>
  <si>
    <t>H45</t>
  </si>
  <si>
    <t>H46</t>
  </si>
  <si>
    <t>H47</t>
  </si>
  <si>
    <t>H48</t>
  </si>
  <si>
    <t>H49</t>
  </si>
  <si>
    <t>H50</t>
  </si>
  <si>
    <t>H51</t>
  </si>
  <si>
    <t>H52</t>
  </si>
  <si>
    <t>EMPLOYEE SIGNATURE :</t>
  </si>
  <si>
    <t>EMPLOYER SIGNATURE :</t>
  </si>
  <si>
    <t>Site Travel - Current Month</t>
  </si>
  <si>
    <t>Site Travel - Previous Months</t>
  </si>
  <si>
    <t>Total Travel For Site Personnel to calculate into Pricing Schedule  - transfer to Pg 4 P Sums 35.04(a)</t>
  </si>
  <si>
    <t>Claim Period</t>
  </si>
  <si>
    <t>TRAVEL FOR SITE PERSONNEL  - LIMITED TO 10 000 KILOMETERS FOR ALL SITE STAFF PER MONTH</t>
  </si>
  <si>
    <t>TRAVEL HISTORY</t>
  </si>
  <si>
    <t>PAGE 3 (A)</t>
  </si>
  <si>
    <t>Category</t>
  </si>
  <si>
    <t>AR Manager No 1</t>
  </si>
  <si>
    <t xml:space="preserve">AR Manager No 2 </t>
  </si>
  <si>
    <t>PLO</t>
  </si>
  <si>
    <t>Engine Vol (cc)</t>
  </si>
  <si>
    <t>Min</t>
  </si>
  <si>
    <t>Max</t>
  </si>
  <si>
    <t>Fixed</t>
  </si>
  <si>
    <t>Changed</t>
  </si>
  <si>
    <t>N/A</t>
  </si>
  <si>
    <t>Totals to Date from Previous Claim</t>
  </si>
  <si>
    <t>THIS FORM SELF-POPULATES EVERY MONTH WHEN THE NEXT MONTH SETUP MACRO IS RUN</t>
  </si>
  <si>
    <t>The kilometre rate for all supervisory staff and PLO travel shall be limited to a Category A and B type vehicle with a 1800 Engine Volume cc in accordance with the table below.</t>
  </si>
  <si>
    <t>Vehicle Classes</t>
  </si>
  <si>
    <t>D   -   Mini busses (up to 15 seater)</t>
  </si>
  <si>
    <t>RRM Specific Table:</t>
  </si>
  <si>
    <t>Generic Table as provided for all other Consultant Contracts</t>
  </si>
  <si>
    <t xml:space="preserve">          and 4x2 Double Cabs</t>
  </si>
  <si>
    <t>A   -   Passenger motor cars and station wagons</t>
  </si>
  <si>
    <t xml:space="preserve">         carrying capacity up to one metric ton</t>
  </si>
  <si>
    <t>B   -   Two wheel drive light delivery vehicle, panel</t>
  </si>
  <si>
    <t xml:space="preserve">         vans and other similar goods vehicles with a</t>
  </si>
  <si>
    <t xml:space="preserve">           and double cab)</t>
  </si>
  <si>
    <t>C   -   Four wheel drive light delivery vehicle (single</t>
  </si>
  <si>
    <t>E</t>
  </si>
  <si>
    <t>If an adjustment rate is used (E Above) : explain the calculation below:</t>
  </si>
  <si>
    <t>E   -   Adjustment Rate (Manual Input)</t>
  </si>
  <si>
    <t xml:space="preserve">Ensure the total of Pg 3 Travel is completed correctly. It is linked to Pg4 Prov. Sums which is linked to the relevant item in the pricing schedule. </t>
  </si>
  <si>
    <t xml:space="preserve"> COST ESTIMATE (INCL VAT):</t>
  </si>
  <si>
    <t>Contracts Manager /Service Provider Representative</t>
  </si>
  <si>
    <t>BUILDING FACILITIES MANAGEMENT</t>
  </si>
  <si>
    <t>SERVICE PROVIDER</t>
  </si>
  <si>
    <t>CASH FLOW BUDGET AMOUNT</t>
  </si>
  <si>
    <t>Retention @ 5%</t>
  </si>
  <si>
    <t>Time related obligations</t>
  </si>
  <si>
    <t>SUB TOTAL FOR ESTABLISHMENT AND TIME RELATED OBLIGATIONS</t>
  </si>
  <si>
    <t>TRANSITIONAL ARRANGEMENTS</t>
  </si>
  <si>
    <t>Engagement of the previous service provider</t>
  </si>
  <si>
    <t>PC Sum</t>
  </si>
  <si>
    <t>13.01(a)</t>
  </si>
  <si>
    <t>Mark up on engagement of previous service provider - Item 13.01</t>
  </si>
  <si>
    <t>Percent</t>
  </si>
  <si>
    <t>Plan and programe taking on operations</t>
  </si>
  <si>
    <t>Taking over files and documentation</t>
  </si>
  <si>
    <t>Cost of Transport - files and documentation</t>
  </si>
  <si>
    <t>13.04(a)</t>
  </si>
  <si>
    <t>Taking over operations</t>
  </si>
  <si>
    <t>Plan and program handing over operations</t>
  </si>
  <si>
    <t>Handing over operations</t>
  </si>
  <si>
    <t>SUBTOTAL FOR TRANSITIONAL ARRANGEMENTS</t>
  </si>
  <si>
    <t>REIMBURSABLE COSTS</t>
  </si>
  <si>
    <t>Formal charges</t>
  </si>
  <si>
    <t>15.01(a)</t>
  </si>
  <si>
    <t>Mark up on formal charges - Item 15.01</t>
  </si>
  <si>
    <t>Other costs approved by the Employer</t>
  </si>
  <si>
    <t>15.02(a)</t>
  </si>
  <si>
    <t>Mark up on other costs approved by Employer - Item 15.02</t>
  </si>
  <si>
    <t>SUB TOTAL FOR REIMBURSABLE COSTS</t>
  </si>
  <si>
    <t>Preparation of annual subcontracting plan and programme</t>
  </si>
  <si>
    <t>No.</t>
  </si>
  <si>
    <t>Preparation of proforma quotation documents</t>
  </si>
  <si>
    <t>Preparation of proforma tender documents</t>
  </si>
  <si>
    <t>Compiling of  documents:</t>
  </si>
  <si>
    <t>21.04(a)</t>
  </si>
  <si>
    <t>Quotations</t>
  </si>
  <si>
    <t>21.04(b)</t>
  </si>
  <si>
    <t>Tenders</t>
  </si>
  <si>
    <t>Tender advertisements</t>
  </si>
  <si>
    <t>21.05(a)</t>
  </si>
  <si>
    <t>Service Provider’s mark up on tender advertisement costs - Item 21.05</t>
  </si>
  <si>
    <t>Evaluation, writing reports and adjudication in the case of;</t>
  </si>
  <si>
    <t>21.06(a)</t>
  </si>
  <si>
    <t>21.06(b)</t>
  </si>
  <si>
    <t>Payment of subcontractors</t>
  </si>
  <si>
    <t>21.07 (a)</t>
  </si>
  <si>
    <t>Fire Fighting Equipment &amp; Sprinklers</t>
  </si>
  <si>
    <t>21.07 (b)</t>
  </si>
  <si>
    <t>Security</t>
  </si>
  <si>
    <t>21.07 (c)</t>
  </si>
  <si>
    <t>Cleaning</t>
  </si>
  <si>
    <t>21.07 (d)</t>
  </si>
  <si>
    <t>Hygiene</t>
  </si>
  <si>
    <t>21.07 (e)</t>
  </si>
  <si>
    <t>Pest Control</t>
  </si>
  <si>
    <t>21.07 (f)</t>
  </si>
  <si>
    <t>Water Supply &amp; Cups</t>
  </si>
  <si>
    <t>21.07 (g)</t>
  </si>
  <si>
    <t>21.07 (h)</t>
  </si>
  <si>
    <t>Maintenance of Electric and Electronic Installations &amp; Generator</t>
  </si>
  <si>
    <t>21.07 (i)</t>
  </si>
  <si>
    <t>21.07 (j)</t>
  </si>
  <si>
    <t>Armed Response</t>
  </si>
  <si>
    <t>21.07 (k)</t>
  </si>
  <si>
    <t>Subcontract supervision and administration</t>
  </si>
  <si>
    <t>Materials and other direct costs for minor works</t>
  </si>
  <si>
    <t>22.01(a)</t>
  </si>
  <si>
    <t>Percentage mark up on materials and direct costs - Item 22.01</t>
  </si>
  <si>
    <t>Own skilled, but unqualified artisan / technician / labourer</t>
  </si>
  <si>
    <t>Hr</t>
  </si>
  <si>
    <t>Own qualified artisan / technician / supervisor</t>
  </si>
  <si>
    <t>Third Party engagements in minor repairs and services</t>
  </si>
  <si>
    <t>Management attendance</t>
  </si>
  <si>
    <t>OFFICE FACILITY MAINTENANCE</t>
  </si>
  <si>
    <t>Facility maintenance subcontract costs (Ad-hoc)</t>
  </si>
  <si>
    <t>23.01(a)</t>
  </si>
  <si>
    <t>Facility maintenance subcontract costs (Security, OHS and other)</t>
  </si>
  <si>
    <t>Maintaining the ITIS/SAP building management system</t>
  </si>
  <si>
    <t>Tender briefing meeting</t>
  </si>
  <si>
    <t>Tender opening meeting</t>
  </si>
  <si>
    <t>SUBTOTAL FOR OFFICE FACILITY MAINTENANCE</t>
  </si>
  <si>
    <t>MEETING SERVICES</t>
  </si>
  <si>
    <t>Meeting services</t>
  </si>
  <si>
    <t>SUBTOTAL FOR MEETING SERVICES</t>
  </si>
  <si>
    <t>Monthly reporting for management meetings</t>
  </si>
  <si>
    <t>Capturing data for all employed persons</t>
  </si>
  <si>
    <t>TOTAL FOR FACILITY MANAGEMENT</t>
  </si>
  <si>
    <t>LOG SHEET FOR SERVICE PROVIDER PERSONNEL</t>
  </si>
  <si>
    <t xml:space="preserve">CLAIM:  Serivce Provider Fees                                                                                                </t>
  </si>
  <si>
    <t>H8</t>
  </si>
  <si>
    <t>% Used</t>
  </si>
  <si>
    <t>H28</t>
  </si>
  <si>
    <t>DIVERSE SERVICES &amp; SUPERVISION</t>
  </si>
  <si>
    <t>Total Scheduled Page 1</t>
  </si>
  <si>
    <t>Implementation phase</t>
  </si>
  <si>
    <t>Total WAFs(CPI applicable)</t>
  </si>
  <si>
    <t>Work</t>
  </si>
  <si>
    <t>IMPLEMENTATION</t>
  </si>
  <si>
    <t>Total Implementation to Page 1</t>
  </si>
  <si>
    <t>Sub Total Implementation</t>
  </si>
  <si>
    <t xml:space="preserve">CLAIM:  Service Provider Fees                                        </t>
  </si>
  <si>
    <t>.</t>
  </si>
  <si>
    <t xml:space="preserve">PROVINCIAL HEAD      </t>
  </si>
  <si>
    <t>21.07 (l)</t>
  </si>
  <si>
    <t>21.07 (m)</t>
  </si>
  <si>
    <t>21.07 (n)</t>
  </si>
  <si>
    <t>Stationary</t>
  </si>
  <si>
    <t>Office Furniture</t>
  </si>
  <si>
    <t>Establishment for Facility  Management property services provision</t>
  </si>
  <si>
    <t>ESTABLISHMENT FOR FACILITY MANAGEMENT SERVICES PROVISION AND TIME RELATED OBLIGATIONS</t>
  </si>
  <si>
    <t>Administration of transport - Mark up on Item 13.04(a)</t>
  </si>
  <si>
    <t>13.04(b)</t>
  </si>
  <si>
    <t>PROCUREMENT AND CONTRACT PARTICIPATION</t>
  </si>
  <si>
    <t>Consumables</t>
  </si>
  <si>
    <t>21.07 (o)</t>
  </si>
  <si>
    <t>Catering</t>
  </si>
  <si>
    <t>Third Party assistance</t>
  </si>
  <si>
    <t>UNSPECIFIED MINOR WORKS</t>
  </si>
  <si>
    <t>Elevator Maintenance</t>
  </si>
  <si>
    <t>Heating, ventilation, air conditioning, BMS, rainwater harvesting and vacuum system control</t>
  </si>
  <si>
    <t>Landscaping and irrigation</t>
  </si>
  <si>
    <t>MONTHLY REPORTING REQUIREMENTS</t>
  </si>
  <si>
    <t>SUBTOTAL FOR MONTHLY REPORTING REQUIREMENTS</t>
  </si>
  <si>
    <t>SUB TOTAL FOR UNSPECIFIED MINOR WORKS</t>
  </si>
  <si>
    <t>SUB TOTAL PROCUREMENT AND CONTRACT PARTICIPATION</t>
  </si>
  <si>
    <t>OFFICE FACILITY MANAGEMENT FOR SANRAL GAUTENG PROVINCIAL OFFICE (38 IDA STREET, MENLO PARK, PRETORIA)</t>
  </si>
  <si>
    <t>SERVICE PROVIDER INPUT DATA</t>
  </si>
  <si>
    <t>GP2026/001/68120/2004</t>
  </si>
  <si>
    <t>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</si>
</sst>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0.0%"/>
    <numFmt numFmtId="168" formatCode="&quot;R&quot;\ #,##0.00"/>
    <numFmt numFmtId="169" formatCode="0.0"/>
    <numFmt numFmtId="170" formatCode="yy/mm/dd;@"/>
    <numFmt numFmtId="171" formatCode="_ [$R-1C09]\ * #,##0.00_ ;_ [$R-1C09]\ * \-#,##0.00_ ;_ [$R-1C09]\ * &quot;-&quot;??_ ;_ @_ "/>
    <numFmt numFmtId="172" formatCode="[$-1C09]dd\ mmmm\ yyyy;@"/>
    <numFmt numFmtId="173" formatCode="[$R-1C09]\ #,##0.00"/>
    <numFmt numFmtId="174" formatCode="[$R-1C09]\ #,##0.00;[Red][$R-1C09]\ #,##0.00"/>
    <numFmt numFmtId="175" formatCode="_(&quot;R&quot;* #,##0.00_);_(&quot;R&quot;* \(#,##0.00\);_(&quot;R&quot;* &quot;-&quot;??_);_(@_)"/>
    <numFmt numFmtId="176" formatCode="[$R-436]\ #,##0.00"/>
    <numFmt numFmtId="177" formatCode="[$R-436]\ #,##0.00;[$R-436]\ \-#,##0.00"/>
    <numFmt numFmtId="178" formatCode="#\ ###\ ##0.00"/>
    <numFmt numFmtId="179" formatCode="#,##0.000000"/>
    <numFmt numFmtId="180" formatCode="#,###,##0.00"/>
    <numFmt numFmtId="181" formatCode="0.0000"/>
    <numFmt numFmtId="182" formatCode="#,###"/>
    <numFmt numFmtId="183" formatCode="#\ \ ###\ ##0.00"/>
    <numFmt numFmtId="184" formatCode="#,###,###.00"/>
    <numFmt numFmtId="185" formatCode="#\ ###.00"/>
    <numFmt numFmtId="186" formatCode="mmmm\ yyyy"/>
    <numFmt numFmtId="187" formatCode="mmm\ yyyy"/>
    <numFmt numFmtId="188" formatCode="&quot;R&quot;#,##0.00"/>
    <numFmt numFmtId="189" formatCode="dd\-mmm\-yyyy"/>
    <numFmt numFmtId="190" formatCode="0.000000000"/>
    <numFmt numFmtId="191" formatCode="[$R-436]#,##0.00;\-[$R-436]#,##0.00"/>
    <numFmt numFmtId="192" formatCode="[$-409]mmm\-yy;@"/>
    <numFmt numFmtId="193" formatCode="[$R-1C09]#,##0.00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0"/>
      <color rgb="FF000000"/>
      <name val="Arial"/>
      <family val="2"/>
    </font>
    <font>
      <sz val="18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3" tint="-0.249977111117893"/>
      <name val="Arial"/>
      <family val="2"/>
    </font>
    <font>
      <b/>
      <sz val="7"/>
      <name val="Arial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9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FFD5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0" fontId="8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Protection="0"/>
    <xf numFmtId="2" fontId="8" fillId="0" borderId="0" applyProtection="0"/>
    <xf numFmtId="0" fontId="28" fillId="0" borderId="0" applyProtection="0"/>
    <xf numFmtId="0" fontId="19" fillId="0" borderId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367">
    <xf numFmtId="0" fontId="0" fillId="0" borderId="0" xfId="0"/>
    <xf numFmtId="0" fontId="4" fillId="0" borderId="0" xfId="7" applyFont="1"/>
    <xf numFmtId="0" fontId="3" fillId="0" borderId="0" xfId="7"/>
    <xf numFmtId="0" fontId="3" fillId="9" borderId="0" xfId="7" applyFill="1"/>
    <xf numFmtId="0" fontId="3" fillId="10" borderId="0" xfId="7" applyFill="1"/>
    <xf numFmtId="0" fontId="3" fillId="11" borderId="0" xfId="7" applyFill="1"/>
    <xf numFmtId="0" fontId="11" fillId="0" borderId="13" xfId="7" applyFont="1" applyBorder="1"/>
    <xf numFmtId="0" fontId="13" fillId="0" borderId="27" xfId="7" applyFont="1" applyBorder="1" applyAlignment="1">
      <alignment horizontal="center"/>
    </xf>
    <xf numFmtId="0" fontId="11" fillId="0" borderId="0" xfId="7" applyFont="1"/>
    <xf numFmtId="0" fontId="11" fillId="0" borderId="61" xfId="7" applyFont="1" applyBorder="1"/>
    <xf numFmtId="0" fontId="13" fillId="0" borderId="30" xfId="7" applyFont="1" applyBorder="1" applyAlignment="1">
      <alignment horizontal="center"/>
    </xf>
    <xf numFmtId="0" fontId="11" fillId="0" borderId="62" xfId="7" applyFont="1" applyBorder="1" applyAlignment="1">
      <alignment horizontal="center" vertical="center" wrapText="1"/>
    </xf>
    <xf numFmtId="0" fontId="11" fillId="0" borderId="64" xfId="7" applyFont="1" applyBorder="1"/>
    <xf numFmtId="0" fontId="11" fillId="0" borderId="64" xfId="7" applyFont="1" applyBorder="1" applyAlignment="1">
      <alignment horizontal="center" vertical="center"/>
    </xf>
    <xf numFmtId="0" fontId="14" fillId="2" borderId="66" xfId="7" applyFont="1" applyFill="1" applyBorder="1" applyAlignment="1">
      <alignment horizontal="center" vertical="center"/>
    </xf>
    <xf numFmtId="0" fontId="14" fillId="0" borderId="35" xfId="7" applyFont="1" applyBorder="1" applyAlignment="1">
      <alignment horizontal="center"/>
    </xf>
    <xf numFmtId="0" fontId="12" fillId="0" borderId="14" xfId="7" applyFont="1" applyBorder="1" applyAlignment="1">
      <alignment horizontal="left" vertical="center"/>
    </xf>
    <xf numFmtId="0" fontId="12" fillId="0" borderId="15" xfId="7" applyFont="1" applyBorder="1" applyAlignment="1">
      <alignment horizontal="left" vertical="center"/>
    </xf>
    <xf numFmtId="0" fontId="12" fillId="0" borderId="15" xfId="7" applyFont="1" applyBorder="1"/>
    <xf numFmtId="0" fontId="12" fillId="0" borderId="50" xfId="7" applyFont="1" applyBorder="1"/>
    <xf numFmtId="0" fontId="17" fillId="12" borderId="40" xfId="7" applyFont="1" applyFill="1" applyBorder="1"/>
    <xf numFmtId="0" fontId="17" fillId="12" borderId="41" xfId="7" applyFont="1" applyFill="1" applyBorder="1"/>
    <xf numFmtId="0" fontId="12" fillId="0" borderId="64" xfId="7" applyFont="1" applyBorder="1" applyAlignment="1">
      <alignment horizontal="left" vertical="center" wrapText="1"/>
    </xf>
    <xf numFmtId="174" fontId="12" fillId="12" borderId="11" xfId="7" applyNumberFormat="1" applyFont="1" applyFill="1" applyBorder="1" applyAlignment="1">
      <alignment horizontal="left" vertical="center"/>
    </xf>
    <xf numFmtId="174" fontId="12" fillId="12" borderId="32" xfId="7" applyNumberFormat="1" applyFont="1" applyFill="1" applyBorder="1" applyAlignment="1">
      <alignment horizontal="left" vertical="center"/>
    </xf>
    <xf numFmtId="0" fontId="18" fillId="0" borderId="27" xfId="7" applyFont="1" applyBorder="1" applyAlignment="1">
      <alignment horizontal="center"/>
    </xf>
    <xf numFmtId="0" fontId="18" fillId="0" borderId="68" xfId="7" applyFont="1" applyBorder="1" applyAlignment="1">
      <alignment horizontal="center"/>
    </xf>
    <xf numFmtId="0" fontId="18" fillId="0" borderId="65" xfId="7" applyFont="1" applyBorder="1" applyAlignment="1">
      <alignment horizontal="center"/>
    </xf>
    <xf numFmtId="0" fontId="18" fillId="0" borderId="10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0" fontId="18" fillId="0" borderId="69" xfId="7" applyFont="1" applyBorder="1"/>
    <xf numFmtId="17" fontId="8" fillId="0" borderId="61" xfId="7" applyNumberFormat="1" applyFont="1" applyBorder="1" applyAlignment="1">
      <alignment horizontal="center" vertical="center"/>
    </xf>
    <xf numFmtId="173" fontId="8" fillId="0" borderId="52" xfId="11" applyNumberFormat="1" applyFont="1" applyBorder="1" applyAlignment="1">
      <alignment vertical="center"/>
    </xf>
    <xf numFmtId="173" fontId="8" fillId="0" borderId="55" xfId="11" applyNumberFormat="1" applyFont="1" applyBorder="1" applyAlignment="1">
      <alignment vertical="center"/>
    </xf>
    <xf numFmtId="164" fontId="8" fillId="0" borderId="0" xfId="7" applyNumberFormat="1" applyFont="1" applyAlignment="1">
      <alignment vertical="center"/>
    </xf>
    <xf numFmtId="173" fontId="20" fillId="0" borderId="68" xfId="11" applyNumberFormat="1" applyFont="1" applyBorder="1" applyAlignment="1">
      <alignment vertical="center"/>
    </xf>
    <xf numFmtId="173" fontId="8" fillId="0" borderId="51" xfId="11" applyNumberFormat="1" applyFont="1" applyBorder="1" applyAlignment="1">
      <alignment vertical="center"/>
    </xf>
    <xf numFmtId="17" fontId="19" fillId="0" borderId="70" xfId="7" applyNumberFormat="1" applyFont="1" applyBorder="1" applyAlignment="1">
      <alignment vertical="center"/>
    </xf>
    <xf numFmtId="173" fontId="19" fillId="0" borderId="71" xfId="11" applyNumberFormat="1" applyFont="1" applyFill="1" applyBorder="1" applyAlignment="1">
      <alignment vertical="center"/>
    </xf>
    <xf numFmtId="173" fontId="20" fillId="0" borderId="72" xfId="11" applyNumberFormat="1" applyFont="1" applyFill="1" applyBorder="1" applyAlignment="1">
      <alignment horizontal="center" vertical="center"/>
    </xf>
    <xf numFmtId="173" fontId="8" fillId="0" borderId="54" xfId="11" applyNumberFormat="1" applyFont="1" applyBorder="1"/>
    <xf numFmtId="17" fontId="19" fillId="0" borderId="70" xfId="7" applyNumberFormat="1" applyFont="1" applyBorder="1"/>
    <xf numFmtId="173" fontId="19" fillId="0" borderId="71" xfId="11" applyNumberFormat="1" applyFont="1" applyFill="1" applyBorder="1"/>
    <xf numFmtId="173" fontId="20" fillId="0" borderId="72" xfId="11" applyNumberFormat="1" applyFont="1" applyFill="1" applyBorder="1" applyAlignment="1">
      <alignment horizontal="center"/>
    </xf>
    <xf numFmtId="0" fontId="19" fillId="0" borderId="64" xfId="7" applyFont="1" applyBorder="1" applyAlignment="1">
      <alignment vertical="center"/>
    </xf>
    <xf numFmtId="173" fontId="19" fillId="0" borderId="65" xfId="7" applyNumberFormat="1" applyFont="1" applyBorder="1" applyAlignment="1">
      <alignment vertical="center"/>
    </xf>
    <xf numFmtId="173" fontId="20" fillId="0" borderId="69" xfId="7" applyNumberFormat="1" applyFont="1" applyBorder="1" applyAlignment="1">
      <alignment horizontal="center" vertical="center"/>
    </xf>
    <xf numFmtId="0" fontId="8" fillId="0" borderId="0" xfId="7" applyFont="1"/>
    <xf numFmtId="173" fontId="11" fillId="0" borderId="0" xfId="7" applyNumberFormat="1" applyFont="1"/>
    <xf numFmtId="0" fontId="11" fillId="0" borderId="63" xfId="7" applyFont="1" applyBorder="1" applyAlignment="1">
      <alignment horizontal="center"/>
    </xf>
    <xf numFmtId="0" fontId="11" fillId="0" borderId="7" xfId="7" applyFont="1" applyBorder="1"/>
    <xf numFmtId="0" fontId="11" fillId="0" borderId="8" xfId="7" applyFont="1" applyBorder="1"/>
    <xf numFmtId="0" fontId="11" fillId="0" borderId="52" xfId="7" applyFont="1" applyBorder="1" applyAlignment="1">
      <alignment horizontal="center"/>
    </xf>
    <xf numFmtId="0" fontId="11" fillId="0" borderId="52" xfId="7" applyFont="1" applyBorder="1"/>
    <xf numFmtId="0" fontId="11" fillId="0" borderId="62" xfId="7" applyFont="1" applyBorder="1"/>
    <xf numFmtId="0" fontId="11" fillId="0" borderId="33" xfId="7" applyFont="1" applyBorder="1"/>
    <xf numFmtId="0" fontId="11" fillId="0" borderId="61" xfId="7" applyFont="1" applyBorder="1" applyAlignment="1">
      <alignment horizontal="center" vertical="center"/>
    </xf>
    <xf numFmtId="176" fontId="14" fillId="0" borderId="55" xfId="7" applyNumberFormat="1" applyFont="1" applyBorder="1" applyAlignment="1">
      <alignment horizontal="right"/>
    </xf>
    <xf numFmtId="177" fontId="14" fillId="0" borderId="52" xfId="7" applyNumberFormat="1" applyFont="1" applyBorder="1" applyAlignment="1">
      <alignment horizontal="right"/>
    </xf>
    <xf numFmtId="0" fontId="11" fillId="0" borderId="17" xfId="7" applyFont="1" applyBorder="1"/>
    <xf numFmtId="176" fontId="11" fillId="0" borderId="55" xfId="7" applyNumberFormat="1" applyFont="1" applyBorder="1" applyAlignment="1">
      <alignment horizontal="right"/>
    </xf>
    <xf numFmtId="43" fontId="11" fillId="0" borderId="52" xfId="7" applyNumberFormat="1" applyFont="1" applyBorder="1" applyAlignment="1">
      <alignment horizontal="right"/>
    </xf>
    <xf numFmtId="43" fontId="14" fillId="0" borderId="52" xfId="7" applyNumberFormat="1" applyFont="1" applyBorder="1" applyAlignment="1">
      <alignment horizontal="right"/>
    </xf>
    <xf numFmtId="0" fontId="11" fillId="0" borderId="35" xfId="7" applyFont="1" applyBorder="1"/>
    <xf numFmtId="0" fontId="13" fillId="0" borderId="33" xfId="7" applyFont="1" applyBorder="1" applyAlignment="1">
      <alignment horizontal="left" vertical="center" wrapText="1"/>
    </xf>
    <xf numFmtId="0" fontId="13" fillId="0" borderId="0" xfId="7" applyFont="1" applyAlignment="1">
      <alignment horizontal="left" vertical="center" wrapText="1"/>
    </xf>
    <xf numFmtId="0" fontId="13" fillId="0" borderId="17" xfId="7" applyFont="1" applyBorder="1" applyAlignment="1">
      <alignment horizontal="left" vertical="center" wrapText="1"/>
    </xf>
    <xf numFmtId="0" fontId="13" fillId="0" borderId="28" xfId="7" applyFont="1" applyBorder="1"/>
    <xf numFmtId="0" fontId="13" fillId="0" borderId="29" xfId="7" applyFont="1" applyBorder="1"/>
    <xf numFmtId="0" fontId="13" fillId="0" borderId="67" xfId="7" applyFont="1" applyBorder="1"/>
    <xf numFmtId="0" fontId="11" fillId="0" borderId="50" xfId="7" applyFont="1" applyBorder="1"/>
    <xf numFmtId="43" fontId="11" fillId="0" borderId="51" xfId="7" applyNumberFormat="1" applyFont="1" applyBorder="1" applyAlignment="1">
      <alignment horizontal="right"/>
    </xf>
    <xf numFmtId="43" fontId="11" fillId="0" borderId="53" xfId="7" applyNumberFormat="1" applyFont="1" applyBorder="1" applyAlignment="1">
      <alignment horizontal="right"/>
    </xf>
    <xf numFmtId="0" fontId="11" fillId="0" borderId="73" xfId="7" applyFont="1" applyBorder="1"/>
    <xf numFmtId="0" fontId="11" fillId="0" borderId="45" xfId="7" applyFont="1" applyBorder="1"/>
    <xf numFmtId="0" fontId="11" fillId="0" borderId="63" xfId="7" applyFont="1" applyBorder="1"/>
    <xf numFmtId="0" fontId="11" fillId="0" borderId="77" xfId="7" applyFont="1" applyBorder="1"/>
    <xf numFmtId="0" fontId="11" fillId="0" borderId="1" xfId="7" applyFont="1" applyBorder="1"/>
    <xf numFmtId="0" fontId="11" fillId="0" borderId="2" xfId="7" applyFont="1" applyBorder="1"/>
    <xf numFmtId="0" fontId="11" fillId="0" borderId="3" xfId="7" applyFont="1" applyBorder="1"/>
    <xf numFmtId="0" fontId="11" fillId="0" borderId="25" xfId="7" applyFont="1" applyBorder="1"/>
    <xf numFmtId="0" fontId="13" fillId="0" borderId="25" xfId="7" applyFont="1" applyBorder="1" applyAlignment="1">
      <alignment horizontal="left"/>
    </xf>
    <xf numFmtId="0" fontId="13" fillId="0" borderId="35" xfId="7" applyFont="1" applyBorder="1" applyAlignment="1">
      <alignment horizontal="left"/>
    </xf>
    <xf numFmtId="0" fontId="8" fillId="0" borderId="0" xfId="12"/>
    <xf numFmtId="0" fontId="19" fillId="0" borderId="7" xfId="12" applyFont="1" applyBorder="1" applyAlignment="1" applyProtection="1">
      <alignment horizontal="center" vertical="center"/>
      <protection locked="0"/>
    </xf>
    <xf numFmtId="0" fontId="19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right" vertical="center" wrapText="1"/>
    </xf>
    <xf numFmtId="0" fontId="19" fillId="0" borderId="0" xfId="12" quotePrefix="1" applyFont="1" applyAlignment="1" applyProtection="1">
      <alignment horizontal="left"/>
      <protection locked="0"/>
    </xf>
    <xf numFmtId="0" fontId="19" fillId="0" borderId="0" xfId="12" applyFont="1"/>
    <xf numFmtId="0" fontId="19" fillId="0" borderId="0" xfId="12" applyFont="1" applyProtection="1">
      <protection locked="0"/>
    </xf>
    <xf numFmtId="0" fontId="19" fillId="0" borderId="0" xfId="12" applyFont="1" applyAlignment="1">
      <alignment horizontal="center"/>
    </xf>
    <xf numFmtId="0" fontId="19" fillId="0" borderId="0" xfId="12" applyFont="1" applyAlignment="1" applyProtection="1">
      <alignment horizontal="center"/>
      <protection locked="0"/>
    </xf>
    <xf numFmtId="0" fontId="19" fillId="0" borderId="1" xfId="12" quotePrefix="1" applyFont="1" applyBorder="1" applyAlignment="1" applyProtection="1">
      <alignment horizontal="left"/>
      <protection locked="0"/>
    </xf>
    <xf numFmtId="0" fontId="19" fillId="0" borderId="2" xfId="12" applyFont="1" applyBorder="1"/>
    <xf numFmtId="0" fontId="19" fillId="0" borderId="2" xfId="12" applyFont="1" applyBorder="1" applyProtection="1">
      <protection locked="0"/>
    </xf>
    <xf numFmtId="0" fontId="19" fillId="0" borderId="2" xfId="12" applyFont="1" applyBorder="1" applyAlignment="1">
      <alignment horizontal="center"/>
    </xf>
    <xf numFmtId="0" fontId="19" fillId="0" borderId="3" xfId="12" applyFont="1" applyBorder="1" applyAlignment="1" applyProtection="1">
      <alignment horizontal="center"/>
      <protection locked="0"/>
    </xf>
    <xf numFmtId="0" fontId="19" fillId="0" borderId="33" xfId="12" applyFont="1" applyBorder="1"/>
    <xf numFmtId="0" fontId="19" fillId="0" borderId="17" xfId="12" applyFont="1" applyBorder="1"/>
    <xf numFmtId="0" fontId="13" fillId="0" borderId="1" xfId="12" applyFont="1" applyBorder="1" applyAlignment="1">
      <alignment horizontal="center"/>
    </xf>
    <xf numFmtId="0" fontId="13" fillId="0" borderId="2" xfId="12" applyFont="1" applyBorder="1" applyAlignment="1">
      <alignment horizontal="center"/>
    </xf>
    <xf numFmtId="0" fontId="13" fillId="0" borderId="18" xfId="12" applyFont="1" applyBorder="1" applyAlignment="1">
      <alignment horizontal="center" vertical="top" wrapText="1"/>
    </xf>
    <xf numFmtId="0" fontId="13" fillId="0" borderId="18" xfId="12" applyFont="1" applyBorder="1" applyAlignment="1">
      <alignment horizontal="center"/>
    </xf>
    <xf numFmtId="0" fontId="13" fillId="0" borderId="33" xfId="12" applyFont="1" applyBorder="1" applyAlignment="1">
      <alignment horizontal="center"/>
    </xf>
    <xf numFmtId="0" fontId="13" fillId="0" borderId="0" xfId="12" applyFont="1" applyAlignment="1">
      <alignment horizontal="center"/>
    </xf>
    <xf numFmtId="0" fontId="13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13" fillId="0" borderId="55" xfId="7" applyFont="1" applyBorder="1" applyAlignment="1">
      <alignment horizontal="center" vertical="top" wrapText="1"/>
    </xf>
    <xf numFmtId="0" fontId="11" fillId="0" borderId="55" xfId="7" applyFont="1" applyBorder="1" applyAlignment="1">
      <alignment horizontal="center"/>
    </xf>
    <xf numFmtId="0" fontId="13" fillId="0" borderId="55" xfId="7" applyFont="1" applyBorder="1" applyAlignment="1">
      <alignment horizontal="center"/>
    </xf>
    <xf numFmtId="0" fontId="13" fillId="0" borderId="34" xfId="12" applyFont="1" applyBorder="1" applyAlignment="1">
      <alignment horizontal="center"/>
    </xf>
    <xf numFmtId="0" fontId="13" fillId="0" borderId="25" xfId="12" applyFont="1" applyBorder="1" applyAlignment="1">
      <alignment horizontal="center"/>
    </xf>
    <xf numFmtId="0" fontId="11" fillId="0" borderId="80" xfId="7" applyFont="1" applyBorder="1" applyAlignment="1">
      <alignment horizontal="center" vertical="top" wrapText="1"/>
    </xf>
    <xf numFmtId="0" fontId="11" fillId="0" borderId="80" xfId="7" applyFont="1" applyBorder="1" applyAlignment="1">
      <alignment horizontal="center"/>
    </xf>
    <xf numFmtId="0" fontId="13" fillId="0" borderId="80" xfId="7" applyFont="1" applyBorder="1" applyAlignment="1">
      <alignment horizontal="center"/>
    </xf>
    <xf numFmtId="0" fontId="11" fillId="0" borderId="50" xfId="12" applyFont="1" applyBorder="1" applyAlignment="1">
      <alignment horizontal="center"/>
    </xf>
    <xf numFmtId="0" fontId="11" fillId="0" borderId="29" xfId="12" applyFont="1" applyBorder="1"/>
    <xf numFmtId="0" fontId="11" fillId="0" borderId="51" xfId="12" applyFont="1" applyBorder="1" applyAlignment="1">
      <alignment horizontal="center"/>
    </xf>
    <xf numFmtId="178" fontId="11" fillId="0" borderId="51" xfId="12" applyNumberFormat="1" applyFont="1" applyBorder="1" applyProtection="1">
      <protection locked="0"/>
    </xf>
    <xf numFmtId="4" fontId="11" fillId="0" borderId="51" xfId="12" applyNumberFormat="1" applyFont="1" applyBorder="1" applyProtection="1">
      <protection locked="0"/>
    </xf>
    <xf numFmtId="179" fontId="8" fillId="0" borderId="0" xfId="12" applyNumberFormat="1" applyProtection="1">
      <protection locked="0"/>
    </xf>
    <xf numFmtId="0" fontId="11" fillId="0" borderId="15" xfId="12" applyFont="1" applyBorder="1" applyAlignment="1">
      <alignment horizontal="center"/>
    </xf>
    <xf numFmtId="0" fontId="11" fillId="0" borderId="40" xfId="12" applyFont="1" applyBorder="1"/>
    <xf numFmtId="0" fontId="11" fillId="0" borderId="7" xfId="12" applyFont="1" applyBorder="1" applyAlignment="1">
      <alignment horizontal="center"/>
    </xf>
    <xf numFmtId="178" fontId="11" fillId="0" borderId="7" xfId="12" applyNumberFormat="1" applyFont="1" applyBorder="1" applyProtection="1">
      <protection locked="0"/>
    </xf>
    <xf numFmtId="4" fontId="11" fillId="0" borderId="7" xfId="12" applyNumberFormat="1" applyFont="1" applyBorder="1" applyProtection="1">
      <protection locked="0"/>
    </xf>
    <xf numFmtId="0" fontId="11" fillId="0" borderId="62" xfId="12" applyFont="1" applyBorder="1" applyAlignment="1">
      <alignment horizontal="center"/>
    </xf>
    <xf numFmtId="0" fontId="11" fillId="0" borderId="45" xfId="12" applyFont="1" applyBorder="1"/>
    <xf numFmtId="0" fontId="11" fillId="0" borderId="57" xfId="12" applyFont="1" applyBorder="1" applyAlignment="1">
      <alignment horizontal="center"/>
    </xf>
    <xf numFmtId="4" fontId="11" fillId="0" borderId="57" xfId="12" applyNumberFormat="1" applyFont="1" applyBorder="1"/>
    <xf numFmtId="178" fontId="11" fillId="0" borderId="57" xfId="12" applyNumberFormat="1" applyFont="1" applyBorder="1" applyProtection="1">
      <protection locked="0"/>
    </xf>
    <xf numFmtId="4" fontId="11" fillId="0" borderId="57" xfId="12" applyNumberFormat="1" applyFont="1" applyBorder="1" applyProtection="1">
      <protection locked="0"/>
    </xf>
    <xf numFmtId="178" fontId="11" fillId="0" borderId="4" xfId="12" applyNumberFormat="1" applyFont="1" applyBorder="1" applyProtection="1">
      <protection locked="0"/>
    </xf>
    <xf numFmtId="4" fontId="11" fillId="0" borderId="4" xfId="12" applyNumberFormat="1" applyFont="1" applyBorder="1" applyProtection="1">
      <protection locked="0"/>
    </xf>
    <xf numFmtId="0" fontId="11" fillId="0" borderId="56" xfId="12" applyFont="1" applyBorder="1" applyAlignment="1">
      <alignment horizontal="center" vertical="center"/>
    </xf>
    <xf numFmtId="0" fontId="13" fillId="0" borderId="26" xfId="12" applyFont="1" applyBorder="1" applyAlignment="1">
      <alignment vertical="center"/>
    </xf>
    <xf numFmtId="0" fontId="11" fillId="0" borderId="22" xfId="12" applyFont="1" applyBorder="1" applyAlignment="1">
      <alignment vertical="center"/>
    </xf>
    <xf numFmtId="0" fontId="11" fillId="0" borderId="24" xfId="12" applyFont="1" applyBorder="1" applyAlignment="1">
      <alignment vertical="center"/>
    </xf>
    <xf numFmtId="178" fontId="11" fillId="0" borderId="20" xfId="12" applyNumberFormat="1" applyFont="1" applyBorder="1" applyAlignment="1" applyProtection="1">
      <alignment vertical="center"/>
      <protection locked="0"/>
    </xf>
    <xf numFmtId="0" fontId="11" fillId="0" borderId="33" xfId="12" applyFont="1" applyBorder="1"/>
    <xf numFmtId="0" fontId="11" fillId="0" borderId="0" xfId="12" applyFont="1"/>
    <xf numFmtId="0" fontId="11" fillId="0" borderId="17" xfId="12" applyFont="1" applyBorder="1"/>
    <xf numFmtId="0" fontId="8" fillId="0" borderId="0" xfId="12" applyProtection="1">
      <protection locked="0"/>
    </xf>
    <xf numFmtId="180" fontId="11" fillId="0" borderId="0" xfId="12" applyNumberFormat="1" applyFont="1"/>
    <xf numFmtId="180" fontId="11" fillId="0" borderId="17" xfId="12" applyNumberFormat="1" applyFont="1" applyBorder="1"/>
    <xf numFmtId="0" fontId="11" fillId="13" borderId="33" xfId="12" applyFont="1" applyFill="1" applyBorder="1"/>
    <xf numFmtId="0" fontId="11" fillId="13" borderId="0" xfId="12" applyFont="1" applyFill="1"/>
    <xf numFmtId="0" fontId="11" fillId="0" borderId="34" xfId="12" applyFont="1" applyBorder="1"/>
    <xf numFmtId="0" fontId="11" fillId="0" borderId="25" xfId="12" applyFont="1" applyBorder="1"/>
    <xf numFmtId="0" fontId="11" fillId="0" borderId="35" xfId="12" applyFont="1" applyBorder="1"/>
    <xf numFmtId="165" fontId="3" fillId="0" borderId="0" xfId="13" applyBorder="1" applyAlignment="1">
      <alignment horizontal="right"/>
    </xf>
    <xf numFmtId="165" fontId="19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11" borderId="9" xfId="13" applyNumberFormat="1" applyFill="1" applyBorder="1"/>
    <xf numFmtId="0" fontId="3" fillId="0" borderId="40" xfId="7" applyBorder="1" applyAlignment="1">
      <alignment horizontal="left"/>
    </xf>
    <xf numFmtId="0" fontId="4" fillId="0" borderId="62" xfId="7" applyFont="1" applyBorder="1"/>
    <xf numFmtId="4" fontId="3" fillId="11" borderId="7" xfId="6" applyNumberFormat="1" applyFill="1" applyBorder="1" applyAlignment="1"/>
    <xf numFmtId="0" fontId="4" fillId="11" borderId="61" xfId="7" applyFont="1" applyFill="1" applyBorder="1" applyAlignment="1">
      <alignment vertical="center"/>
    </xf>
    <xf numFmtId="0" fontId="3" fillId="11" borderId="40" xfId="7" applyFill="1" applyBorder="1" applyAlignment="1">
      <alignment vertical="center"/>
    </xf>
    <xf numFmtId="165" fontId="3" fillId="11" borderId="42" xfId="13" applyFill="1" applyBorder="1" applyAlignment="1">
      <alignment vertical="center"/>
    </xf>
    <xf numFmtId="178" fontId="4" fillId="11" borderId="9" xfId="13" applyNumberFormat="1" applyFont="1" applyFill="1" applyBorder="1" applyAlignment="1">
      <alignment vertical="center"/>
    </xf>
    <xf numFmtId="0" fontId="4" fillId="11" borderId="64" xfId="7" applyFont="1" applyFill="1" applyBorder="1" applyAlignment="1">
      <alignment vertical="center"/>
    </xf>
    <xf numFmtId="0" fontId="3" fillId="11" borderId="32" xfId="7" applyFill="1" applyBorder="1" applyAlignment="1">
      <alignment vertical="center"/>
    </xf>
    <xf numFmtId="165" fontId="3" fillId="11" borderId="81" xfId="13" applyFill="1" applyBorder="1" applyAlignment="1">
      <alignment vertical="center"/>
    </xf>
    <xf numFmtId="178" fontId="4" fillId="11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78" fontId="3" fillId="0" borderId="3" xfId="7" applyNumberFormat="1" applyBorder="1"/>
    <xf numFmtId="0" fontId="13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78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165" fontId="4" fillId="0" borderId="10" xfId="13" applyFont="1" applyBorder="1" applyAlignment="1">
      <alignment horizontal="center"/>
    </xf>
    <xf numFmtId="178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78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1" fontId="4" fillId="0" borderId="40" xfId="7" applyNumberFormat="1" applyFont="1" applyBorder="1" applyAlignment="1">
      <alignment horizontal="left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1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13" xfId="7" applyFont="1" applyBorder="1"/>
    <xf numFmtId="0" fontId="4" fillId="0" borderId="64" xfId="7" applyFont="1" applyBorder="1" applyAlignment="1">
      <alignment wrapText="1"/>
    </xf>
    <xf numFmtId="0" fontId="4" fillId="0" borderId="80" xfId="7" applyFont="1" applyBorder="1" applyAlignment="1">
      <alignment horizontal="center" vertic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23" fillId="0" borderId="50" xfId="7" applyFont="1" applyBorder="1"/>
    <xf numFmtId="0" fontId="23" fillId="0" borderId="47" xfId="7" applyFont="1" applyBorder="1"/>
    <xf numFmtId="0" fontId="23" fillId="0" borderId="51" xfId="7" applyFont="1" applyBorder="1"/>
    <xf numFmtId="0" fontId="23" fillId="0" borderId="51" xfId="7" applyFont="1" applyBorder="1" applyAlignment="1">
      <alignment horizontal="center" vertical="center"/>
    </xf>
    <xf numFmtId="4" fontId="23" fillId="0" borderId="53" xfId="7" applyNumberFormat="1" applyFont="1" applyBorder="1" applyAlignment="1">
      <alignment horizontal="left" vertical="center" wrapText="1"/>
    </xf>
    <xf numFmtId="0" fontId="23" fillId="0" borderId="53" xfId="7" applyFont="1" applyBorder="1" applyAlignment="1">
      <alignment horizontal="center"/>
    </xf>
    <xf numFmtId="2" fontId="23" fillId="0" borderId="30" xfId="7" applyNumberFormat="1" applyFont="1" applyBorder="1" applyAlignment="1">
      <alignment horizontal="center"/>
    </xf>
    <xf numFmtId="181" fontId="3" fillId="0" borderId="7" xfId="7" applyNumberFormat="1" applyBorder="1" applyAlignment="1">
      <alignment horizontal="center"/>
    </xf>
    <xf numFmtId="181" fontId="3" fillId="0" borderId="0" xfId="7" applyNumberFormat="1"/>
    <xf numFmtId="0" fontId="19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13" borderId="51" xfId="7" applyFill="1" applyBorder="1" applyAlignment="1">
      <alignment vertical="center"/>
    </xf>
    <xf numFmtId="4" fontId="3" fillId="13" borderId="30" xfId="7" applyNumberFormat="1" applyFill="1" applyBorder="1" applyAlignment="1">
      <alignment vertical="center"/>
    </xf>
    <xf numFmtId="0" fontId="3" fillId="13" borderId="7" xfId="7" applyFill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78" fontId="3" fillId="13" borderId="9" xfId="7" applyNumberFormat="1" applyFill="1" applyBorder="1"/>
    <xf numFmtId="178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78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13" borderId="7" xfId="7" applyNumberFormat="1" applyFill="1" applyBorder="1"/>
    <xf numFmtId="178" fontId="3" fillId="13" borderId="7" xfId="7" applyNumberFormat="1" applyFill="1" applyBorder="1"/>
    <xf numFmtId="0" fontId="4" fillId="0" borderId="40" xfId="7" applyFont="1" applyBorder="1" applyAlignment="1">
      <alignment horizontal="right" vertical="center"/>
    </xf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8" fillId="0" borderId="2" xfId="12" applyBorder="1"/>
    <xf numFmtId="0" fontId="8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9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69" fontId="3" fillId="0" borderId="53" xfId="7" applyNumberFormat="1" applyBorder="1"/>
    <xf numFmtId="169" fontId="3" fillId="0" borderId="47" xfId="7" applyNumberFormat="1" applyBorder="1"/>
    <xf numFmtId="0" fontId="3" fillId="0" borderId="51" xfId="7" applyBorder="1" applyAlignment="1">
      <alignment horizontal="center"/>
    </xf>
    <xf numFmtId="0" fontId="3" fillId="14" borderId="53" xfId="7" applyFill="1" applyBorder="1"/>
    <xf numFmtId="0" fontId="3" fillId="14" borderId="38" xfId="7" applyFill="1" applyBorder="1"/>
    <xf numFmtId="0" fontId="3" fillId="14" borderId="29" xfId="7" applyFill="1" applyBorder="1"/>
    <xf numFmtId="0" fontId="3" fillId="14" borderId="67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69" fontId="3" fillId="13" borderId="8" xfId="7" applyNumberFormat="1" applyFill="1" applyBorder="1"/>
    <xf numFmtId="169" fontId="3" fillId="0" borderId="42" xfId="7" applyNumberFormat="1" applyBorder="1" applyAlignment="1">
      <alignment horizontal="center"/>
    </xf>
    <xf numFmtId="185" fontId="3" fillId="13" borderId="7" xfId="7" applyNumberFormat="1" applyFill="1" applyBorder="1"/>
    <xf numFmtId="185" fontId="3" fillId="0" borderId="9" xfId="7" applyNumberFormat="1" applyBorder="1"/>
    <xf numFmtId="0" fontId="3" fillId="0" borderId="42" xfId="7" applyBorder="1" applyAlignment="1">
      <alignment horizontal="center"/>
    </xf>
    <xf numFmtId="169" fontId="3" fillId="0" borderId="42" xfId="7" applyNumberFormat="1" applyBorder="1"/>
    <xf numFmtId="185" fontId="3" fillId="0" borderId="20" xfId="7" applyNumberFormat="1" applyBorder="1"/>
    <xf numFmtId="185" fontId="4" fillId="0" borderId="19" xfId="7" applyNumberFormat="1" applyFont="1" applyBorder="1"/>
    <xf numFmtId="169" fontId="3" fillId="13" borderId="44" xfId="7" applyNumberFormat="1" applyFill="1" applyBorder="1"/>
    <xf numFmtId="169" fontId="3" fillId="0" borderId="46" xfId="7" applyNumberFormat="1" applyBorder="1"/>
    <xf numFmtId="185" fontId="3" fillId="13" borderId="57" xfId="7" applyNumberFormat="1" applyFill="1" applyBorder="1"/>
    <xf numFmtId="185" fontId="3" fillId="0" borderId="59" xfId="7" applyNumberFormat="1" applyBorder="1"/>
    <xf numFmtId="169" fontId="3" fillId="0" borderId="46" xfId="7" applyNumberFormat="1" applyBorder="1" applyAlignment="1">
      <alignment horizontal="center"/>
    </xf>
    <xf numFmtId="181" fontId="3" fillId="0" borderId="57" xfId="7" applyNumberFormat="1" applyBorder="1" applyAlignment="1">
      <alignment horizontal="center"/>
    </xf>
    <xf numFmtId="185" fontId="3" fillId="0" borderId="19" xfId="7" applyNumberFormat="1" applyBorder="1"/>
    <xf numFmtId="185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13" fillId="0" borderId="33" xfId="7" applyNumberFormat="1" applyFont="1" applyBorder="1"/>
    <xf numFmtId="0" fontId="13" fillId="0" borderId="0" xfId="7" applyFont="1"/>
    <xf numFmtId="0" fontId="13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14" borderId="51" xfId="7" applyFill="1" applyBorder="1"/>
    <xf numFmtId="0" fontId="3" fillId="14" borderId="30" xfId="7" applyFill="1" applyBorder="1" applyAlignment="1">
      <alignment horizontal="center"/>
    </xf>
    <xf numFmtId="0" fontId="3" fillId="13" borderId="7" xfId="7" applyFill="1" applyBorder="1" applyAlignment="1">
      <alignment horizontal="left"/>
    </xf>
    <xf numFmtId="0" fontId="3" fillId="13" borderId="7" xfId="7" applyFill="1" applyBorder="1" applyAlignment="1">
      <alignment horizontal="center"/>
    </xf>
    <xf numFmtId="0" fontId="3" fillId="13" borderId="9" xfId="7" applyFill="1" applyBorder="1" applyAlignment="1">
      <alignment horizontal="left"/>
    </xf>
    <xf numFmtId="0" fontId="3" fillId="13" borderId="57" xfId="7" applyFill="1" applyBorder="1" applyAlignment="1">
      <alignment horizontal="left"/>
    </xf>
    <xf numFmtId="0" fontId="3" fillId="13" borderId="57" xfId="7" applyFill="1" applyBorder="1" applyAlignment="1">
      <alignment horizontal="center"/>
    </xf>
    <xf numFmtId="0" fontId="3" fillId="13" borderId="59" xfId="7" applyFill="1" applyBorder="1" applyAlignment="1">
      <alignment horizontal="left"/>
    </xf>
    <xf numFmtId="0" fontId="27" fillId="0" borderId="82" xfId="7" applyFont="1" applyBorder="1"/>
    <xf numFmtId="0" fontId="8" fillId="0" borderId="0" xfId="7" applyFont="1" applyAlignment="1">
      <alignment horizontal="right"/>
    </xf>
    <xf numFmtId="0" fontId="8" fillId="13" borderId="67" xfId="7" applyFont="1" applyFill="1" applyBorder="1" applyAlignment="1">
      <alignment horizontal="right"/>
    </xf>
    <xf numFmtId="0" fontId="3" fillId="0" borderId="0" xfId="7" applyAlignment="1">
      <alignment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3" fillId="0" borderId="49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17" fontId="18" fillId="0" borderId="10" xfId="7" applyNumberFormat="1" applyFont="1" applyBorder="1" applyAlignment="1">
      <alignment horizontal="center"/>
    </xf>
    <xf numFmtId="17" fontId="11" fillId="0" borderId="0" xfId="7" applyNumberFormat="1" applyFont="1"/>
    <xf numFmtId="0" fontId="17" fillId="0" borderId="40" xfId="7" applyFont="1" applyBorder="1"/>
    <xf numFmtId="0" fontId="17" fillId="0" borderId="41" xfId="7" applyFont="1" applyBorder="1"/>
    <xf numFmtId="173" fontId="12" fillId="0" borderId="8" xfId="7" applyNumberFormat="1" applyFont="1" applyBorder="1" applyAlignment="1">
      <alignment horizontal="left"/>
    </xf>
    <xf numFmtId="174" fontId="12" fillId="0" borderId="11" xfId="7" applyNumberFormat="1" applyFont="1" applyBorder="1" applyAlignment="1">
      <alignment horizontal="left" vertical="center"/>
    </xf>
    <xf numFmtId="174" fontId="12" fillId="0" borderId="32" xfId="7" applyNumberFormat="1" applyFont="1" applyBorder="1" applyAlignment="1">
      <alignment horizontal="left" vertical="center"/>
    </xf>
    <xf numFmtId="0" fontId="17" fillId="0" borderId="32" xfId="7" applyFont="1" applyBorder="1"/>
    <xf numFmtId="0" fontId="17" fillId="0" borderId="43" xfId="7" applyFont="1" applyBorder="1"/>
    <xf numFmtId="174" fontId="12" fillId="0" borderId="40" xfId="7" applyNumberFormat="1" applyFont="1" applyBorder="1" applyAlignment="1">
      <alignment horizontal="left"/>
    </xf>
    <xf numFmtId="37" fontId="12" fillId="0" borderId="5" xfId="7" applyNumberFormat="1" applyFont="1" applyBorder="1" applyAlignment="1">
      <alignment horizontal="left" vertical="center"/>
    </xf>
    <xf numFmtId="0" fontId="17" fillId="0" borderId="37" xfId="7" applyFont="1" applyBorder="1"/>
    <xf numFmtId="0" fontId="17" fillId="0" borderId="38" xfId="7" applyFont="1" applyBorder="1"/>
    <xf numFmtId="0" fontId="18" fillId="6" borderId="25" xfId="7" applyFont="1" applyFill="1" applyBorder="1" applyAlignment="1">
      <alignment horizontal="center"/>
    </xf>
    <xf numFmtId="173" fontId="19" fillId="6" borderId="71" xfId="11" applyNumberFormat="1" applyFont="1" applyFill="1" applyBorder="1" applyAlignment="1">
      <alignment vertical="center"/>
    </xf>
    <xf numFmtId="173" fontId="19" fillId="6" borderId="71" xfId="11" applyNumberFormat="1" applyFont="1" applyFill="1" applyBorder="1"/>
    <xf numFmtId="173" fontId="19" fillId="6" borderId="65" xfId="7" applyNumberFormat="1" applyFont="1" applyFill="1" applyBorder="1" applyAlignment="1">
      <alignment vertical="center"/>
    </xf>
    <xf numFmtId="0" fontId="18" fillId="6" borderId="65" xfId="7" applyFont="1" applyFill="1" applyBorder="1" applyAlignment="1">
      <alignment horizontal="center"/>
    </xf>
    <xf numFmtId="0" fontId="18" fillId="6" borderId="10" xfId="7" applyFont="1" applyFill="1" applyBorder="1" applyAlignment="1">
      <alignment horizontal="center"/>
    </xf>
    <xf numFmtId="173" fontId="8" fillId="6" borderId="52" xfId="11" applyNumberFormat="1" applyFont="1" applyFill="1" applyBorder="1" applyAlignment="1">
      <alignment vertical="center"/>
    </xf>
    <xf numFmtId="173" fontId="8" fillId="6" borderId="55" xfId="11" applyNumberFormat="1" applyFont="1" applyFill="1" applyBorder="1" applyAlignment="1">
      <alignment vertical="center"/>
    </xf>
    <xf numFmtId="173" fontId="20" fillId="6" borderId="52" xfId="11" applyNumberFormat="1" applyFont="1" applyFill="1" applyBorder="1" applyAlignment="1">
      <alignment vertical="center"/>
    </xf>
    <xf numFmtId="173" fontId="8" fillId="6" borderId="51" xfId="11" applyNumberFormat="1" applyFont="1" applyFill="1" applyBorder="1" applyAlignment="1">
      <alignment vertical="center"/>
    </xf>
    <xf numFmtId="173" fontId="8" fillId="6" borderId="52" xfId="11" applyNumberFormat="1" applyFont="1" applyFill="1" applyBorder="1"/>
    <xf numFmtId="173" fontId="8" fillId="6" borderId="55" xfId="11" applyNumberFormat="1" applyFont="1" applyFill="1" applyBorder="1"/>
    <xf numFmtId="173" fontId="19" fillId="0" borderId="86" xfId="11" applyNumberFormat="1" applyFont="1" applyFill="1" applyBorder="1"/>
    <xf numFmtId="173" fontId="19" fillId="0" borderId="25" xfId="7" applyNumberFormat="1" applyFont="1" applyBorder="1" applyAlignment="1">
      <alignment vertical="center"/>
    </xf>
    <xf numFmtId="164" fontId="8" fillId="0" borderId="79" xfId="7" applyNumberFormat="1" applyFont="1" applyBorder="1" applyAlignment="1">
      <alignment vertical="center"/>
    </xf>
    <xf numFmtId="164" fontId="8" fillId="0" borderId="55" xfId="7" applyNumberFormat="1" applyFont="1" applyBorder="1" applyAlignment="1">
      <alignment vertical="center"/>
    </xf>
    <xf numFmtId="173" fontId="19" fillId="0" borderId="58" xfId="11" applyNumberFormat="1" applyFont="1" applyFill="1" applyBorder="1"/>
    <xf numFmtId="173" fontId="19" fillId="0" borderId="87" xfId="11" applyNumberFormat="1" applyFont="1" applyBorder="1" applyAlignment="1">
      <alignment vertical="center"/>
    </xf>
    <xf numFmtId="164" fontId="19" fillId="0" borderId="87" xfId="7" applyNumberFormat="1" applyFont="1" applyBorder="1" applyAlignment="1">
      <alignment vertical="center"/>
    </xf>
    <xf numFmtId="0" fontId="19" fillId="0" borderId="66" xfId="7" applyFont="1" applyBorder="1" applyAlignment="1">
      <alignment horizontal="center" vertical="center"/>
    </xf>
    <xf numFmtId="0" fontId="19" fillId="0" borderId="35" xfId="7" applyFont="1" applyBorder="1" applyAlignment="1">
      <alignment horizontal="center"/>
    </xf>
    <xf numFmtId="2" fontId="11" fillId="0" borderId="61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13" fillId="0" borderId="34" xfId="7" applyFont="1" applyBorder="1"/>
    <xf numFmtId="0" fontId="13" fillId="0" borderId="25" xfId="7" applyFont="1" applyBorder="1"/>
    <xf numFmtId="0" fontId="13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14" fillId="0" borderId="7" xfId="7" applyNumberFormat="1" applyFont="1" applyBorder="1" applyAlignment="1">
      <alignment horizontal="left" vertical="center"/>
    </xf>
    <xf numFmtId="0" fontId="11" fillId="0" borderId="0" xfId="7" applyFont="1" applyAlignment="1">
      <alignment horizontal="left"/>
    </xf>
    <xf numFmtId="176" fontId="11" fillId="0" borderId="54" xfId="7" applyNumberFormat="1" applyFont="1" applyBorder="1" applyAlignment="1">
      <alignment horizontal="right"/>
    </xf>
    <xf numFmtId="10" fontId="11" fillId="0" borderId="54" xfId="7" applyNumberFormat="1" applyFont="1" applyBorder="1" applyAlignment="1">
      <alignment horizontal="right"/>
    </xf>
    <xf numFmtId="0" fontId="11" fillId="0" borderId="47" xfId="7" applyFont="1" applyBorder="1" applyAlignment="1">
      <alignment horizontal="left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13" borderId="7" xfId="7" applyNumberFormat="1" applyFill="1" applyBorder="1" applyAlignment="1" applyProtection="1">
      <alignment horizontal="center" vertical="center" wrapText="1"/>
      <protection locked="0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0" fontId="4" fillId="0" borderId="5" xfId="7" applyFont="1" applyBorder="1" applyAlignment="1">
      <alignment vertical="center" wrapText="1"/>
    </xf>
    <xf numFmtId="4" fontId="3" fillId="0" borderId="49" xfId="7" applyNumberFormat="1" applyBorder="1" applyAlignment="1">
      <alignment horizontal="center" vertical="center" wrapText="1"/>
    </xf>
    <xf numFmtId="0" fontId="3" fillId="0" borderId="6" xfId="7" applyBorder="1" applyAlignment="1">
      <alignment vertical="center"/>
    </xf>
    <xf numFmtId="0" fontId="3" fillId="0" borderId="15" xfId="7" applyBorder="1" applyAlignment="1">
      <alignment horizontal="right" vertical="center" wrapText="1"/>
    </xf>
    <xf numFmtId="0" fontId="3" fillId="0" borderId="8" xfId="7" applyBorder="1" applyAlignment="1">
      <alignment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47" xfId="7" applyBorder="1" applyAlignment="1">
      <alignment horizontal="left"/>
    </xf>
    <xf numFmtId="0" fontId="3" fillId="13" borderId="42" xfId="7" applyFill="1" applyBorder="1" applyAlignment="1">
      <alignment horizontal="left"/>
    </xf>
    <xf numFmtId="0" fontId="3" fillId="13" borderId="46" xfId="7" applyFill="1" applyBorder="1" applyAlignment="1">
      <alignment horizontal="left"/>
    </xf>
    <xf numFmtId="0" fontId="27" fillId="0" borderId="89" xfId="7" applyFont="1" applyBorder="1"/>
    <xf numFmtId="0" fontId="3" fillId="0" borderId="90" xfId="7" applyBorder="1" applyAlignment="1">
      <alignment horizontal="center"/>
    </xf>
    <xf numFmtId="0" fontId="3" fillId="0" borderId="92" xfId="7" applyBorder="1" applyAlignment="1">
      <alignment horizontal="center"/>
    </xf>
    <xf numFmtId="0" fontId="3" fillId="14" borderId="22" xfId="7" applyFill="1" applyBorder="1"/>
    <xf numFmtId="0" fontId="3" fillId="0" borderId="20" xfId="7" applyBorder="1" applyAlignment="1">
      <alignment horizontal="center"/>
    </xf>
    <xf numFmtId="0" fontId="13" fillId="0" borderId="60" xfId="12" applyFont="1" applyBorder="1" applyAlignment="1">
      <alignment horizontal="center"/>
    </xf>
    <xf numFmtId="0" fontId="3" fillId="0" borderId="52" xfId="7" applyBorder="1" applyAlignment="1">
      <alignment horizontal="center"/>
    </xf>
    <xf numFmtId="0" fontId="11" fillId="0" borderId="65" xfId="7" applyFont="1" applyBorder="1" applyAlignment="1">
      <alignment horizontal="center"/>
    </xf>
    <xf numFmtId="178" fontId="11" fillId="0" borderId="53" xfId="12" applyNumberFormat="1" applyFont="1" applyBorder="1" applyProtection="1">
      <protection locked="0"/>
    </xf>
    <xf numFmtId="178" fontId="11" fillId="0" borderId="44" xfId="12" applyNumberFormat="1" applyFont="1" applyBorder="1" applyProtection="1">
      <protection locked="0"/>
    </xf>
    <xf numFmtId="178" fontId="11" fillId="0" borderId="5" xfId="12" applyNumberFormat="1" applyFont="1" applyBorder="1" applyProtection="1">
      <protection locked="0"/>
    </xf>
    <xf numFmtId="0" fontId="13" fillId="0" borderId="84" xfId="12" applyFont="1" applyBorder="1" applyAlignment="1">
      <alignment horizontal="center"/>
    </xf>
    <xf numFmtId="0" fontId="13" fillId="0" borderId="85" xfId="12" applyFont="1" applyBorder="1" applyAlignment="1">
      <alignment horizontal="center"/>
    </xf>
    <xf numFmtId="0" fontId="13" fillId="0" borderId="83" xfId="12" applyFont="1" applyBorder="1" applyAlignment="1">
      <alignment horizontal="center"/>
    </xf>
    <xf numFmtId="4" fontId="11" fillId="0" borderId="88" xfId="12" applyNumberFormat="1" applyFont="1" applyBorder="1" applyProtection="1">
      <protection locked="0"/>
    </xf>
    <xf numFmtId="4" fontId="11" fillId="0" borderId="89" xfId="12" applyNumberFormat="1" applyFont="1" applyBorder="1" applyProtection="1">
      <protection locked="0"/>
    </xf>
    <xf numFmtId="4" fontId="11" fillId="0" borderId="90" xfId="12" applyNumberFormat="1" applyFont="1" applyBorder="1" applyProtection="1">
      <protection locked="0"/>
    </xf>
    <xf numFmtId="4" fontId="11" fillId="0" borderId="85" xfId="12" applyNumberFormat="1" applyFont="1" applyBorder="1" applyProtection="1">
      <protection locked="0"/>
    </xf>
    <xf numFmtId="4" fontId="11" fillId="0" borderId="92" xfId="12" applyNumberFormat="1" applyFont="1" applyBorder="1" applyProtection="1">
      <protection locked="0"/>
    </xf>
    <xf numFmtId="4" fontId="11" fillId="0" borderId="91" xfId="12" applyNumberFormat="1" applyFont="1" applyBorder="1" applyProtection="1">
      <protection locked="0"/>
    </xf>
    <xf numFmtId="178" fontId="29" fillId="0" borderId="53" xfId="12" applyNumberFormat="1" applyFont="1" applyBorder="1" applyProtection="1">
      <protection locked="0"/>
    </xf>
    <xf numFmtId="4" fontId="29" fillId="0" borderId="7" xfId="12" applyNumberFormat="1" applyFont="1" applyBorder="1" applyProtection="1">
      <protection locked="0"/>
    </xf>
    <xf numFmtId="167" fontId="29" fillId="0" borderId="7" xfId="2" applyNumberFormat="1" applyFont="1" applyFill="1" applyBorder="1" applyAlignment="1" applyProtection="1">
      <alignment horizontal="center"/>
      <protection locked="0"/>
    </xf>
    <xf numFmtId="167" fontId="29" fillId="0" borderId="8" xfId="2" applyNumberFormat="1" applyFont="1" applyBorder="1" applyAlignment="1" applyProtection="1">
      <alignment horizontal="center"/>
      <protection locked="0"/>
    </xf>
    <xf numFmtId="0" fontId="11" fillId="0" borderId="0" xfId="12" applyFont="1" applyAlignment="1">
      <alignment horizontal="right"/>
    </xf>
    <xf numFmtId="0" fontId="11" fillId="0" borderId="14" xfId="12" applyFont="1" applyBorder="1" applyAlignment="1">
      <alignment horizontal="center"/>
    </xf>
    <xf numFmtId="0" fontId="11" fillId="0" borderId="37" xfId="12" applyFont="1" applyBorder="1"/>
    <xf numFmtId="0" fontId="11" fillId="0" borderId="4" xfId="12" applyFont="1" applyBorder="1" applyAlignment="1">
      <alignment horizontal="center"/>
    </xf>
    <xf numFmtId="4" fontId="13" fillId="0" borderId="20" xfId="12" applyNumberFormat="1" applyFont="1" applyBorder="1" applyAlignment="1" applyProtection="1">
      <alignment vertical="center"/>
      <protection locked="0"/>
    </xf>
    <xf numFmtId="178" fontId="13" fillId="0" borderId="20" xfId="12" applyNumberFormat="1" applyFont="1" applyBorder="1" applyAlignment="1" applyProtection="1">
      <alignment vertical="center"/>
      <protection locked="0"/>
    </xf>
    <xf numFmtId="178" fontId="13" fillId="0" borderId="26" xfId="12" applyNumberFormat="1" applyFont="1" applyBorder="1" applyAlignment="1" applyProtection="1">
      <alignment vertical="center"/>
      <protection locked="0"/>
    </xf>
    <xf numFmtId="4" fontId="13" fillId="0" borderId="82" xfId="12" applyNumberFormat="1" applyFont="1" applyBorder="1" applyAlignment="1" applyProtection="1">
      <alignment vertical="center"/>
      <protection locked="0"/>
    </xf>
    <xf numFmtId="4" fontId="11" fillId="0" borderId="7" xfId="12" applyNumberFormat="1" applyFont="1" applyBorder="1"/>
    <xf numFmtId="178" fontId="31" fillId="0" borderId="7" xfId="12" applyNumberFormat="1" applyFont="1" applyBorder="1" applyProtection="1">
      <protection locked="0"/>
    </xf>
    <xf numFmtId="178" fontId="31" fillId="0" borderId="57" xfId="12" applyNumberFormat="1" applyFont="1" applyBorder="1" applyProtection="1">
      <protection locked="0"/>
    </xf>
    <xf numFmtId="178" fontId="31" fillId="0" borderId="8" xfId="12" applyNumberFormat="1" applyFont="1" applyBorder="1" applyProtection="1">
      <protection locked="0"/>
    </xf>
    <xf numFmtId="178" fontId="29" fillId="0" borderId="7" xfId="12" applyNumberFormat="1" applyFont="1" applyBorder="1" applyProtection="1">
      <protection locked="0"/>
    </xf>
    <xf numFmtId="178" fontId="29" fillId="0" borderId="57" xfId="12" applyNumberFormat="1" applyFont="1" applyBorder="1"/>
    <xf numFmtId="178" fontId="29" fillId="0" borderId="8" xfId="12" applyNumberFormat="1" applyFont="1" applyBorder="1" applyProtection="1">
      <protection locked="0"/>
    </xf>
    <xf numFmtId="0" fontId="3" fillId="17" borderId="15" xfId="7" applyFill="1" applyBorder="1" applyAlignment="1">
      <alignment vertical="center" wrapText="1"/>
    </xf>
    <xf numFmtId="0" fontId="3" fillId="17" borderId="15" xfId="7" applyFill="1" applyBorder="1" applyAlignment="1">
      <alignment horizontal="right" vertical="center" wrapText="1"/>
    </xf>
    <xf numFmtId="4" fontId="3" fillId="0" borderId="86" xfId="7" applyNumberFormat="1" applyBorder="1" applyAlignment="1">
      <alignment vertical="center"/>
    </xf>
    <xf numFmtId="0" fontId="3" fillId="17" borderId="0" xfId="7" applyFill="1" applyAlignment="1">
      <alignment vertical="center"/>
    </xf>
    <xf numFmtId="1" fontId="14" fillId="15" borderId="66" xfId="7" applyNumberFormat="1" applyFont="1" applyFill="1" applyBorder="1" applyAlignment="1">
      <alignment horizontal="center" vertical="center"/>
    </xf>
    <xf numFmtId="173" fontId="12" fillId="0" borderId="8" xfId="7" applyNumberFormat="1" applyFont="1" applyBorder="1" applyAlignment="1">
      <alignment horizontal="center"/>
    </xf>
    <xf numFmtId="37" fontId="19" fillId="0" borderId="7" xfId="7" applyNumberFormat="1" applyFont="1" applyBorder="1" applyAlignment="1">
      <alignment horizontal="center" vertical="center" shrinkToFit="1"/>
    </xf>
    <xf numFmtId="15" fontId="8" fillId="0" borderId="61" xfId="7" applyNumberFormat="1" applyFont="1" applyBorder="1" applyAlignment="1">
      <alignment horizontal="center" vertical="center"/>
    </xf>
    <xf numFmtId="0" fontId="3" fillId="0" borderId="93" xfId="7" applyBorder="1" applyAlignment="1">
      <alignment horizontal="center" vertical="center"/>
    </xf>
    <xf numFmtId="173" fontId="18" fillId="0" borderId="94" xfId="7" applyNumberFormat="1" applyFont="1" applyBorder="1" applyAlignment="1">
      <alignment horizontal="right"/>
    </xf>
    <xf numFmtId="173" fontId="18" fillId="0" borderId="95" xfId="7" applyNumberFormat="1" applyFont="1" applyBorder="1" applyAlignment="1">
      <alignment horizontal="right"/>
    </xf>
    <xf numFmtId="164" fontId="18" fillId="0" borderId="96" xfId="7" applyNumberFormat="1" applyFont="1" applyBorder="1" applyAlignment="1">
      <alignment horizontal="right"/>
    </xf>
    <xf numFmtId="1" fontId="14" fillId="0" borderId="66" xfId="7" applyNumberFormat="1" applyFont="1" applyBorder="1" applyAlignment="1">
      <alignment horizontal="center" vertical="center"/>
    </xf>
    <xf numFmtId="17" fontId="8" fillId="0" borderId="93" xfId="7" applyNumberFormat="1" applyFont="1" applyBorder="1" applyAlignment="1">
      <alignment horizontal="center" vertical="center"/>
    </xf>
    <xf numFmtId="17" fontId="19" fillId="0" borderId="70" xfId="7" applyNumberFormat="1" applyFont="1" applyBorder="1" applyAlignment="1">
      <alignment horizontal="center" vertical="center"/>
    </xf>
    <xf numFmtId="173" fontId="18" fillId="6" borderId="96" xfId="7" applyNumberFormat="1" applyFont="1" applyFill="1" applyBorder="1" applyAlignment="1">
      <alignment horizontal="right"/>
    </xf>
    <xf numFmtId="164" fontId="8" fillId="6" borderId="0" xfId="7" applyNumberFormat="1" applyFont="1" applyFill="1" applyAlignment="1">
      <alignment horizontal="right" vertical="center"/>
    </xf>
    <xf numFmtId="164" fontId="8" fillId="6" borderId="55" xfId="7" applyNumberFormat="1" applyFont="1" applyFill="1" applyBorder="1" applyAlignment="1">
      <alignment horizontal="right"/>
    </xf>
    <xf numFmtId="173" fontId="19" fillId="0" borderId="71" xfId="11" applyNumberFormat="1" applyFont="1" applyBorder="1" applyAlignment="1">
      <alignment vertical="center"/>
    </xf>
    <xf numFmtId="173" fontId="19" fillId="0" borderId="58" xfId="11" applyNumberFormat="1" applyFont="1" applyBorder="1" applyAlignment="1">
      <alignment vertical="center"/>
    </xf>
    <xf numFmtId="173" fontId="8" fillId="0" borderId="18" xfId="11" applyNumberFormat="1" applyFont="1" applyBorder="1" applyAlignment="1">
      <alignment vertical="center"/>
    </xf>
    <xf numFmtId="173" fontId="8" fillId="0" borderId="60" xfId="11" applyNumberFormat="1" applyFont="1" applyBorder="1" applyAlignment="1">
      <alignment vertical="center"/>
    </xf>
    <xf numFmtId="173" fontId="8" fillId="0" borderId="53" xfId="11" applyNumberFormat="1" applyFont="1" applyBorder="1" applyAlignment="1">
      <alignment vertical="center"/>
    </xf>
    <xf numFmtId="173" fontId="8" fillId="0" borderId="97" xfId="11" applyNumberFormat="1" applyFont="1" applyBorder="1" applyAlignment="1">
      <alignment vertical="center"/>
    </xf>
    <xf numFmtId="173" fontId="8" fillId="0" borderId="79" xfId="11" applyNumberFormat="1" applyFont="1" applyBorder="1" applyAlignment="1">
      <alignment vertical="center"/>
    </xf>
    <xf numFmtId="164" fontId="8" fillId="19" borderId="0" xfId="7" applyNumberFormat="1" applyFont="1" applyFill="1" applyAlignment="1">
      <alignment vertical="center"/>
    </xf>
    <xf numFmtId="164" fontId="8" fillId="19" borderId="55" xfId="7" applyNumberFormat="1" applyFont="1" applyFill="1" applyBorder="1"/>
    <xf numFmtId="0" fontId="14" fillId="0" borderId="66" xfId="7" applyFont="1" applyBorder="1" applyAlignment="1">
      <alignment horizontal="center" vertical="center"/>
    </xf>
    <xf numFmtId="17" fontId="8" fillId="0" borderId="98" xfId="7" applyNumberFormat="1" applyFont="1" applyBorder="1" applyAlignment="1">
      <alignment horizontal="center" vertical="center"/>
    </xf>
    <xf numFmtId="173" fontId="18" fillId="6" borderId="99" xfId="7" applyNumberFormat="1" applyFont="1" applyFill="1" applyBorder="1" applyAlignment="1">
      <alignment horizontal="center"/>
    </xf>
    <xf numFmtId="173" fontId="18" fillId="6" borderId="74" xfId="7" applyNumberFormat="1" applyFont="1" applyFill="1" applyBorder="1" applyAlignment="1">
      <alignment horizontal="center"/>
    </xf>
    <xf numFmtId="173" fontId="18" fillId="0" borderId="100" xfId="7" applyNumberFormat="1" applyFont="1" applyBorder="1" applyAlignment="1">
      <alignment horizontal="center"/>
    </xf>
    <xf numFmtId="173" fontId="18" fillId="0" borderId="74" xfId="7" applyNumberFormat="1" applyFont="1" applyBorder="1" applyAlignment="1">
      <alignment horizontal="center"/>
    </xf>
    <xf numFmtId="164" fontId="8" fillId="0" borderId="51" xfId="7" applyNumberFormat="1" applyFont="1" applyBorder="1" applyAlignment="1">
      <alignment vertical="center"/>
    </xf>
    <xf numFmtId="4" fontId="11" fillId="8" borderId="57" xfId="12" applyNumberFormat="1" applyFont="1" applyFill="1" applyBorder="1" applyProtection="1">
      <protection locked="0"/>
    </xf>
    <xf numFmtId="4" fontId="3" fillId="8" borderId="7" xfId="7" applyNumberFormat="1" applyFill="1" applyBorder="1" applyAlignment="1">
      <alignment horizontal="center"/>
    </xf>
    <xf numFmtId="187" fontId="4" fillId="0" borderId="40" xfId="7" applyNumberFormat="1" applyFont="1" applyBorder="1" applyAlignment="1">
      <alignment horizontal="left" vertical="center" wrapText="1"/>
    </xf>
    <xf numFmtId="4" fontId="3" fillId="8" borderId="7" xfId="7" applyNumberFormat="1" applyFill="1" applyBorder="1" applyAlignment="1">
      <alignment horizontal="center" vertical="center" wrapText="1"/>
    </xf>
    <xf numFmtId="169" fontId="3" fillId="18" borderId="53" xfId="7" applyNumberFormat="1" applyFill="1" applyBorder="1"/>
    <xf numFmtId="0" fontId="19" fillId="0" borderId="7" xfId="12" applyFont="1" applyBorder="1" applyAlignment="1">
      <alignment horizontal="center"/>
    </xf>
    <xf numFmtId="0" fontId="19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0" fontId="3" fillId="0" borderId="7" xfId="7" applyBorder="1"/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7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178" fontId="3" fillId="0" borderId="6" xfId="7" applyNumberFormat="1" applyBorder="1"/>
    <xf numFmtId="0" fontId="3" fillId="0" borderId="57" xfId="7" applyBorder="1"/>
    <xf numFmtId="183" fontId="3" fillId="0" borderId="57" xfId="7" applyNumberFormat="1" applyBorder="1"/>
    <xf numFmtId="184" fontId="3" fillId="0" borderId="59" xfId="7" applyNumberFormat="1" applyBorder="1"/>
    <xf numFmtId="4" fontId="3" fillId="0" borderId="19" xfId="7" applyNumberFormat="1" applyBorder="1"/>
    <xf numFmtId="184" fontId="3" fillId="0" borderId="19" xfId="7" applyNumberFormat="1" applyBorder="1"/>
    <xf numFmtId="165" fontId="3" fillId="18" borderId="7" xfId="7" applyNumberFormat="1" applyFill="1" applyBorder="1" applyAlignment="1" applyProtection="1">
      <alignment vertical="center"/>
      <protection locked="0"/>
    </xf>
    <xf numFmtId="0" fontId="3" fillId="13" borderId="7" xfId="7" applyFill="1" applyBorder="1" applyProtection="1">
      <protection locked="0"/>
    </xf>
    <xf numFmtId="2" fontId="3" fillId="13" borderId="7" xfId="7" applyNumberFormat="1" applyFill="1" applyBorder="1" applyAlignment="1" applyProtection="1">
      <alignment horizontal="center"/>
      <protection locked="0"/>
    </xf>
    <xf numFmtId="166" fontId="3" fillId="18" borderId="7" xfId="7" applyNumberFormat="1" applyFill="1" applyBorder="1" applyProtection="1">
      <protection locked="0"/>
    </xf>
    <xf numFmtId="0" fontId="11" fillId="0" borderId="33" xfId="7" applyFont="1" applyBorder="1" applyAlignment="1">
      <alignment horizontal="left"/>
    </xf>
    <xf numFmtId="0" fontId="13" fillId="0" borderId="33" xfId="7" applyFont="1" applyBorder="1" applyAlignment="1">
      <alignment horizontal="left" wrapText="1"/>
    </xf>
    <xf numFmtId="0" fontId="13" fillId="0" borderId="0" xfId="7" applyFont="1" applyAlignment="1">
      <alignment horizontal="left" wrapText="1"/>
    </xf>
    <xf numFmtId="0" fontId="11" fillId="0" borderId="17" xfId="7" applyFont="1" applyBorder="1" applyAlignment="1">
      <alignment horizontal="left"/>
    </xf>
    <xf numFmtId="0" fontId="11" fillId="0" borderId="61" xfId="7" applyFont="1" applyBorder="1" applyAlignment="1">
      <alignment horizontal="center"/>
    </xf>
    <xf numFmtId="0" fontId="13" fillId="0" borderId="17" xfId="7" applyFont="1" applyBorder="1" applyAlignment="1">
      <alignment horizontal="left" wrapText="1"/>
    </xf>
    <xf numFmtId="0" fontId="12" fillId="0" borderId="64" xfId="7" applyFont="1" applyBorder="1" applyAlignment="1">
      <alignment horizontal="right" vertical="center" wrapText="1"/>
    </xf>
    <xf numFmtId="178" fontId="31" fillId="0" borderId="7" xfId="12" applyNumberFormat="1" applyFont="1" applyBorder="1"/>
    <xf numFmtId="9" fontId="34" fillId="0" borderId="57" xfId="2" applyFont="1" applyFill="1" applyBorder="1" applyAlignment="1" applyProtection="1">
      <alignment horizontal="center"/>
    </xf>
    <xf numFmtId="9" fontId="34" fillId="21" borderId="57" xfId="2" applyFont="1" applyFill="1" applyBorder="1" applyAlignment="1" applyProtection="1">
      <alignment horizontal="center" vertical="center"/>
      <protection locked="0"/>
    </xf>
    <xf numFmtId="178" fontId="29" fillId="0" borderId="53" xfId="12" applyNumberFormat="1" applyFont="1" applyBorder="1"/>
    <xf numFmtId="4" fontId="11" fillId="0" borderId="89" xfId="12" applyNumberFormat="1" applyFont="1" applyBorder="1" applyAlignment="1">
      <alignment vertical="center"/>
    </xf>
    <xf numFmtId="9" fontId="35" fillId="21" borderId="57" xfId="2" applyFont="1" applyFill="1" applyBorder="1" applyAlignment="1" applyProtection="1">
      <alignment horizontal="center" vertical="center"/>
      <protection locked="0"/>
    </xf>
    <xf numFmtId="4" fontId="11" fillId="0" borderId="57" xfId="12" applyNumberFormat="1" applyFont="1" applyBorder="1" applyAlignment="1">
      <alignment vertical="center"/>
    </xf>
    <xf numFmtId="178" fontId="31" fillId="0" borderId="57" xfId="12" applyNumberFormat="1" applyFont="1" applyBorder="1" applyAlignment="1">
      <alignment vertical="center"/>
    </xf>
    <xf numFmtId="188" fontId="11" fillId="0" borderId="0" xfId="7" applyNumberFormat="1" applyFont="1"/>
    <xf numFmtId="0" fontId="3" fillId="0" borderId="60" xfId="7" applyBorder="1"/>
    <xf numFmtId="0" fontId="3" fillId="0" borderId="60" xfId="7" applyBorder="1" applyAlignment="1">
      <alignment horizontal="right"/>
    </xf>
    <xf numFmtId="0" fontId="3" fillId="0" borderId="48" xfId="7" applyBorder="1" applyAlignment="1">
      <alignment horizontal="center"/>
    </xf>
    <xf numFmtId="178" fontId="3" fillId="0" borderId="27" xfId="7" applyNumberFormat="1" applyBorder="1"/>
    <xf numFmtId="183" fontId="3" fillId="0" borderId="22" xfId="7" applyNumberFormat="1" applyBorder="1"/>
    <xf numFmtId="184" fontId="3" fillId="0" borderId="23" xfId="7" applyNumberFormat="1" applyBorder="1"/>
    <xf numFmtId="178" fontId="3" fillId="0" borderId="12" xfId="7" applyNumberFormat="1" applyBorder="1"/>
    <xf numFmtId="178" fontId="3" fillId="0" borderId="10" xfId="7" applyNumberForma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0" fontId="38" fillId="21" borderId="29" xfId="0" applyFont="1" applyFill="1" applyBorder="1" applyAlignment="1" applyProtection="1">
      <alignment horizontal="left" vertical="center"/>
      <protection locked="0"/>
    </xf>
    <xf numFmtId="189" fontId="38" fillId="21" borderId="29" xfId="0" applyNumberFormat="1" applyFont="1" applyFill="1" applyBorder="1" applyAlignment="1" applyProtection="1">
      <alignment horizontal="left" vertical="center"/>
      <protection locked="0"/>
    </xf>
    <xf numFmtId="188" fontId="38" fillId="21" borderId="29" xfId="0" applyNumberFormat="1" applyFont="1" applyFill="1" applyBorder="1" applyAlignment="1" applyProtection="1">
      <alignment horizontal="left" vertical="center"/>
      <protection locked="0"/>
    </xf>
    <xf numFmtId="0" fontId="34" fillId="21" borderId="8" xfId="0" applyFont="1" applyFill="1" applyBorder="1" applyAlignment="1" applyProtection="1">
      <alignment horizontal="left" vertical="center"/>
      <protection locked="0"/>
    </xf>
    <xf numFmtId="0" fontId="4" fillId="0" borderId="11" xfId="7" applyFont="1" applyBorder="1" applyAlignment="1">
      <alignment horizontal="center"/>
    </xf>
    <xf numFmtId="0" fontId="4" fillId="0" borderId="81" xfId="7" applyFont="1" applyBorder="1" applyAlignment="1">
      <alignment horizontal="center"/>
    </xf>
    <xf numFmtId="0" fontId="4" fillId="0" borderId="32" xfId="7" applyFont="1" applyBorder="1" applyAlignment="1">
      <alignment horizontal="center" wrapText="1"/>
    </xf>
    <xf numFmtId="0" fontId="4" fillId="0" borderId="65" xfId="7" applyFont="1" applyBorder="1" applyAlignment="1">
      <alignment horizontal="center" vertical="center" wrapText="1"/>
    </xf>
    <xf numFmtId="1" fontId="23" fillId="0" borderId="47" xfId="7" applyNumberFormat="1" applyFont="1" applyBorder="1" applyAlignment="1">
      <alignment horizontal="center"/>
    </xf>
    <xf numFmtId="43" fontId="3" fillId="0" borderId="37" xfId="7" applyNumberFormat="1" applyBorder="1" applyAlignment="1">
      <alignment horizontal="right"/>
    </xf>
    <xf numFmtId="0" fontId="23" fillId="0" borderId="50" xfId="7" applyFont="1" applyBorder="1" applyAlignment="1">
      <alignment horizontal="center" vertical="center"/>
    </xf>
    <xf numFmtId="181" fontId="23" fillId="0" borderId="30" xfId="7" applyNumberFormat="1" applyFont="1" applyBorder="1"/>
    <xf numFmtId="0" fontId="23" fillId="0" borderId="29" xfId="7" applyFont="1" applyBorder="1" applyAlignment="1">
      <alignment horizontal="center"/>
    </xf>
    <xf numFmtId="0" fontId="4" fillId="0" borderId="16" xfId="7" applyFont="1" applyBorder="1" applyAlignment="1">
      <alignment horizontal="center" wrapText="1"/>
    </xf>
    <xf numFmtId="0" fontId="4" fillId="0" borderId="12" xfId="7" applyFont="1" applyBorder="1" applyAlignment="1">
      <alignment horizontal="center" wrapText="1"/>
    </xf>
    <xf numFmtId="43" fontId="3" fillId="0" borderId="21" xfId="7" applyNumberFormat="1" applyBorder="1" applyAlignment="1">
      <alignment horizontal="right"/>
    </xf>
    <xf numFmtId="0" fontId="4" fillId="0" borderId="66" xfId="7" applyFont="1" applyBorder="1" applyAlignment="1">
      <alignment horizontal="center" vertical="center" wrapText="1"/>
    </xf>
    <xf numFmtId="188" fontId="3" fillId="0" borderId="8" xfId="7" applyNumberFormat="1" applyBorder="1" applyAlignment="1">
      <alignment horizontal="right"/>
    </xf>
    <xf numFmtId="188" fontId="3" fillId="0" borderId="37" xfId="7" applyNumberFormat="1" applyBorder="1" applyAlignment="1">
      <alignment horizontal="right"/>
    </xf>
    <xf numFmtId="188" fontId="3" fillId="0" borderId="23" xfId="7" applyNumberFormat="1" applyBorder="1" applyAlignment="1">
      <alignment horizontal="right"/>
    </xf>
    <xf numFmtId="182" fontId="3" fillId="9" borderId="8" xfId="7" applyNumberFormat="1" applyFill="1" applyBorder="1" applyAlignment="1" applyProtection="1">
      <alignment horizontal="center"/>
      <protection locked="0"/>
    </xf>
    <xf numFmtId="0" fontId="3" fillId="18" borderId="15" xfId="7" applyFill="1" applyBorder="1" applyAlignment="1" applyProtection="1">
      <alignment horizontal="center"/>
      <protection locked="0"/>
    </xf>
    <xf numFmtId="0" fontId="3" fillId="0" borderId="0" xfId="7" applyAlignment="1">
      <alignment horizontal="left" vertical="center"/>
    </xf>
    <xf numFmtId="37" fontId="4" fillId="0" borderId="8" xfId="7" applyNumberFormat="1" applyFont="1" applyBorder="1" applyAlignment="1">
      <alignment horizontal="left" vertical="center"/>
    </xf>
    <xf numFmtId="0" fontId="13" fillId="0" borderId="33" xfId="7" applyFont="1" applyBorder="1" applyAlignment="1">
      <alignment horizontal="center" vertical="center"/>
    </xf>
    <xf numFmtId="0" fontId="13" fillId="0" borderId="17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37" fontId="4" fillId="0" borderId="0" xfId="7" applyNumberFormat="1" applyFont="1" applyAlignment="1">
      <alignment horizontal="left" vertical="center"/>
    </xf>
    <xf numFmtId="0" fontId="4" fillId="0" borderId="0" xfId="7" applyFont="1" applyAlignment="1">
      <alignment horizontal="left" vertical="center" wrapText="1"/>
    </xf>
    <xf numFmtId="187" fontId="4" fillId="0" borderId="0" xfId="7" applyNumberFormat="1" applyFont="1" applyAlignment="1">
      <alignment horizontal="center" vertical="center"/>
    </xf>
    <xf numFmtId="181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right" vertical="center"/>
    </xf>
    <xf numFmtId="1" fontId="4" fillId="0" borderId="0" xfId="7" applyNumberFormat="1" applyFont="1" applyAlignment="1">
      <alignment horizontal="left" vertical="center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181" fontId="13" fillId="0" borderId="0" xfId="7" applyNumberFormat="1" applyFont="1" applyAlignment="1">
      <alignment horizontal="center" vertical="center"/>
    </xf>
    <xf numFmtId="0" fontId="4" fillId="0" borderId="0" xfId="7" applyFont="1" applyAlignment="1">
      <alignment horizontal="center"/>
    </xf>
    <xf numFmtId="0" fontId="4" fillId="0" borderId="0" xfId="7" applyFont="1" applyAlignment="1">
      <alignment horizontal="center" vertical="center"/>
    </xf>
    <xf numFmtId="181" fontId="4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wrapText="1"/>
    </xf>
    <xf numFmtId="0" fontId="4" fillId="0" borderId="0" xfId="7" applyFont="1" applyAlignment="1">
      <alignment horizontal="center" wrapText="1"/>
    </xf>
    <xf numFmtId="2" fontId="4" fillId="0" borderId="0" xfId="7" applyNumberFormat="1" applyFont="1" applyAlignment="1">
      <alignment horizontal="center" wrapText="1"/>
    </xf>
    <xf numFmtId="0" fontId="23" fillId="0" borderId="0" xfId="7" applyFont="1"/>
    <xf numFmtId="0" fontId="23" fillId="0" borderId="0" xfId="7" applyFont="1" applyAlignment="1">
      <alignment horizontal="center"/>
    </xf>
    <xf numFmtId="0" fontId="23" fillId="0" borderId="0" xfId="7" applyFont="1" applyAlignment="1">
      <alignment horizontal="center" vertical="center"/>
    </xf>
    <xf numFmtId="181" fontId="23" fillId="0" borderId="0" xfId="7" applyNumberFormat="1" applyFont="1"/>
    <xf numFmtId="1" fontId="23" fillId="0" borderId="0" xfId="7" applyNumberFormat="1" applyFont="1" applyAlignment="1">
      <alignment horizontal="center"/>
    </xf>
    <xf numFmtId="4" fontId="23" fillId="0" borderId="0" xfId="7" applyNumberFormat="1" applyFont="1" applyAlignment="1">
      <alignment horizontal="left" vertical="center" wrapText="1"/>
    </xf>
    <xf numFmtId="4" fontId="23" fillId="0" borderId="0" xfId="7" applyNumberFormat="1" applyFont="1" applyAlignment="1">
      <alignment horizontal="center" vertical="center" wrapText="1"/>
    </xf>
    <xf numFmtId="2" fontId="23" fillId="0" borderId="0" xfId="7" applyNumberFormat="1" applyFont="1" applyAlignment="1">
      <alignment horizontal="center"/>
    </xf>
    <xf numFmtId="0" fontId="3" fillId="0" borderId="0" xfId="7" applyProtection="1">
      <protection locked="0"/>
    </xf>
    <xf numFmtId="15" fontId="3" fillId="0" borderId="0" xfId="7" applyNumberFormat="1" applyProtection="1">
      <protection locked="0"/>
    </xf>
    <xf numFmtId="15" fontId="3" fillId="0" borderId="0" xfId="7" applyNumberFormat="1" applyAlignment="1" applyProtection="1">
      <alignment horizontal="center" vertical="center"/>
      <protection locked="0"/>
    </xf>
    <xf numFmtId="0" fontId="3" fillId="0" borderId="0" xfId="7" applyAlignment="1" applyProtection="1">
      <alignment vertical="center"/>
      <protection locked="0"/>
    </xf>
    <xf numFmtId="182" fontId="3" fillId="0" borderId="0" xfId="7" applyNumberFormat="1" applyAlignment="1" applyProtection="1">
      <alignment horizontal="center"/>
      <protection locked="0"/>
    </xf>
    <xf numFmtId="0" fontId="3" fillId="0" borderId="0" xfId="7" applyAlignment="1" applyProtection="1">
      <alignment horizontal="center"/>
      <protection locked="0"/>
    </xf>
    <xf numFmtId="2" fontId="3" fillId="0" borderId="0" xfId="7" applyNumberFormat="1" applyAlignment="1" applyProtection="1">
      <alignment horizontal="center"/>
      <protection locked="0"/>
    </xf>
    <xf numFmtId="181" fontId="3" fillId="0" borderId="0" xfId="7" applyNumberFormat="1" applyAlignment="1">
      <alignment horizontal="center"/>
    </xf>
    <xf numFmtId="43" fontId="3" fillId="0" borderId="0" xfId="7" applyNumberFormat="1" applyAlignment="1" applyProtection="1">
      <alignment horizontal="right"/>
      <protection locked="0"/>
    </xf>
    <xf numFmtId="188" fontId="3" fillId="0" borderId="0" xfId="7" applyNumberFormat="1" applyAlignment="1">
      <alignment horizontal="right"/>
    </xf>
    <xf numFmtId="188" fontId="3" fillId="0" borderId="0" xfId="7" applyNumberFormat="1" applyAlignment="1" applyProtection="1">
      <alignment horizontal="right"/>
      <protection locked="0"/>
    </xf>
    <xf numFmtId="43" fontId="3" fillId="0" borderId="0" xfId="7" applyNumberFormat="1" applyAlignment="1">
      <alignment horizontal="right"/>
    </xf>
    <xf numFmtId="43" fontId="4" fillId="0" borderId="0" xfId="7" applyNumberFormat="1" applyFont="1" applyAlignment="1">
      <alignment horizontal="right"/>
    </xf>
    <xf numFmtId="188" fontId="4" fillId="0" borderId="0" xfId="7" applyNumberFormat="1" applyFont="1" applyAlignment="1">
      <alignment horizontal="right"/>
    </xf>
    <xf numFmtId="0" fontId="40" fillId="0" borderId="0" xfId="7" applyFont="1" applyAlignment="1">
      <alignment horizontal="left" vertical="center" wrapText="1"/>
    </xf>
    <xf numFmtId="0" fontId="3" fillId="9" borderId="15" xfId="7" applyFill="1" applyBorder="1" applyProtection="1">
      <protection locked="0"/>
    </xf>
    <xf numFmtId="0" fontId="3" fillId="9" borderId="7" xfId="7" applyFill="1" applyBorder="1" applyAlignment="1" applyProtection="1">
      <alignment vertical="center"/>
      <protection locked="0"/>
    </xf>
    <xf numFmtId="2" fontId="3" fillId="7" borderId="7" xfId="7" applyNumberFormat="1" applyFill="1" applyBorder="1" applyAlignment="1" applyProtection="1">
      <alignment horizontal="center"/>
      <protection locked="0"/>
    </xf>
    <xf numFmtId="181" fontId="3" fillId="0" borderId="9" xfId="7" applyNumberFormat="1" applyBorder="1" applyAlignment="1">
      <alignment horizontal="center"/>
    </xf>
    <xf numFmtId="43" fontId="3" fillId="7" borderId="40" xfId="7" applyNumberFormat="1" applyFill="1" applyBorder="1" applyAlignment="1" applyProtection="1">
      <alignment horizontal="right"/>
      <protection locked="0"/>
    </xf>
    <xf numFmtId="43" fontId="3" fillId="0" borderId="40" xfId="7" applyNumberFormat="1" applyBorder="1" applyAlignment="1">
      <alignment horizontal="right"/>
    </xf>
    <xf numFmtId="188" fontId="3" fillId="0" borderId="9" xfId="7" applyNumberFormat="1" applyBorder="1" applyAlignment="1">
      <alignment horizontal="right"/>
    </xf>
    <xf numFmtId="43" fontId="3" fillId="7" borderId="45" xfId="7" applyNumberFormat="1" applyFill="1" applyBorder="1" applyAlignment="1" applyProtection="1">
      <alignment horizontal="right"/>
      <protection locked="0"/>
    </xf>
    <xf numFmtId="43" fontId="4" fillId="23" borderId="37" xfId="7" applyNumberFormat="1" applyFont="1" applyFill="1" applyBorder="1" applyAlignment="1">
      <alignment horizontal="right"/>
    </xf>
    <xf numFmtId="188" fontId="4" fillId="23" borderId="23" xfId="7" applyNumberFormat="1" applyFont="1" applyFill="1" applyBorder="1" applyAlignment="1">
      <alignment horizontal="right"/>
    </xf>
    <xf numFmtId="0" fontId="4" fillId="0" borderId="0" xfId="7" applyFont="1" applyAlignment="1">
      <alignment horizontal="left" vertical="center"/>
    </xf>
    <xf numFmtId="181" fontId="3" fillId="0" borderId="0" xfId="7" applyNumberFormat="1" applyAlignment="1">
      <alignment horizontal="left" vertical="center"/>
    </xf>
    <xf numFmtId="0" fontId="3" fillId="0" borderId="7" xfId="7" applyBorder="1" applyAlignment="1">
      <alignment horizontal="center" vertical="center"/>
    </xf>
    <xf numFmtId="43" fontId="3" fillId="18" borderId="39" xfId="7" applyNumberFormat="1" applyFill="1" applyBorder="1" applyAlignment="1">
      <alignment horizontal="right"/>
    </xf>
    <xf numFmtId="188" fontId="3" fillId="18" borderId="9" xfId="7" applyNumberFormat="1" applyFill="1" applyBorder="1" applyAlignment="1">
      <alignment horizontal="right"/>
    </xf>
    <xf numFmtId="43" fontId="3" fillId="18" borderId="73" xfId="7" applyNumberFormat="1" applyFill="1" applyBorder="1" applyAlignment="1">
      <alignment horizontal="right"/>
    </xf>
    <xf numFmtId="43" fontId="3" fillId="18" borderId="31" xfId="7" applyNumberFormat="1" applyFill="1" applyBorder="1" applyAlignment="1">
      <alignment horizontal="right"/>
    </xf>
    <xf numFmtId="188" fontId="3" fillId="18" borderId="12" xfId="7" applyNumberFormat="1" applyFill="1" applyBorder="1" applyAlignment="1">
      <alignment horizontal="right"/>
    </xf>
    <xf numFmtId="15" fontId="3" fillId="7" borderId="42" xfId="7" applyNumberFormat="1" applyFill="1" applyBorder="1" applyProtection="1">
      <protection locked="0"/>
    </xf>
    <xf numFmtId="0" fontId="3" fillId="0" borderId="0" xfId="7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3" fillId="7" borderId="42" xfId="7" applyFill="1" applyBorder="1" applyAlignment="1" applyProtection="1">
      <alignment horizontal="center" vertical="center"/>
      <protection locked="0"/>
    </xf>
    <xf numFmtId="0" fontId="3" fillId="7" borderId="7" xfId="7" applyFill="1" applyBorder="1" applyAlignment="1" applyProtection="1">
      <alignment horizontal="center" vertical="center"/>
      <protection locked="0"/>
    </xf>
    <xf numFmtId="0" fontId="3" fillId="0" borderId="6" xfId="7" applyBorder="1" applyAlignment="1">
      <alignment vertical="center" wrapText="1"/>
    </xf>
    <xf numFmtId="0" fontId="3" fillId="0" borderId="9" xfId="7" applyBorder="1" applyAlignment="1">
      <alignment vertical="center" wrapText="1"/>
    </xf>
    <xf numFmtId="4" fontId="3" fillId="20" borderId="7" xfId="7" applyNumberFormat="1" applyFill="1" applyBorder="1" applyAlignment="1">
      <alignment horizontal="center" vertical="center" wrapText="1"/>
    </xf>
    <xf numFmtId="4" fontId="3" fillId="18" borderId="7" xfId="7" applyNumberFormat="1" applyFill="1" applyBorder="1" applyAlignment="1">
      <alignment horizontal="center" vertical="center" wrapText="1"/>
    </xf>
    <xf numFmtId="167" fontId="3" fillId="0" borderId="7" xfId="2" applyNumberFormat="1" applyFont="1" applyBorder="1" applyProtection="1"/>
    <xf numFmtId="2" fontId="3" fillId="0" borderId="7" xfId="7" applyNumberFormat="1" applyBorder="1"/>
    <xf numFmtId="2" fontId="3" fillId="13" borderId="7" xfId="7" applyNumberFormat="1" applyFill="1" applyBorder="1"/>
    <xf numFmtId="167" fontId="3" fillId="0" borderId="30" xfId="2" applyNumberFormat="1" applyFont="1" applyFill="1" applyBorder="1" applyAlignment="1">
      <alignment horizontal="center" vertical="center"/>
    </xf>
    <xf numFmtId="0" fontId="3" fillId="7" borderId="7" xfId="7" applyFill="1" applyBorder="1"/>
    <xf numFmtId="0" fontId="3" fillId="7" borderId="57" xfId="7" applyFill="1" applyBorder="1"/>
    <xf numFmtId="0" fontId="4" fillId="0" borderId="66" xfId="7" applyFont="1" applyBorder="1" applyAlignment="1">
      <alignment horizontal="center"/>
    </xf>
    <xf numFmtId="178" fontId="3" fillId="0" borderId="47" xfId="7" applyNumberFormat="1" applyBorder="1" applyAlignment="1">
      <alignment horizontal="center"/>
    </xf>
    <xf numFmtId="4" fontId="3" fillId="0" borderId="47" xfId="7" applyNumberFormat="1" applyBorder="1" applyAlignment="1">
      <alignment horizontal="center"/>
    </xf>
    <xf numFmtId="4" fontId="3" fillId="0" borderId="81" xfId="7" applyNumberFormat="1" applyBorder="1" applyAlignment="1">
      <alignment horizontal="center"/>
    </xf>
    <xf numFmtId="4" fontId="3" fillId="0" borderId="42" xfId="7" applyNumberFormat="1" applyBorder="1" applyAlignment="1">
      <alignment horizontal="center"/>
    </xf>
    <xf numFmtId="0" fontId="3" fillId="24" borderId="15" xfId="7" applyFill="1" applyBorder="1" applyAlignment="1">
      <alignment horizontal="center"/>
    </xf>
    <xf numFmtId="17" fontId="3" fillId="24" borderId="7" xfId="7" applyNumberFormat="1" applyFill="1" applyBorder="1"/>
    <xf numFmtId="169" fontId="3" fillId="24" borderId="8" xfId="7" applyNumberFormat="1" applyFill="1" applyBorder="1"/>
    <xf numFmtId="169" fontId="3" fillId="24" borderId="42" xfId="7" applyNumberFormat="1" applyFill="1" applyBorder="1" applyAlignment="1">
      <alignment horizontal="center"/>
    </xf>
    <xf numFmtId="181" fontId="3" fillId="24" borderId="7" xfId="7" applyNumberFormat="1" applyFill="1" applyBorder="1" applyAlignment="1">
      <alignment horizontal="center"/>
    </xf>
    <xf numFmtId="185" fontId="3" fillId="24" borderId="7" xfId="7" applyNumberFormat="1" applyFill="1" applyBorder="1"/>
    <xf numFmtId="185" fontId="3" fillId="24" borderId="9" xfId="7" applyNumberFormat="1" applyFill="1" applyBorder="1"/>
    <xf numFmtId="0" fontId="4" fillId="24" borderId="50" xfId="7" applyFont="1" applyFill="1" applyBorder="1" applyAlignment="1">
      <alignment horizontal="left"/>
    </xf>
    <xf numFmtId="17" fontId="3" fillId="24" borderId="51" xfId="7" applyNumberFormat="1" applyFill="1" applyBorder="1" applyAlignment="1">
      <alignment horizontal="right"/>
    </xf>
    <xf numFmtId="169" fontId="3" fillId="24" borderId="53" xfId="7" applyNumberFormat="1" applyFill="1" applyBorder="1"/>
    <xf numFmtId="169" fontId="3" fillId="24" borderId="47" xfId="7" applyNumberFormat="1" applyFill="1" applyBorder="1"/>
    <xf numFmtId="0" fontId="3" fillId="24" borderId="51" xfId="7" applyFill="1" applyBorder="1" applyAlignment="1">
      <alignment horizontal="center"/>
    </xf>
    <xf numFmtId="0" fontId="3" fillId="24" borderId="16" xfId="7" applyFill="1" applyBorder="1" applyAlignment="1">
      <alignment horizontal="center"/>
    </xf>
    <xf numFmtId="17" fontId="3" fillId="24" borderId="10" xfId="7" applyNumberFormat="1" applyFill="1" applyBorder="1"/>
    <xf numFmtId="169" fontId="3" fillId="24" borderId="11" xfId="7" applyNumberFormat="1" applyFill="1" applyBorder="1"/>
    <xf numFmtId="169" fontId="3" fillId="24" borderId="81" xfId="7" applyNumberFormat="1" applyFill="1" applyBorder="1" applyAlignment="1">
      <alignment horizontal="center"/>
    </xf>
    <xf numFmtId="181" fontId="3" fillId="24" borderId="10" xfId="7" applyNumberFormat="1" applyFill="1" applyBorder="1" applyAlignment="1">
      <alignment horizontal="center"/>
    </xf>
    <xf numFmtId="185" fontId="3" fillId="24" borderId="10" xfId="7" applyNumberFormat="1" applyFill="1" applyBorder="1"/>
    <xf numFmtId="185" fontId="3" fillId="24" borderId="12" xfId="7" applyNumberFormat="1" applyFill="1" applyBorder="1"/>
    <xf numFmtId="185" fontId="3" fillId="24" borderId="20" xfId="7" applyNumberFormat="1" applyFill="1" applyBorder="1"/>
    <xf numFmtId="185" fontId="4" fillId="24" borderId="19" xfId="7" applyNumberFormat="1" applyFont="1" applyFill="1" applyBorder="1"/>
    <xf numFmtId="0" fontId="45" fillId="0" borderId="0" xfId="0" applyFont="1"/>
    <xf numFmtId="14" fontId="45" fillId="0" borderId="0" xfId="0" applyNumberFormat="1" applyFont="1"/>
    <xf numFmtId="9" fontId="45" fillId="0" borderId="0" xfId="2" applyFont="1" applyFill="1" applyBorder="1"/>
    <xf numFmtId="9" fontId="45" fillId="0" borderId="0" xfId="0" applyNumberFormat="1" applyFont="1"/>
    <xf numFmtId="171" fontId="45" fillId="0" borderId="0" xfId="0" applyNumberFormat="1" applyFont="1"/>
    <xf numFmtId="9" fontId="45" fillId="0" borderId="0" xfId="0" applyNumberFormat="1" applyFont="1" applyAlignment="1">
      <alignment horizontal="center"/>
    </xf>
    <xf numFmtId="2" fontId="45" fillId="0" borderId="0" xfId="2" applyNumberFormat="1" applyFont="1" applyFill="1" applyBorder="1"/>
    <xf numFmtId="0" fontId="45" fillId="0" borderId="0" xfId="0" applyFont="1" applyAlignment="1" applyProtection="1">
      <alignment horizontal="center"/>
      <protection locked="0"/>
    </xf>
    <xf numFmtId="165" fontId="45" fillId="0" borderId="0" xfId="1" applyFont="1" applyFill="1" applyBorder="1"/>
    <xf numFmtId="186" fontId="45" fillId="0" borderId="0" xfId="0" applyNumberFormat="1" applyFont="1"/>
    <xf numFmtId="0" fontId="45" fillId="0" borderId="0" xfId="0" applyFont="1" applyAlignment="1">
      <alignment horizontal="right"/>
    </xf>
    <xf numFmtId="187" fontId="45" fillId="0" borderId="0" xfId="0" applyNumberFormat="1" applyFont="1" applyAlignment="1">
      <alignment horizontal="left"/>
    </xf>
    <xf numFmtId="0" fontId="45" fillId="0" borderId="0" xfId="0" applyFont="1" applyAlignment="1">
      <alignment horizontal="center" wrapText="1"/>
    </xf>
    <xf numFmtId="165" fontId="45" fillId="0" borderId="0" xfId="0" applyNumberFormat="1" applyFont="1" applyAlignment="1">
      <alignment horizontal="center" wrapText="1"/>
    </xf>
    <xf numFmtId="2" fontId="45" fillId="0" borderId="0" xfId="0" applyNumberFormat="1" applyFont="1"/>
    <xf numFmtId="0" fontId="46" fillId="0" borderId="0" xfId="0" applyFont="1" applyAlignment="1">
      <alignment horizontal="left" indent="1"/>
    </xf>
    <xf numFmtId="170" fontId="45" fillId="0" borderId="0" xfId="0" applyNumberFormat="1" applyFont="1"/>
    <xf numFmtId="0" fontId="47" fillId="0" borderId="0" xfId="0" applyFont="1" applyAlignment="1">
      <alignment horizontal="left" indent="4"/>
    </xf>
    <xf numFmtId="0" fontId="48" fillId="0" borderId="0" xfId="0" applyFont="1"/>
    <xf numFmtId="14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vertical="center" wrapText="1"/>
    </xf>
    <xf numFmtId="186" fontId="45" fillId="0" borderId="0" xfId="0" applyNumberFormat="1" applyFont="1" applyAlignment="1">
      <alignment vertical="center" wrapText="1"/>
    </xf>
    <xf numFmtId="0" fontId="45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 wrapText="1"/>
    </xf>
    <xf numFmtId="4" fontId="45" fillId="0" borderId="0" xfId="0" applyNumberFormat="1" applyFont="1" applyAlignment="1">
      <alignment vertical="center" wrapText="1"/>
    </xf>
    <xf numFmtId="15" fontId="45" fillId="0" borderId="0" xfId="0" applyNumberFormat="1" applyFont="1" applyAlignment="1">
      <alignment horizontal="center"/>
    </xf>
    <xf numFmtId="165" fontId="45" fillId="0" borderId="0" xfId="0" applyNumberFormat="1" applyFont="1"/>
    <xf numFmtId="1" fontId="45" fillId="0" borderId="0" xfId="0" applyNumberFormat="1" applyFont="1" applyAlignment="1">
      <alignment horizontal="center"/>
    </xf>
    <xf numFmtId="168" fontId="45" fillId="0" borderId="0" xfId="1" applyNumberFormat="1" applyFont="1" applyFill="1" applyBorder="1" applyAlignment="1">
      <alignment horizontal="center"/>
    </xf>
    <xf numFmtId="4" fontId="45" fillId="0" borderId="0" xfId="0" applyNumberFormat="1" applyFont="1" applyAlignment="1">
      <alignment horizontal="center"/>
    </xf>
    <xf numFmtId="2" fontId="45" fillId="0" borderId="0" xfId="0" applyNumberFormat="1" applyFont="1" applyAlignment="1">
      <alignment horizontal="center"/>
    </xf>
    <xf numFmtId="0" fontId="49" fillId="0" borderId="0" xfId="0" applyFont="1"/>
    <xf numFmtId="0" fontId="45" fillId="0" borderId="0" xfId="0" applyFont="1" applyProtection="1">
      <protection locked="0"/>
    </xf>
    <xf numFmtId="0" fontId="45" fillId="0" borderId="0" xfId="0" applyFont="1" applyAlignment="1" applyProtection="1">
      <alignment vertical="top"/>
      <protection locked="0"/>
    </xf>
    <xf numFmtId="0" fontId="45" fillId="0" borderId="0" xfId="0" applyFont="1" applyAlignment="1">
      <alignment wrapText="1"/>
    </xf>
    <xf numFmtId="165" fontId="45" fillId="0" borderId="0" xfId="1" applyFont="1" applyFill="1" applyBorder="1" applyProtection="1">
      <protection locked="0"/>
    </xf>
    <xf numFmtId="9" fontId="45" fillId="0" borderId="0" xfId="2" applyFont="1" applyFill="1" applyBorder="1" applyAlignment="1">
      <alignment horizontal="center"/>
    </xf>
    <xf numFmtId="10" fontId="45" fillId="0" borderId="0" xfId="2" applyNumberFormat="1" applyFont="1" applyFill="1" applyBorder="1"/>
    <xf numFmtId="0" fontId="44" fillId="0" borderId="0" xfId="0" applyFont="1" applyAlignment="1">
      <alignment horizontal="center"/>
    </xf>
    <xf numFmtId="171" fontId="45" fillId="0" borderId="0" xfId="1" applyNumberFormat="1" applyFont="1" applyFill="1" applyBorder="1" applyAlignment="1" applyProtection="1">
      <alignment horizontal="center"/>
    </xf>
    <xf numFmtId="169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vertical="top" wrapText="1"/>
    </xf>
    <xf numFmtId="9" fontId="45" fillId="0" borderId="0" xfId="2" applyFont="1" applyFill="1" applyBorder="1" applyAlignment="1">
      <alignment horizontal="center" vertical="center"/>
    </xf>
    <xf numFmtId="0" fontId="44" fillId="0" borderId="0" xfId="0" applyFont="1"/>
    <xf numFmtId="0" fontId="50" fillId="0" borderId="0" xfId="0" applyFont="1"/>
    <xf numFmtId="0" fontId="3" fillId="18" borderId="7" xfId="7" applyFill="1" applyBorder="1" applyProtection="1">
      <protection locked="0"/>
    </xf>
    <xf numFmtId="2" fontId="3" fillId="18" borderId="7" xfId="7" applyNumberFormat="1" applyFill="1" applyBorder="1" applyAlignment="1" applyProtection="1">
      <alignment horizontal="center"/>
      <protection locked="0"/>
    </xf>
    <xf numFmtId="190" fontId="45" fillId="0" borderId="0" xfId="0" applyNumberFormat="1" applyFont="1"/>
    <xf numFmtId="191" fontId="11" fillId="0" borderId="0" xfId="7" applyNumberFormat="1" applyFont="1"/>
    <xf numFmtId="0" fontId="45" fillId="0" borderId="0" xfId="0" applyFont="1" applyAlignment="1">
      <alignment horizontal="center"/>
    </xf>
    <xf numFmtId="168" fontId="11" fillId="0" borderId="0" xfId="7" applyNumberFormat="1" applyFont="1"/>
    <xf numFmtId="9" fontId="11" fillId="0" borderId="0" xfId="2" applyFont="1"/>
    <xf numFmtId="169" fontId="3" fillId="25" borderId="53" xfId="7" applyNumberFormat="1" applyFill="1" applyBorder="1"/>
    <xf numFmtId="192" fontId="3" fillId="25" borderId="53" xfId="7" applyNumberFormat="1" applyFill="1" applyBorder="1"/>
    <xf numFmtId="0" fontId="3" fillId="0" borderId="62" xfId="7" applyBorder="1" applyAlignment="1">
      <alignment horizontal="center"/>
    </xf>
    <xf numFmtId="0" fontId="3" fillId="0" borderId="105" xfId="7" applyBorder="1" applyAlignment="1">
      <alignment horizontal="center"/>
    </xf>
    <xf numFmtId="169" fontId="3" fillId="25" borderId="106" xfId="7" applyNumberFormat="1" applyFill="1" applyBorder="1"/>
    <xf numFmtId="169" fontId="3" fillId="0" borderId="107" xfId="7" applyNumberFormat="1" applyBorder="1" applyAlignment="1">
      <alignment horizontal="center"/>
    </xf>
    <xf numFmtId="181" fontId="3" fillId="0" borderId="108" xfId="7" applyNumberFormat="1" applyBorder="1" applyAlignment="1">
      <alignment horizontal="center"/>
    </xf>
    <xf numFmtId="185" fontId="3" fillId="13" borderId="108" xfId="7" applyNumberFormat="1" applyFill="1" applyBorder="1"/>
    <xf numFmtId="185" fontId="3" fillId="0" borderId="109" xfId="7" applyNumberFormat="1" applyBorder="1"/>
    <xf numFmtId="193" fontId="11" fillId="0" borderId="0" xfId="7" applyNumberFormat="1" applyFont="1"/>
    <xf numFmtId="17" fontId="8" fillId="0" borderId="64" xfId="7" applyNumberFormat="1" applyFont="1" applyBorder="1" applyAlignment="1">
      <alignment horizontal="center" vertical="center"/>
    </xf>
    <xf numFmtId="164" fontId="8" fillId="6" borderId="80" xfId="7" applyNumberFormat="1" applyFont="1" applyFill="1" applyBorder="1" applyAlignment="1">
      <alignment horizontal="right"/>
    </xf>
    <xf numFmtId="173" fontId="8" fillId="0" borderId="66" xfId="11" applyNumberFormat="1" applyFont="1" applyBorder="1"/>
    <xf numFmtId="173" fontId="20" fillId="0" borderId="69" xfId="11" applyNumberFormat="1" applyFont="1" applyBorder="1" applyAlignment="1">
      <alignment vertical="center"/>
    </xf>
    <xf numFmtId="166" fontId="3" fillId="0" borderId="0" xfId="7" applyNumberFormat="1"/>
    <xf numFmtId="166" fontId="51" fillId="0" borderId="0" xfId="7" applyNumberFormat="1" applyFont="1"/>
    <xf numFmtId="4" fontId="3" fillId="0" borderId="0" xfId="7" applyNumberFormat="1"/>
    <xf numFmtId="1" fontId="52" fillId="0" borderId="0" xfId="0" applyNumberFormat="1" applyFont="1" applyAlignment="1">
      <alignment horizontal="right"/>
    </xf>
    <xf numFmtId="0" fontId="52" fillId="0" borderId="0" xfId="0" applyFont="1" applyAlignment="1">
      <alignment horizontal="right"/>
    </xf>
    <xf numFmtId="4" fontId="3" fillId="18" borderId="7" xfId="7" applyNumberFormat="1" applyFill="1" applyBorder="1" applyAlignment="1" applyProtection="1">
      <alignment horizontal="center" vertical="center" wrapText="1"/>
      <protection locked="0"/>
    </xf>
    <xf numFmtId="164" fontId="8" fillId="0" borderId="0" xfId="7" applyNumberFormat="1" applyFont="1" applyAlignment="1">
      <alignment horizontal="right"/>
    </xf>
    <xf numFmtId="164" fontId="8" fillId="6" borderId="52" xfId="7" applyNumberFormat="1" applyFont="1" applyFill="1" applyBorder="1" applyAlignment="1">
      <alignment horizontal="right"/>
    </xf>
    <xf numFmtId="9" fontId="11" fillId="0" borderId="0" xfId="2" applyFont="1" applyAlignment="1">
      <alignment horizontal="center"/>
    </xf>
    <xf numFmtId="166" fontId="3" fillId="18" borderId="54" xfId="7" applyNumberFormat="1" applyFill="1" applyBorder="1" applyProtection="1">
      <protection locked="0"/>
    </xf>
    <xf numFmtId="0" fontId="3" fillId="18" borderId="39" xfId="7" applyFill="1" applyBorder="1" applyAlignment="1" applyProtection="1">
      <alignment horizontal="left" vertical="center"/>
      <protection locked="0"/>
    </xf>
    <xf numFmtId="0" fontId="3" fillId="18" borderId="40" xfId="7" applyFill="1" applyBorder="1" applyAlignment="1" applyProtection="1">
      <alignment horizontal="left" vertical="center"/>
      <protection locked="0"/>
    </xf>
    <xf numFmtId="0" fontId="3" fillId="18" borderId="42" xfId="7" applyFill="1" applyBorder="1" applyAlignment="1" applyProtection="1">
      <alignment horizontal="left" vertical="center"/>
      <protection locked="0"/>
    </xf>
    <xf numFmtId="4" fontId="3" fillId="0" borderId="6" xfId="7" applyNumberFormat="1" applyBorder="1" applyAlignment="1">
      <alignment vertical="center"/>
    </xf>
    <xf numFmtId="167" fontId="3" fillId="0" borderId="0" xfId="2" applyNumberFormat="1" applyFont="1" applyBorder="1" applyProtection="1"/>
    <xf numFmtId="165" fontId="3" fillId="18" borderId="10" xfId="7" applyNumberFormat="1" applyFill="1" applyBorder="1" applyAlignment="1" applyProtection="1">
      <alignment vertical="center"/>
      <protection locked="0"/>
    </xf>
    <xf numFmtId="0" fontId="3" fillId="13" borderId="10" xfId="7" applyFill="1" applyBorder="1" applyProtection="1">
      <protection locked="0"/>
    </xf>
    <xf numFmtId="2" fontId="3" fillId="13" borderId="10" xfId="7" applyNumberFormat="1" applyFill="1" applyBorder="1" applyAlignment="1" applyProtection="1">
      <alignment horizontal="center"/>
      <protection locked="0"/>
    </xf>
    <xf numFmtId="166" fontId="3" fillId="18" borderId="10" xfId="7" applyNumberFormat="1" applyFill="1" applyBorder="1" applyProtection="1">
      <protection locked="0"/>
    </xf>
    <xf numFmtId="166" fontId="3" fillId="0" borderId="43" xfId="7" applyNumberFormat="1" applyBorder="1"/>
    <xf numFmtId="165" fontId="3" fillId="0" borderId="0" xfId="7" applyNumberFormat="1"/>
    <xf numFmtId="165" fontId="6" fillId="0" borderId="0" xfId="0" applyNumberFormat="1" applyFont="1"/>
    <xf numFmtId="165" fontId="11" fillId="0" borderId="0" xfId="7" applyNumberFormat="1" applyFont="1"/>
    <xf numFmtId="165" fontId="53" fillId="0" borderId="0" xfId="7" applyNumberFormat="1" applyFont="1"/>
    <xf numFmtId="185" fontId="3" fillId="13" borderId="7" xfId="7" applyNumberFormat="1" applyFill="1" applyBorder="1" applyAlignment="1">
      <alignment horizontal="center"/>
    </xf>
    <xf numFmtId="169" fontId="3" fillId="25" borderId="8" xfId="7" applyNumberFormat="1" applyFill="1" applyBorder="1"/>
    <xf numFmtId="169" fontId="3" fillId="25" borderId="11" xfId="7" applyNumberFormat="1" applyFill="1" applyBorder="1"/>
    <xf numFmtId="3" fontId="3" fillId="0" borderId="7" xfId="7" applyNumberFormat="1" applyBorder="1" applyAlignment="1">
      <alignment horizontal="center" vertical="center" wrapText="1"/>
    </xf>
    <xf numFmtId="17" fontId="3" fillId="0" borderId="0" xfId="7" applyNumberFormat="1" applyAlignment="1">
      <alignment vertical="center"/>
    </xf>
    <xf numFmtId="2" fontId="3" fillId="0" borderId="0" xfId="7" applyNumberFormat="1" applyAlignment="1">
      <alignment vertical="center"/>
    </xf>
    <xf numFmtId="2" fontId="3" fillId="18" borderId="51" xfId="7" applyNumberFormat="1" applyFill="1" applyBorder="1" applyAlignment="1" applyProtection="1">
      <alignment horizontal="center"/>
      <protection locked="0"/>
    </xf>
    <xf numFmtId="166" fontId="3" fillId="18" borderId="42" xfId="7" applyNumberFormat="1" applyFill="1" applyBorder="1" applyProtection="1">
      <protection locked="0"/>
    </xf>
    <xf numFmtId="192" fontId="3" fillId="25" borderId="58" xfId="7" applyNumberFormat="1" applyFill="1" applyBorder="1"/>
    <xf numFmtId="168" fontId="0" fillId="21" borderId="82" xfId="0" applyNumberFormat="1" applyFill="1" applyBorder="1" applyAlignment="1" applyProtection="1">
      <alignment vertical="top"/>
      <protection locked="0"/>
    </xf>
    <xf numFmtId="10" fontId="0" fillId="21" borderId="82" xfId="2" applyNumberFormat="1" applyFont="1" applyFill="1" applyBorder="1" applyAlignment="1" applyProtection="1">
      <alignment horizontal="center" vertical="center"/>
      <protection locked="0"/>
    </xf>
    <xf numFmtId="168" fontId="0" fillId="21" borderId="82" xfId="0" applyNumberFormat="1" applyFill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7" fillId="0" borderId="0" xfId="0" applyFont="1"/>
    <xf numFmtId="0" fontId="37" fillId="22" borderId="82" xfId="0" applyFont="1" applyFill="1" applyBorder="1" applyAlignment="1">
      <alignment horizontal="justify" vertical="center" wrapText="1"/>
    </xf>
    <xf numFmtId="0" fontId="37" fillId="22" borderId="23" xfId="0" applyFont="1" applyFill="1" applyBorder="1" applyAlignment="1">
      <alignment horizontal="justify" vertical="center" wrapText="1"/>
    </xf>
    <xf numFmtId="0" fontId="37" fillId="22" borderId="23" xfId="0" applyFont="1" applyFill="1" applyBorder="1" applyAlignment="1">
      <alignment horizontal="center" vertical="center" wrapText="1"/>
    </xf>
    <xf numFmtId="0" fontId="37" fillId="22" borderId="21" xfId="0" applyFont="1" applyFill="1" applyBorder="1" applyAlignment="1">
      <alignment horizontal="center" vertical="center" wrapText="1"/>
    </xf>
    <xf numFmtId="0" fontId="37" fillId="22" borderId="82" xfId="0" applyFont="1" applyFill="1" applyBorder="1" applyAlignment="1">
      <alignment horizontal="center" vertical="center" wrapText="1"/>
    </xf>
    <xf numFmtId="0" fontId="0" fillId="0" borderId="82" xfId="0" applyBorder="1" applyAlignment="1">
      <alignment horizontal="left"/>
    </xf>
    <xf numFmtId="0" fontId="0" fillId="0" borderId="82" xfId="0" applyBorder="1" applyAlignment="1">
      <alignment wrapText="1"/>
    </xf>
    <xf numFmtId="0" fontId="0" fillId="0" borderId="82" xfId="0" applyBorder="1" applyAlignment="1">
      <alignment vertical="center"/>
    </xf>
    <xf numFmtId="0" fontId="0" fillId="0" borderId="82" xfId="0" applyBorder="1" applyAlignment="1">
      <alignment horizontal="center" vertical="center"/>
    </xf>
    <xf numFmtId="0" fontId="0" fillId="0" borderId="82" xfId="0" applyBorder="1"/>
    <xf numFmtId="0" fontId="2" fillId="26" borderId="82" xfId="0" applyFont="1" applyFill="1" applyBorder="1" applyAlignment="1">
      <alignment horizontal="left" vertical="top"/>
    </xf>
    <xf numFmtId="0" fontId="2" fillId="26" borderId="82" xfId="0" applyFont="1" applyFill="1" applyBorder="1" applyAlignment="1">
      <alignment wrapText="1"/>
    </xf>
    <xf numFmtId="0" fontId="0" fillId="26" borderId="82" xfId="0" applyFill="1" applyBorder="1" applyAlignment="1">
      <alignment vertical="center"/>
    </xf>
    <xf numFmtId="0" fontId="0" fillId="26" borderId="82" xfId="0" applyFill="1" applyBorder="1" applyAlignment="1">
      <alignment horizontal="center" vertical="center"/>
    </xf>
    <xf numFmtId="0" fontId="0" fillId="26" borderId="82" xfId="0" applyFill="1" applyBorder="1"/>
    <xf numFmtId="0" fontId="0" fillId="0" borderId="82" xfId="0" applyBorder="1" applyAlignment="1">
      <alignment horizontal="left" vertical="top"/>
    </xf>
    <xf numFmtId="168" fontId="0" fillId="0" borderId="82" xfId="0" applyNumberFormat="1" applyBorder="1" applyAlignment="1">
      <alignment vertical="top"/>
    </xf>
    <xf numFmtId="168" fontId="0" fillId="26" borderId="84" xfId="0" applyNumberFormat="1" applyFill="1" applyBorder="1" applyAlignment="1">
      <alignment vertical="top"/>
    </xf>
    <xf numFmtId="168" fontId="2" fillId="26" borderId="84" xfId="0" applyNumberFormat="1" applyFont="1" applyFill="1" applyBorder="1" applyAlignment="1">
      <alignment vertical="top"/>
    </xf>
    <xf numFmtId="167" fontId="6" fillId="0" borderId="0" xfId="2" applyNumberFormat="1" applyFont="1" applyAlignment="1" applyProtection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167" fontId="6" fillId="0" borderId="7" xfId="2" applyNumberFormat="1" applyFont="1" applyBorder="1" applyAlignment="1" applyProtection="1">
      <alignment horizontal="center" vertical="center"/>
    </xf>
    <xf numFmtId="168" fontId="0" fillId="26" borderId="83" xfId="0" applyNumberFormat="1" applyFill="1" applyBorder="1" applyAlignment="1">
      <alignment vertical="top"/>
    </xf>
    <xf numFmtId="168" fontId="0" fillId="15" borderId="82" xfId="0" applyNumberFormat="1" applyFill="1" applyBorder="1" applyAlignment="1">
      <alignment vertical="center"/>
    </xf>
    <xf numFmtId="168" fontId="0" fillId="0" borderId="82" xfId="0" applyNumberFormat="1" applyBorder="1" applyAlignment="1">
      <alignment vertical="center"/>
    </xf>
    <xf numFmtId="168" fontId="0" fillId="0" borderId="82" xfId="0" applyNumberFormat="1" applyBorder="1" applyAlignment="1">
      <alignment horizontal="center" vertical="center"/>
    </xf>
    <xf numFmtId="0" fontId="2" fillId="26" borderId="82" xfId="0" applyFont="1" applyFill="1" applyBorder="1" applyAlignment="1">
      <alignment horizontal="left" vertical="center"/>
    </xf>
    <xf numFmtId="0" fontId="2" fillId="26" borderId="82" xfId="0" applyFont="1" applyFill="1" applyBorder="1" applyAlignment="1">
      <alignment vertical="center" wrapText="1"/>
    </xf>
    <xf numFmtId="168" fontId="2" fillId="26" borderId="82" xfId="0" applyNumberFormat="1" applyFont="1" applyFill="1" applyBorder="1" applyAlignment="1">
      <alignment vertical="center"/>
    </xf>
    <xf numFmtId="168" fontId="0" fillId="26" borderId="82" xfId="0" applyNumberFormat="1" applyFill="1" applyBorder="1" applyAlignment="1">
      <alignment vertical="center"/>
    </xf>
    <xf numFmtId="0" fontId="2" fillId="26" borderId="82" xfId="0" applyFont="1" applyFill="1" applyBorder="1" applyAlignment="1">
      <alignment horizontal="left" vertical="top" wrapText="1"/>
    </xf>
    <xf numFmtId="0" fontId="2" fillId="26" borderId="82" xfId="0" applyFont="1" applyFill="1" applyBorder="1" applyAlignment="1">
      <alignment vertical="top" wrapText="1"/>
    </xf>
    <xf numFmtId="0" fontId="0" fillId="0" borderId="82" xfId="0" applyBorder="1" applyAlignment="1">
      <alignment vertical="top" wrapText="1"/>
    </xf>
    <xf numFmtId="0" fontId="2" fillId="0" borderId="82" xfId="0" applyFont="1" applyBorder="1" applyAlignment="1">
      <alignment wrapText="1"/>
    </xf>
    <xf numFmtId="0" fontId="2" fillId="0" borderId="82" xfId="0" applyFont="1" applyBorder="1" applyAlignment="1">
      <alignment vertical="top" wrapText="1"/>
    </xf>
    <xf numFmtId="168" fontId="2" fillId="0" borderId="82" xfId="0" applyNumberFormat="1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88" fontId="6" fillId="0" borderId="7" xfId="0" applyNumberFormat="1" applyFont="1" applyBorder="1" applyAlignment="1">
      <alignment horizontal="right" vertical="center"/>
    </xf>
    <xf numFmtId="18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88" fontId="7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189" fontId="38" fillId="26" borderId="29" xfId="0" applyNumberFormat="1" applyFont="1" applyFill="1" applyBorder="1" applyAlignment="1">
      <alignment horizontal="left" vertical="center"/>
    </xf>
    <xf numFmtId="188" fontId="38" fillId="26" borderId="29" xfId="0" applyNumberFormat="1" applyFont="1" applyFill="1" applyBorder="1" applyAlignment="1">
      <alignment horizontal="left" vertical="center"/>
    </xf>
    <xf numFmtId="188" fontId="38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6" xfId="0" applyFill="1" applyBorder="1" applyAlignment="1">
      <alignment vertical="center" wrapText="1"/>
    </xf>
    <xf numFmtId="0" fontId="34" fillId="0" borderId="15" xfId="0" applyFont="1" applyBorder="1" applyAlignment="1">
      <alignment horizontal="center" vertical="center"/>
    </xf>
    <xf numFmtId="0" fontId="34" fillId="21" borderId="8" xfId="0" applyFont="1" applyFill="1" applyBorder="1" applyAlignment="1">
      <alignment horizontal="left" vertical="center"/>
    </xf>
    <xf numFmtId="0" fontId="34" fillId="0" borderId="9" xfId="0" applyFont="1" applyBorder="1" applyAlignment="1">
      <alignment vertical="center" wrapText="1"/>
    </xf>
    <xf numFmtId="0" fontId="34" fillId="0" borderId="9" xfId="0" applyFont="1" applyBorder="1" applyAlignment="1">
      <alignment vertical="center"/>
    </xf>
    <xf numFmtId="0" fontId="34" fillId="0" borderId="62" xfId="0" applyFont="1" applyBorder="1" applyAlignment="1">
      <alignment horizontal="center" vertical="center"/>
    </xf>
    <xf numFmtId="0" fontId="34" fillId="21" borderId="44" xfId="0" applyFont="1" applyFill="1" applyBorder="1" applyAlignment="1">
      <alignment horizontal="left" vertical="center"/>
    </xf>
    <xf numFmtId="0" fontId="34" fillId="0" borderId="59" xfId="0" applyFont="1" applyBorder="1" applyAlignment="1">
      <alignment vertical="center"/>
    </xf>
    <xf numFmtId="0" fontId="34" fillId="0" borderId="16" xfId="0" applyFont="1" applyBorder="1" applyAlignment="1">
      <alignment horizontal="center" vertical="center"/>
    </xf>
    <xf numFmtId="0" fontId="34" fillId="21" borderId="11" xfId="0" applyFont="1" applyFill="1" applyBorder="1" applyAlignment="1">
      <alignment horizontal="left" vertical="center"/>
    </xf>
    <xf numFmtId="0" fontId="34" fillId="0" borderId="12" xfId="0" applyFont="1" applyBorder="1" applyAlignment="1">
      <alignment vertical="center"/>
    </xf>
    <xf numFmtId="0" fontId="9" fillId="21" borderId="29" xfId="0" applyFont="1" applyFill="1" applyBorder="1" applyAlignment="1" applyProtection="1">
      <alignment vertical="center"/>
      <protection locked="0"/>
    </xf>
    <xf numFmtId="0" fontId="39" fillId="21" borderId="29" xfId="0" applyFont="1" applyFill="1" applyBorder="1" applyAlignment="1" applyProtection="1">
      <alignment vertical="center" wrapText="1"/>
      <protection locked="0"/>
    </xf>
    <xf numFmtId="0" fontId="1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" fillId="5" borderId="21" xfId="0" applyFont="1" applyFill="1" applyBorder="1" applyAlignment="1">
      <alignment horizontal="left" vertical="center"/>
    </xf>
    <xf numFmtId="0" fontId="2" fillId="5" borderId="22" xfId="0" applyFont="1" applyFill="1" applyBorder="1" applyAlignment="1">
      <alignment horizontal="left" vertical="center"/>
    </xf>
    <xf numFmtId="0" fontId="2" fillId="5" borderId="23" xfId="0" applyFont="1" applyFill="1" applyBorder="1" applyAlignment="1">
      <alignment horizontal="left" vertical="center"/>
    </xf>
    <xf numFmtId="0" fontId="15" fillId="0" borderId="1" xfId="7" applyFont="1" applyBorder="1" applyAlignment="1">
      <alignment horizontal="center" vertical="center"/>
    </xf>
    <xf numFmtId="0" fontId="16" fillId="0" borderId="2" xfId="7" applyFont="1" applyBorder="1" applyAlignment="1">
      <alignment horizontal="center" vertical="center"/>
    </xf>
    <xf numFmtId="0" fontId="16" fillId="0" borderId="3" xfId="7" applyFont="1" applyBorder="1" applyAlignment="1">
      <alignment horizontal="center" vertical="center"/>
    </xf>
    <xf numFmtId="0" fontId="16" fillId="0" borderId="33" xfId="7" applyFont="1" applyBorder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6" fillId="0" borderId="17" xfId="7" applyFont="1" applyBorder="1" applyAlignment="1">
      <alignment horizontal="center" vertical="center"/>
    </xf>
    <xf numFmtId="0" fontId="16" fillId="0" borderId="34" xfId="7" applyFont="1" applyBorder="1" applyAlignment="1">
      <alignment horizontal="center" vertical="center"/>
    </xf>
    <xf numFmtId="0" fontId="16" fillId="0" borderId="25" xfId="7" applyFont="1" applyBorder="1" applyAlignment="1">
      <alignment horizontal="center" vertical="center"/>
    </xf>
    <xf numFmtId="0" fontId="16" fillId="0" borderId="35" xfId="7" applyFont="1" applyBorder="1" applyAlignment="1">
      <alignment horizontal="center" vertical="center"/>
    </xf>
    <xf numFmtId="0" fontId="12" fillId="0" borderId="60" xfId="7" applyFont="1" applyBorder="1" applyAlignment="1">
      <alignment horizontal="center" wrapText="1"/>
    </xf>
    <xf numFmtId="0" fontId="12" fillId="0" borderId="2" xfId="7" applyFont="1" applyBorder="1" applyAlignment="1">
      <alignment horizontal="center" wrapText="1"/>
    </xf>
    <xf numFmtId="0" fontId="12" fillId="0" borderId="52" xfId="7" applyFont="1" applyBorder="1" applyAlignment="1">
      <alignment horizontal="center" wrapText="1"/>
    </xf>
    <xf numFmtId="0" fontId="12" fillId="0" borderId="0" xfId="7" applyFont="1" applyAlignment="1">
      <alignment horizontal="center" wrapText="1"/>
    </xf>
    <xf numFmtId="0" fontId="13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13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2" fillId="0" borderId="52" xfId="7" applyFont="1" applyBorder="1" applyAlignment="1">
      <alignment horizontal="center" vertical="center"/>
    </xf>
    <xf numFmtId="0" fontId="12" fillId="0" borderId="65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25" xfId="7" applyFont="1" applyBorder="1" applyAlignment="1">
      <alignment horizontal="center" vertical="center"/>
    </xf>
    <xf numFmtId="172" fontId="17" fillId="0" borderId="8" xfId="7" applyNumberFormat="1" applyFont="1" applyBorder="1" applyAlignment="1">
      <alignment horizontal="left"/>
    </xf>
    <xf numFmtId="172" fontId="17" fillId="0" borderId="41" xfId="7" applyNumberFormat="1" applyFont="1" applyBorder="1" applyAlignment="1">
      <alignment horizontal="left"/>
    </xf>
    <xf numFmtId="0" fontId="18" fillId="0" borderId="13" xfId="7" applyFont="1" applyBorder="1" applyAlignment="1">
      <alignment horizontal="center" vertical="center"/>
    </xf>
    <xf numFmtId="0" fontId="3" fillId="0" borderId="61" xfId="7" applyBorder="1" applyAlignment="1">
      <alignment horizontal="center" vertical="center"/>
    </xf>
    <xf numFmtId="0" fontId="3" fillId="0" borderId="64" xfId="7" applyBorder="1" applyAlignment="1">
      <alignment horizontal="center" vertical="center"/>
    </xf>
    <xf numFmtId="0" fontId="18" fillId="0" borderId="60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19" fillId="0" borderId="53" xfId="7" applyFont="1" applyBorder="1" applyAlignment="1">
      <alignment horizontal="center" vertical="center"/>
    </xf>
    <xf numFmtId="0" fontId="19" fillId="0" borderId="29" xfId="7" applyFont="1" applyBorder="1" applyAlignment="1">
      <alignment horizontal="center" vertical="center"/>
    </xf>
    <xf numFmtId="0" fontId="19" fillId="0" borderId="47" xfId="7" applyFont="1" applyBorder="1" applyAlignment="1">
      <alignment horizontal="center" vertical="center"/>
    </xf>
    <xf numFmtId="0" fontId="12" fillId="0" borderId="61" xfId="7" applyFont="1" applyBorder="1" applyAlignment="1">
      <alignment horizontal="left" vertical="center"/>
    </xf>
    <xf numFmtId="0" fontId="17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8" fillId="0" borderId="45" xfId="7" applyFont="1" applyBorder="1" applyAlignment="1">
      <alignment horizontal="left" vertical="top" wrapText="1"/>
    </xf>
    <xf numFmtId="0" fontId="8" fillId="0" borderId="63" xfId="7" applyFont="1" applyBorder="1" applyAlignment="1">
      <alignment horizontal="left" vertical="top" wrapText="1"/>
    </xf>
    <xf numFmtId="0" fontId="8" fillId="0" borderId="53" xfId="7" applyFont="1" applyBorder="1" applyAlignment="1">
      <alignment horizontal="left" vertical="top" wrapText="1"/>
    </xf>
    <xf numFmtId="0" fontId="8" fillId="0" borderId="29" xfId="7" applyFont="1" applyBorder="1" applyAlignment="1">
      <alignment horizontal="left" vertical="top" wrapText="1"/>
    </xf>
    <xf numFmtId="0" fontId="8" fillId="0" borderId="67" xfId="7" applyFont="1" applyBorder="1" applyAlignment="1">
      <alignment horizontal="left" vertical="top" wrapText="1"/>
    </xf>
    <xf numFmtId="172" fontId="12" fillId="0" borderId="8" xfId="7" quotePrefix="1" applyNumberFormat="1" applyFont="1" applyBorder="1" applyAlignment="1">
      <alignment horizontal="left" vertical="center"/>
    </xf>
    <xf numFmtId="172" fontId="12" fillId="0" borderId="40" xfId="7" applyNumberFormat="1" applyFont="1" applyBorder="1" applyAlignment="1">
      <alignment horizontal="left" vertical="center"/>
    </xf>
    <xf numFmtId="172" fontId="12" fillId="0" borderId="8" xfId="7" quotePrefix="1" applyNumberFormat="1" applyFont="1" applyBorder="1" applyAlignment="1">
      <alignment horizontal="left"/>
    </xf>
    <xf numFmtId="172" fontId="12" fillId="0" borderId="41" xfId="7" applyNumberFormat="1" applyFont="1" applyBorder="1" applyAlignment="1">
      <alignment horizontal="left"/>
    </xf>
    <xf numFmtId="0" fontId="12" fillId="0" borderId="8" xfId="7" applyFont="1" applyBorder="1" applyAlignment="1">
      <alignment horizontal="left" wrapText="1"/>
    </xf>
    <xf numFmtId="0" fontId="12" fillId="0" borderId="40" xfId="7" applyFont="1" applyBorder="1" applyAlignment="1">
      <alignment horizontal="left" wrapText="1"/>
    </xf>
    <xf numFmtId="0" fontId="12" fillId="0" borderId="41" xfId="7" applyFont="1" applyBorder="1" applyAlignment="1">
      <alignment horizontal="left" wrapText="1"/>
    </xf>
    <xf numFmtId="0" fontId="12" fillId="0" borderId="8" xfId="7" applyFont="1" applyBorder="1" applyAlignment="1">
      <alignment horizontal="left"/>
    </xf>
    <xf numFmtId="0" fontId="12" fillId="0" borderId="29" xfId="7" applyFont="1" applyBorder="1" applyAlignment="1">
      <alignment horizontal="left"/>
    </xf>
    <xf numFmtId="0" fontId="17" fillId="0" borderId="40" xfId="7" applyFont="1" applyBorder="1"/>
    <xf numFmtId="173" fontId="12" fillId="0" borderId="8" xfId="7" applyNumberFormat="1" applyFont="1" applyBorder="1" applyAlignment="1">
      <alignment horizontal="left"/>
    </xf>
    <xf numFmtId="173" fontId="12" fillId="0" borderId="41" xfId="7" applyNumberFormat="1" applyFont="1" applyBorder="1" applyAlignment="1">
      <alignment horizontal="left"/>
    </xf>
    <xf numFmtId="0" fontId="13" fillId="15" borderId="28" xfId="7" applyFont="1" applyFill="1" applyBorder="1" applyAlignment="1">
      <alignment horizontal="center"/>
    </xf>
    <xf numFmtId="0" fontId="3" fillId="15" borderId="47" xfId="7" applyFill="1" applyBorder="1" applyAlignment="1">
      <alignment horizontal="center"/>
    </xf>
    <xf numFmtId="0" fontId="12" fillId="15" borderId="0" xfId="7" applyFont="1" applyFill="1" applyAlignment="1">
      <alignment horizontal="center" vertical="center"/>
    </xf>
    <xf numFmtId="0" fontId="12" fillId="15" borderId="25" xfId="7" applyFont="1" applyFill="1" applyBorder="1" applyAlignment="1">
      <alignment horizontal="center" vertical="center"/>
    </xf>
    <xf numFmtId="172" fontId="12" fillId="15" borderId="8" xfId="7" quotePrefix="1" applyNumberFormat="1" applyFont="1" applyFill="1" applyBorder="1" applyAlignment="1">
      <alignment horizontal="left"/>
    </xf>
    <xf numFmtId="172" fontId="12" fillId="15" borderId="41" xfId="7" applyNumberFormat="1" applyFont="1" applyFill="1" applyBorder="1" applyAlignment="1">
      <alignment horizontal="left"/>
    </xf>
    <xf numFmtId="14" fontId="12" fillId="0" borderId="8" xfId="7" applyNumberFormat="1" applyFont="1" applyBorder="1" applyAlignment="1">
      <alignment horizontal="left"/>
    </xf>
    <xf numFmtId="14" fontId="12" fillId="0" borderId="41" xfId="7" applyNumberFormat="1" applyFont="1" applyBorder="1" applyAlignment="1">
      <alignment horizontal="left"/>
    </xf>
    <xf numFmtId="0" fontId="18" fillId="0" borderId="11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13" fillId="0" borderId="44" xfId="7" applyFont="1" applyBorder="1" applyAlignment="1">
      <alignment horizontal="left" vertical="top" wrapText="1"/>
    </xf>
    <xf numFmtId="0" fontId="11" fillId="0" borderId="45" xfId="7" applyFont="1" applyBorder="1" applyAlignment="1">
      <alignment horizontal="left" vertical="top" wrapText="1"/>
    </xf>
    <xf numFmtId="0" fontId="11" fillId="0" borderId="63" xfId="7" applyFont="1" applyBorder="1" applyAlignment="1">
      <alignment horizontal="left" vertical="top" wrapText="1"/>
    </xf>
    <xf numFmtId="0" fontId="11" fillId="0" borderId="53" xfId="7" applyFont="1" applyBorder="1" applyAlignment="1">
      <alignment horizontal="left" vertical="top" wrapText="1"/>
    </xf>
    <xf numFmtId="0" fontId="11" fillId="0" borderId="29" xfId="7" applyFont="1" applyBorder="1" applyAlignment="1">
      <alignment horizontal="left" vertical="top" wrapText="1"/>
    </xf>
    <xf numFmtId="0" fontId="11" fillId="0" borderId="67" xfId="7" applyFont="1" applyBorder="1" applyAlignment="1">
      <alignment horizontal="left" vertical="top" wrapText="1"/>
    </xf>
    <xf numFmtId="173" fontId="8" fillId="2" borderId="5" xfId="11" applyNumberFormat="1" applyFont="1" applyFill="1" applyBorder="1" applyAlignment="1">
      <alignment horizontal="center" vertical="center"/>
    </xf>
    <xf numFmtId="173" fontId="8" fillId="2" borderId="49" xfId="11" applyNumberFormat="1" applyFont="1" applyFill="1" applyBorder="1" applyAlignment="1">
      <alignment horizontal="center" vertical="center"/>
    </xf>
    <xf numFmtId="173" fontId="8" fillId="2" borderId="8" xfId="11" applyNumberFormat="1" applyFont="1" applyFill="1" applyBorder="1" applyAlignment="1">
      <alignment horizontal="center" vertical="center"/>
    </xf>
    <xf numFmtId="173" fontId="8" fillId="2" borderId="42" xfId="11" applyNumberFormat="1" applyFont="1" applyFill="1" applyBorder="1" applyAlignment="1">
      <alignment horizontal="center" vertical="center"/>
    </xf>
    <xf numFmtId="173" fontId="18" fillId="0" borderId="94" xfId="7" applyNumberFormat="1" applyFont="1" applyBorder="1" applyAlignment="1">
      <alignment horizontal="center"/>
    </xf>
    <xf numFmtId="173" fontId="18" fillId="0" borderId="104" xfId="7" applyNumberFormat="1" applyFont="1" applyBorder="1" applyAlignment="1">
      <alignment horizontal="center"/>
    </xf>
    <xf numFmtId="173" fontId="19" fillId="0" borderId="71" xfId="11" applyNumberFormat="1" applyFont="1" applyFill="1" applyBorder="1" applyAlignment="1">
      <alignment horizontal="center" vertical="center"/>
    </xf>
    <xf numFmtId="173" fontId="19" fillId="0" borderId="101" xfId="11" applyNumberFormat="1" applyFont="1" applyFill="1" applyBorder="1" applyAlignment="1">
      <alignment horizontal="center" vertical="center"/>
    </xf>
    <xf numFmtId="173" fontId="19" fillId="0" borderId="102" xfId="7" applyNumberFormat="1" applyFont="1" applyBorder="1" applyAlignment="1">
      <alignment horizontal="center" vertical="center"/>
    </xf>
    <xf numFmtId="173" fontId="19" fillId="0" borderId="103" xfId="7" applyNumberFormat="1" applyFont="1" applyBorder="1" applyAlignment="1">
      <alignment horizontal="center" vertical="center"/>
    </xf>
    <xf numFmtId="173" fontId="8" fillId="2" borderId="11" xfId="11" applyNumberFormat="1" applyFont="1" applyFill="1" applyBorder="1" applyAlignment="1">
      <alignment horizontal="center" vertical="center"/>
    </xf>
    <xf numFmtId="173" fontId="8" fillId="2" borderId="81" xfId="11" applyNumberFormat="1" applyFont="1" applyFill="1" applyBorder="1" applyAlignment="1">
      <alignment horizontal="center" vertical="center"/>
    </xf>
    <xf numFmtId="173" fontId="8" fillId="2" borderId="53" xfId="11" applyNumberFormat="1" applyFont="1" applyFill="1" applyBorder="1" applyAlignment="1">
      <alignment horizontal="center" vertical="center"/>
    </xf>
    <xf numFmtId="173" fontId="8" fillId="2" borderId="47" xfId="11" applyNumberFormat="1" applyFont="1" applyFill="1" applyBorder="1" applyAlignment="1">
      <alignment horizontal="center" vertical="center"/>
    </xf>
    <xf numFmtId="172" fontId="17" fillId="12" borderId="8" xfId="7" applyNumberFormat="1" applyFont="1" applyFill="1" applyBorder="1" applyAlignment="1">
      <alignment horizontal="left"/>
    </xf>
    <xf numFmtId="172" fontId="17" fillId="12" borderId="41" xfId="7" applyNumberFormat="1" applyFont="1" applyFill="1" applyBorder="1" applyAlignment="1">
      <alignment horizontal="left"/>
    </xf>
    <xf numFmtId="0" fontId="12" fillId="12" borderId="8" xfId="7" applyFont="1" applyFill="1" applyBorder="1" applyAlignment="1">
      <alignment horizontal="left"/>
    </xf>
    <xf numFmtId="0" fontId="12" fillId="12" borderId="29" xfId="7" applyFont="1" applyFill="1" applyBorder="1" applyAlignment="1">
      <alignment horizontal="left"/>
    </xf>
    <xf numFmtId="0" fontId="17" fillId="12" borderId="40" xfId="7" applyFont="1" applyFill="1" applyBorder="1"/>
    <xf numFmtId="14" fontId="12" fillId="12" borderId="8" xfId="7" applyNumberFormat="1" applyFont="1" applyFill="1" applyBorder="1" applyAlignment="1">
      <alignment horizontal="left"/>
    </xf>
    <xf numFmtId="14" fontId="12" fillId="12" borderId="41" xfId="7" applyNumberFormat="1" applyFont="1" applyFill="1" applyBorder="1" applyAlignment="1">
      <alignment horizontal="left"/>
    </xf>
    <xf numFmtId="168" fontId="12" fillId="12" borderId="11" xfId="7" applyNumberFormat="1" applyFont="1" applyFill="1" applyBorder="1" applyAlignment="1">
      <alignment horizontal="center" vertical="center"/>
    </xf>
    <xf numFmtId="168" fontId="12" fillId="12" borderId="43" xfId="7" applyNumberFormat="1" applyFont="1" applyFill="1" applyBorder="1" applyAlignment="1">
      <alignment horizontal="center" vertical="center"/>
    </xf>
    <xf numFmtId="0" fontId="13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13" fillId="0" borderId="60" xfId="7" applyFont="1" applyBorder="1" applyAlignment="1">
      <alignment horizontal="center" vertical="center" wrapText="1"/>
    </xf>
    <xf numFmtId="0" fontId="13" fillId="0" borderId="2" xfId="7" applyFont="1" applyBorder="1" applyAlignment="1">
      <alignment horizontal="center" vertical="center" wrapText="1"/>
    </xf>
    <xf numFmtId="0" fontId="13" fillId="0" borderId="48" xfId="7" applyFont="1" applyBorder="1" applyAlignment="1">
      <alignment horizontal="center" vertical="center" wrapText="1"/>
    </xf>
    <xf numFmtId="0" fontId="13" fillId="0" borderId="52" xfId="7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0" fontId="13" fillId="0" borderId="54" xfId="7" applyFont="1" applyBorder="1" applyAlignment="1">
      <alignment horizontal="center" vertical="center" wrapText="1"/>
    </xf>
    <xf numFmtId="0" fontId="13" fillId="0" borderId="3" xfId="7" applyFont="1" applyBorder="1" applyAlignment="1">
      <alignment horizontal="center" vertical="center" wrapText="1"/>
    </xf>
    <xf numFmtId="0" fontId="13" fillId="0" borderId="17" xfId="7" applyFont="1" applyBorder="1" applyAlignment="1">
      <alignment horizontal="center" vertical="center" wrapText="1"/>
    </xf>
    <xf numFmtId="0" fontId="11" fillId="0" borderId="73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1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1" fillId="0" borderId="44" xfId="7" applyFont="1" applyBorder="1" applyAlignment="1">
      <alignment horizontal="right" vertical="center" wrapText="1"/>
    </xf>
    <xf numFmtId="0" fontId="11" fillId="0" borderId="45" xfId="7" applyFont="1" applyBorder="1" applyAlignment="1">
      <alignment horizontal="right" vertical="center" wrapText="1"/>
    </xf>
    <xf numFmtId="0" fontId="11" fillId="0" borderId="53" xfId="7" applyFont="1" applyBorder="1" applyAlignment="1">
      <alignment horizontal="right" vertical="center" wrapText="1"/>
    </xf>
    <xf numFmtId="0" fontId="11" fillId="0" borderId="29" xfId="7" applyFont="1" applyBorder="1" applyAlignment="1">
      <alignment horizontal="right" vertical="center" wrapText="1"/>
    </xf>
    <xf numFmtId="0" fontId="11" fillId="0" borderId="28" xfId="7" applyFont="1" applyBorder="1" applyAlignment="1">
      <alignment horizontal="right" vertical="center"/>
    </xf>
    <xf numFmtId="0" fontId="11" fillId="0" borderId="29" xfId="7" applyFont="1" applyBorder="1" applyAlignment="1">
      <alignment horizontal="right" vertical="center"/>
    </xf>
    <xf numFmtId="0" fontId="13" fillId="0" borderId="29" xfId="7" applyFont="1" applyBorder="1" applyAlignment="1">
      <alignment horizontal="left" vertical="center"/>
    </xf>
    <xf numFmtId="0" fontId="11" fillId="0" borderId="44" xfId="7" applyFont="1" applyBorder="1" applyAlignment="1">
      <alignment horizontal="center" vertical="center" wrapText="1"/>
    </xf>
    <xf numFmtId="0" fontId="11" fillId="0" borderId="45" xfId="7" applyFont="1" applyBorder="1" applyAlignment="1">
      <alignment horizontal="center" vertical="center" wrapText="1"/>
    </xf>
    <xf numFmtId="0" fontId="11" fillId="0" borderId="63" xfId="7" applyFont="1" applyBorder="1" applyAlignment="1">
      <alignment horizontal="center" vertical="center" wrapText="1"/>
    </xf>
    <xf numFmtId="0" fontId="11" fillId="0" borderId="53" xfId="7" applyFont="1" applyBorder="1" applyAlignment="1">
      <alignment horizontal="center" vertical="center" wrapText="1"/>
    </xf>
    <xf numFmtId="0" fontId="11" fillId="0" borderId="29" xfId="7" applyFont="1" applyBorder="1" applyAlignment="1">
      <alignment horizontal="center" vertical="center" wrapText="1"/>
    </xf>
    <xf numFmtId="0" fontId="11" fillId="0" borderId="67" xfId="7" applyFont="1" applyBorder="1" applyAlignment="1">
      <alignment horizontal="center" vertical="center" wrapText="1"/>
    </xf>
    <xf numFmtId="0" fontId="13" fillId="0" borderId="13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3" fillId="0" borderId="54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13" fillId="0" borderId="55" xfId="7" applyFont="1" applyBorder="1" applyAlignment="1">
      <alignment horizontal="center" vertical="center" wrapText="1"/>
    </xf>
    <xf numFmtId="0" fontId="13" fillId="0" borderId="51" xfId="7" applyFont="1" applyBorder="1" applyAlignment="1">
      <alignment horizontal="center" vertical="center" wrapText="1"/>
    </xf>
    <xf numFmtId="0" fontId="11" fillId="0" borderId="55" xfId="7" applyFont="1" applyBorder="1" applyAlignment="1">
      <alignment horizontal="center" wrapText="1"/>
    </xf>
    <xf numFmtId="0" fontId="11" fillId="0" borderId="51" xfId="7" applyFont="1" applyBorder="1" applyAlignment="1">
      <alignment horizontal="center" wrapText="1"/>
    </xf>
    <xf numFmtId="0" fontId="11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1" fillId="2" borderId="0" xfId="7" applyFont="1" applyFill="1" applyAlignment="1">
      <alignment horizontal="left"/>
    </xf>
    <xf numFmtId="0" fontId="21" fillId="2" borderId="54" xfId="7" applyFont="1" applyFill="1" applyBorder="1" applyAlignment="1">
      <alignment horizontal="left"/>
    </xf>
    <xf numFmtId="3" fontId="14" fillId="12" borderId="8" xfId="7" applyNumberFormat="1" applyFont="1" applyFill="1" applyBorder="1" applyAlignment="1">
      <alignment horizontal="center"/>
    </xf>
    <xf numFmtId="0" fontId="14" fillId="12" borderId="42" xfId="7" applyFont="1" applyFill="1" applyBorder="1" applyAlignment="1">
      <alignment horizontal="center"/>
    </xf>
    <xf numFmtId="0" fontId="11" fillId="0" borderId="36" xfId="7" applyFont="1" applyBorder="1" applyAlignment="1">
      <alignment horizontal="center"/>
    </xf>
    <xf numFmtId="0" fontId="11" fillId="0" borderId="37" xfId="7" applyFont="1" applyBorder="1" applyAlignment="1">
      <alignment horizontal="center"/>
    </xf>
    <xf numFmtId="0" fontId="11" fillId="0" borderId="38" xfId="7" applyFont="1" applyBorder="1" applyAlignment="1">
      <alignment horizontal="center"/>
    </xf>
    <xf numFmtId="0" fontId="11" fillId="0" borderId="33" xfId="7" applyFont="1" applyBorder="1" applyAlignment="1">
      <alignment horizontal="left"/>
    </xf>
    <xf numFmtId="0" fontId="11" fillId="0" borderId="0" xfId="7" applyFont="1" applyAlignment="1">
      <alignment horizontal="left"/>
    </xf>
    <xf numFmtId="0" fontId="11" fillId="0" borderId="17" xfId="7" applyFont="1" applyBorder="1" applyAlignment="1">
      <alignment horizontal="left"/>
    </xf>
    <xf numFmtId="0" fontId="11" fillId="0" borderId="52" xfId="7" applyFont="1" applyBorder="1" applyAlignment="1">
      <alignment horizontal="center"/>
    </xf>
    <xf numFmtId="0" fontId="11" fillId="0" borderId="0" xfId="7" applyFont="1" applyAlignment="1">
      <alignment horizontal="center"/>
    </xf>
    <xf numFmtId="0" fontId="11" fillId="0" borderId="17" xfId="7" applyFont="1" applyBorder="1" applyAlignment="1">
      <alignment horizontal="center"/>
    </xf>
    <xf numFmtId="0" fontId="14" fillId="16" borderId="52" xfId="7" applyFont="1" applyFill="1" applyBorder="1" applyAlignment="1">
      <alignment horizontal="center"/>
    </xf>
    <xf numFmtId="0" fontId="14" fillId="16" borderId="0" xfId="7" applyFont="1" applyFill="1" applyAlignment="1">
      <alignment horizontal="center"/>
    </xf>
    <xf numFmtId="0" fontId="14" fillId="16" borderId="17" xfId="7" applyFont="1" applyFill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4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66" xfId="7" applyBorder="1" applyAlignment="1">
      <alignment horizontal="left" vertical="center" wrapText="1"/>
    </xf>
    <xf numFmtId="0" fontId="11" fillId="0" borderId="44" xfId="7" applyFont="1" applyBorder="1" applyAlignment="1">
      <alignment horizontal="center" vertical="center"/>
    </xf>
    <xf numFmtId="0" fontId="11" fillId="0" borderId="53" xfId="7" applyFont="1" applyBorder="1" applyAlignment="1">
      <alignment horizontal="center" vertical="center"/>
    </xf>
    <xf numFmtId="37" fontId="21" fillId="0" borderId="45" xfId="7" applyNumberFormat="1" applyFont="1" applyBorder="1" applyAlignment="1">
      <alignment horizontal="center" vertical="center" shrinkToFit="1"/>
    </xf>
    <xf numFmtId="37" fontId="21" fillId="0" borderId="46" xfId="7" applyNumberFormat="1" applyFont="1" applyBorder="1" applyAlignment="1">
      <alignment horizontal="center" vertical="center" shrinkToFit="1"/>
    </xf>
    <xf numFmtId="37" fontId="21" fillId="0" borderId="29" xfId="7" applyNumberFormat="1" applyFont="1" applyBorder="1" applyAlignment="1">
      <alignment horizontal="center" vertical="center" shrinkToFit="1"/>
    </xf>
    <xf numFmtId="37" fontId="21" fillId="0" borderId="47" xfId="7" applyNumberFormat="1" applyFont="1" applyBorder="1" applyAlignment="1">
      <alignment horizontal="center" vertical="center" shrinkToFit="1"/>
    </xf>
    <xf numFmtId="0" fontId="11" fillId="0" borderId="65" xfId="7" applyFont="1" applyBorder="1" applyAlignment="1">
      <alignment horizontal="center" vertical="center"/>
    </xf>
    <xf numFmtId="1" fontId="14" fillId="0" borderId="57" xfId="7" applyNumberFormat="1" applyFont="1" applyBorder="1" applyAlignment="1">
      <alignment horizontal="center" vertical="center"/>
    </xf>
    <xf numFmtId="1" fontId="14" fillId="0" borderId="80" xfId="7" applyNumberFormat="1" applyFont="1" applyBorder="1" applyAlignment="1">
      <alignment horizontal="center" vertical="center"/>
    </xf>
    <xf numFmtId="0" fontId="11" fillId="0" borderId="54" xfId="7" applyFont="1" applyBorder="1" applyAlignment="1">
      <alignment horizontal="left"/>
    </xf>
    <xf numFmtId="0" fontId="11" fillId="0" borderId="44" xfId="7" applyFont="1" applyBorder="1" applyAlignment="1">
      <alignment horizontal="center"/>
    </xf>
    <xf numFmtId="0" fontId="11" fillId="0" borderId="46" xfId="7" applyFont="1" applyBorder="1" applyAlignment="1">
      <alignment horizontal="center"/>
    </xf>
    <xf numFmtId="16" fontId="11" fillId="0" borderId="0" xfId="7" quotePrefix="1" applyNumberFormat="1" applyFont="1" applyAlignment="1">
      <alignment horizontal="center"/>
    </xf>
    <xf numFmtId="0" fontId="11" fillId="0" borderId="45" xfId="7" applyFont="1" applyBorder="1" applyAlignment="1">
      <alignment horizontal="center"/>
    </xf>
    <xf numFmtId="0" fontId="11" fillId="0" borderId="63" xfId="7" applyFont="1" applyBorder="1" applyAlignment="1">
      <alignment horizontal="center"/>
    </xf>
    <xf numFmtId="187" fontId="14" fillId="16" borderId="52" xfId="7" applyNumberFormat="1" applyFont="1" applyFill="1" applyBorder="1" applyAlignment="1">
      <alignment horizontal="center" vertical="center"/>
    </xf>
    <xf numFmtId="187" fontId="14" fillId="16" borderId="54" xfId="7" applyNumberFormat="1" applyFont="1" applyFill="1" applyBorder="1" applyAlignment="1">
      <alignment horizontal="center" vertical="center"/>
    </xf>
    <xf numFmtId="187" fontId="14" fillId="16" borderId="65" xfId="7" applyNumberFormat="1" applyFont="1" applyFill="1" applyBorder="1" applyAlignment="1">
      <alignment horizontal="center" vertical="center"/>
    </xf>
    <xf numFmtId="187" fontId="14" fillId="16" borderId="66" xfId="7" applyNumberFormat="1" applyFont="1" applyFill="1" applyBorder="1" applyAlignment="1">
      <alignment horizontal="center" vertical="center"/>
    </xf>
    <xf numFmtId="0" fontId="14" fillId="16" borderId="52" xfId="7" applyFont="1" applyFill="1" applyBorder="1" applyAlignment="1">
      <alignment horizontal="center" vertical="center"/>
    </xf>
    <xf numFmtId="0" fontId="3" fillId="16" borderId="0" xfId="7" applyFill="1" applyAlignment="1">
      <alignment horizontal="center" vertical="center"/>
    </xf>
    <xf numFmtId="0" fontId="3" fillId="16" borderId="17" xfId="7" applyFill="1" applyBorder="1" applyAlignment="1">
      <alignment horizontal="center" vertical="center"/>
    </xf>
    <xf numFmtId="0" fontId="3" fillId="16" borderId="65" xfId="7" applyFill="1" applyBorder="1" applyAlignment="1">
      <alignment horizontal="center" vertical="center"/>
    </xf>
    <xf numFmtId="0" fontId="3" fillId="16" borderId="25" xfId="7" applyFill="1" applyBorder="1" applyAlignment="1">
      <alignment horizontal="center" vertical="center"/>
    </xf>
    <xf numFmtId="0" fontId="3" fillId="16" borderId="35" xfId="7" applyFill="1" applyBorder="1" applyAlignment="1">
      <alignment horizontal="center" vertical="center"/>
    </xf>
    <xf numFmtId="168" fontId="11" fillId="0" borderId="52" xfId="7" applyNumberFormat="1" applyFont="1" applyBorder="1" applyAlignment="1">
      <alignment horizontal="right"/>
    </xf>
    <xf numFmtId="168" fontId="11" fillId="0" borderId="54" xfId="7" applyNumberFormat="1" applyFont="1" applyBorder="1" applyAlignment="1">
      <alignment horizontal="right"/>
    </xf>
    <xf numFmtId="0" fontId="11" fillId="0" borderId="33" xfId="7" applyFont="1" applyBorder="1" applyAlignment="1">
      <alignment horizontal="center"/>
    </xf>
    <xf numFmtId="0" fontId="11" fillId="0" borderId="34" xfId="7" applyFont="1" applyBorder="1" applyAlignment="1">
      <alignment horizontal="center"/>
    </xf>
    <xf numFmtId="0" fontId="11" fillId="0" borderId="25" xfId="7" applyFont="1" applyBorder="1" applyAlignment="1">
      <alignment horizontal="center"/>
    </xf>
    <xf numFmtId="16" fontId="11" fillId="0" borderId="0" xfId="7" applyNumberFormat="1" applyFont="1" applyAlignment="1">
      <alignment horizontal="center"/>
    </xf>
    <xf numFmtId="0" fontId="11" fillId="0" borderId="73" xfId="7" applyFont="1" applyBorder="1" applyAlignment="1">
      <alignment horizontal="right"/>
    </xf>
    <xf numFmtId="0" fontId="11" fillId="0" borderId="45" xfId="7" applyFont="1" applyBorder="1" applyAlignment="1">
      <alignment horizontal="right"/>
    </xf>
    <xf numFmtId="0" fontId="11" fillId="0" borderId="63" xfId="7" applyFont="1" applyBorder="1" applyAlignment="1">
      <alignment horizontal="right"/>
    </xf>
    <xf numFmtId="0" fontId="13" fillId="0" borderId="2" xfId="7" applyFont="1" applyBorder="1" applyAlignment="1">
      <alignment horizontal="left" vertical="center"/>
    </xf>
    <xf numFmtId="0" fontId="13" fillId="0" borderId="3" xfId="7" applyFont="1" applyBorder="1" applyAlignment="1">
      <alignment horizontal="left" vertical="center"/>
    </xf>
    <xf numFmtId="0" fontId="13" fillId="0" borderId="33" xfId="7" applyFont="1" applyBorder="1" applyAlignment="1">
      <alignment horizontal="left" vertical="center"/>
    </xf>
    <xf numFmtId="0" fontId="13" fillId="0" borderId="0" xfId="7" applyFont="1" applyAlignment="1">
      <alignment horizontal="left" vertical="center"/>
    </xf>
    <xf numFmtId="0" fontId="13" fillId="0" borderId="17" xfId="7" applyFont="1" applyBorder="1" applyAlignment="1">
      <alignment horizontal="left" vertical="center"/>
    </xf>
    <xf numFmtId="0" fontId="13" fillId="0" borderId="73" xfId="7" applyFont="1" applyBorder="1" applyAlignment="1">
      <alignment horizontal="left" vertical="center" wrapText="1"/>
    </xf>
    <xf numFmtId="0" fontId="11" fillId="0" borderId="45" xfId="7" applyFont="1" applyBorder="1" applyAlignment="1">
      <alignment horizontal="left" vertical="center" wrapText="1"/>
    </xf>
    <xf numFmtId="0" fontId="11" fillId="0" borderId="63" xfId="7" applyFont="1" applyBorder="1" applyAlignment="1">
      <alignment horizontal="left" vertical="center" wrapText="1"/>
    </xf>
    <xf numFmtId="0" fontId="11" fillId="0" borderId="28" xfId="7" applyFont="1" applyBorder="1" applyAlignment="1">
      <alignment horizontal="left" vertical="center" wrapText="1"/>
    </xf>
    <xf numFmtId="0" fontId="11" fillId="0" borderId="29" xfId="7" applyFont="1" applyBorder="1" applyAlignment="1">
      <alignment horizontal="left" vertical="center" wrapText="1"/>
    </xf>
    <xf numFmtId="0" fontId="11" fillId="0" borderId="67" xfId="7" applyFont="1" applyBorder="1" applyAlignment="1">
      <alignment horizontal="left" vertical="center" wrapText="1"/>
    </xf>
    <xf numFmtId="0" fontId="13" fillId="0" borderId="33" xfId="7" applyFont="1" applyBorder="1" applyAlignment="1">
      <alignment horizontal="left"/>
    </xf>
    <xf numFmtId="0" fontId="13" fillId="0" borderId="0" xfId="7" applyFont="1" applyAlignment="1">
      <alignment horizontal="left"/>
    </xf>
    <xf numFmtId="0" fontId="13" fillId="0" borderId="17" xfId="7" applyFont="1" applyBorder="1" applyAlignment="1">
      <alignment horizontal="left"/>
    </xf>
    <xf numFmtId="0" fontId="13" fillId="0" borderId="73" xfId="7" applyFont="1" applyBorder="1" applyAlignment="1">
      <alignment horizontal="left" wrapText="1"/>
    </xf>
    <xf numFmtId="0" fontId="11" fillId="0" borderId="45" xfId="7" applyFont="1" applyBorder="1" applyAlignment="1">
      <alignment horizontal="left" wrapText="1"/>
    </xf>
    <xf numFmtId="0" fontId="11" fillId="0" borderId="63" xfId="7" applyFont="1" applyBorder="1" applyAlignment="1">
      <alignment horizontal="left" wrapText="1"/>
    </xf>
    <xf numFmtId="0" fontId="11" fillId="0" borderId="28" xfId="7" applyFont="1" applyBorder="1" applyAlignment="1">
      <alignment horizontal="left" wrapText="1"/>
    </xf>
    <xf numFmtId="0" fontId="11" fillId="0" borderId="29" xfId="7" applyFont="1" applyBorder="1" applyAlignment="1">
      <alignment horizontal="left" wrapText="1"/>
    </xf>
    <xf numFmtId="0" fontId="11" fillId="0" borderId="67" xfId="7" applyFont="1" applyBorder="1" applyAlignment="1">
      <alignment horizontal="left" wrapText="1"/>
    </xf>
    <xf numFmtId="0" fontId="13" fillId="0" borderId="45" xfId="7" applyFont="1" applyBorder="1" applyAlignment="1">
      <alignment horizontal="left" wrapText="1"/>
    </xf>
    <xf numFmtId="0" fontId="13" fillId="0" borderId="63" xfId="7" applyFont="1" applyBorder="1" applyAlignment="1">
      <alignment horizontal="left" wrapText="1"/>
    </xf>
    <xf numFmtId="0" fontId="13" fillId="0" borderId="28" xfId="7" applyFont="1" applyBorder="1" applyAlignment="1">
      <alignment horizontal="left" wrapText="1"/>
    </xf>
    <xf numFmtId="0" fontId="13" fillId="0" borderId="29" xfId="7" applyFont="1" applyBorder="1" applyAlignment="1">
      <alignment horizontal="left" wrapText="1"/>
    </xf>
    <xf numFmtId="0" fontId="13" fillId="0" borderId="67" xfId="7" applyFont="1" applyBorder="1" applyAlignment="1">
      <alignment horizontal="left" wrapText="1"/>
    </xf>
    <xf numFmtId="0" fontId="11" fillId="0" borderId="0" xfId="7" applyFont="1"/>
    <xf numFmtId="0" fontId="3" fillId="0" borderId="0" xfId="7"/>
    <xf numFmtId="0" fontId="3" fillId="0" borderId="54" xfId="7" applyBorder="1"/>
    <xf numFmtId="0" fontId="13" fillId="0" borderId="33" xfId="7" applyFont="1" applyBorder="1" applyAlignment="1">
      <alignment horizontal="left" wrapText="1"/>
    </xf>
    <xf numFmtId="0" fontId="13" fillId="0" borderId="0" xfId="7" applyFont="1" applyAlignment="1">
      <alignment horizontal="left" wrapText="1"/>
    </xf>
    <xf numFmtId="168" fontId="11" fillId="4" borderId="52" xfId="7" applyNumberFormat="1" applyFont="1" applyFill="1" applyBorder="1" applyAlignment="1">
      <alignment horizontal="right"/>
    </xf>
    <xf numFmtId="168" fontId="11" fillId="4" borderId="54" xfId="7" applyNumberFormat="1" applyFont="1" applyFill="1" applyBorder="1" applyAlignment="1">
      <alignment horizontal="right"/>
    </xf>
    <xf numFmtId="168" fontId="11" fillId="8" borderId="52" xfId="7" applyNumberFormat="1" applyFont="1" applyFill="1" applyBorder="1" applyAlignment="1">
      <alignment horizontal="right"/>
    </xf>
    <xf numFmtId="168" fontId="11" fillId="8" borderId="54" xfId="7" applyNumberFormat="1" applyFont="1" applyFill="1" applyBorder="1" applyAlignment="1">
      <alignment horizontal="right"/>
    </xf>
    <xf numFmtId="168" fontId="14" fillId="0" borderId="57" xfId="7" applyNumberFormat="1" applyFont="1" applyBorder="1" applyAlignment="1">
      <alignment horizontal="right" vertical="center"/>
    </xf>
    <xf numFmtId="168" fontId="14" fillId="0" borderId="51" xfId="7" applyNumberFormat="1" applyFont="1" applyBorder="1" applyAlignment="1">
      <alignment horizontal="right" vertical="center"/>
    </xf>
    <xf numFmtId="0" fontId="11" fillId="0" borderId="33" xfId="7" applyFont="1" applyBorder="1" applyAlignment="1">
      <alignment horizontal="left" vertical="center" wrapText="1"/>
    </xf>
    <xf numFmtId="0" fontId="3" fillId="0" borderId="33" xfId="7" applyBorder="1"/>
    <xf numFmtId="176" fontId="11" fillId="0" borderId="57" xfId="7" applyNumberFormat="1" applyFont="1" applyBorder="1" applyAlignment="1">
      <alignment horizontal="right" vertical="center"/>
    </xf>
    <xf numFmtId="176" fontId="3" fillId="0" borderId="51" xfId="7" applyNumberFormat="1" applyBorder="1" applyAlignment="1">
      <alignment horizontal="right" vertical="center"/>
    </xf>
    <xf numFmtId="168" fontId="8" fillId="0" borderId="44" xfId="7" applyNumberFormat="1" applyFont="1" applyBorder="1" applyAlignment="1">
      <alignment horizontal="center" vertical="center"/>
    </xf>
    <xf numFmtId="168" fontId="8" fillId="0" borderId="46" xfId="7" applyNumberFormat="1" applyFont="1" applyBorder="1" applyAlignment="1">
      <alignment horizontal="center" vertical="center"/>
    </xf>
    <xf numFmtId="168" fontId="8" fillId="0" borderId="53" xfId="7" applyNumberFormat="1" applyFont="1" applyBorder="1" applyAlignment="1">
      <alignment horizontal="center" vertical="center"/>
    </xf>
    <xf numFmtId="168" fontId="8" fillId="0" borderId="47" xfId="7" applyNumberFormat="1" applyFont="1" applyBorder="1" applyAlignment="1">
      <alignment horizontal="center" vertical="center"/>
    </xf>
    <xf numFmtId="0" fontId="11" fillId="0" borderId="29" xfId="7" applyFont="1" applyBorder="1" applyAlignment="1">
      <alignment horizontal="left"/>
    </xf>
    <xf numFmtId="0" fontId="11" fillId="0" borderId="47" xfId="7" applyFont="1" applyBorder="1" applyAlignment="1">
      <alignment horizontal="left"/>
    </xf>
    <xf numFmtId="168" fontId="11" fillId="0" borderId="53" xfId="7" applyNumberFormat="1" applyFont="1" applyBorder="1" applyAlignment="1">
      <alignment horizontal="right"/>
    </xf>
    <xf numFmtId="168" fontId="11" fillId="0" borderId="47" xfId="7" applyNumberFormat="1" applyFont="1" applyBorder="1" applyAlignment="1">
      <alignment horizontal="right"/>
    </xf>
    <xf numFmtId="0" fontId="3" fillId="0" borderId="34" xfId="7" applyBorder="1"/>
    <xf numFmtId="0" fontId="3" fillId="0" borderId="25" xfId="7" applyBorder="1"/>
    <xf numFmtId="0" fontId="3" fillId="0" borderId="66" xfId="7" applyBorder="1"/>
    <xf numFmtId="168" fontId="14" fillId="8" borderId="79" xfId="7" applyNumberFormat="1" applyFont="1" applyFill="1" applyBorder="1" applyAlignment="1">
      <alignment horizontal="right" vertical="center" wrapText="1"/>
    </xf>
    <xf numFmtId="168" fontId="14" fillId="8" borderId="80" xfId="7" applyNumberFormat="1" applyFont="1" applyFill="1" applyBorder="1" applyAlignment="1">
      <alignment horizontal="right" vertical="center" wrapText="1"/>
    </xf>
    <xf numFmtId="168" fontId="14" fillId="0" borderId="74" xfId="7" applyNumberFormat="1" applyFont="1" applyBorder="1" applyAlignment="1">
      <alignment horizontal="right" vertical="center"/>
    </xf>
    <xf numFmtId="0" fontId="3" fillId="0" borderId="75" xfId="7" applyBorder="1"/>
    <xf numFmtId="168" fontId="22" fillId="0" borderId="76" xfId="7" applyNumberFormat="1" applyFont="1" applyBorder="1" applyAlignment="1">
      <alignment horizontal="right" vertical="center" wrapText="1"/>
    </xf>
    <xf numFmtId="168" fontId="22" fillId="0" borderId="78" xfId="7" applyNumberFormat="1" applyFont="1" applyBorder="1" applyAlignment="1">
      <alignment horizontal="right" vertical="center" wrapText="1"/>
    </xf>
    <xf numFmtId="0" fontId="11" fillId="0" borderId="8" xfId="12" applyFont="1" applyBorder="1" applyAlignment="1">
      <alignment horizontal="left" vertical="center" wrapText="1"/>
    </xf>
    <xf numFmtId="0" fontId="11" fillId="0" borderId="40" xfId="12" applyFont="1" applyBorder="1" applyAlignment="1">
      <alignment horizontal="left" vertical="center" wrapText="1"/>
    </xf>
    <xf numFmtId="0" fontId="11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13" fillId="0" borderId="33" xfId="12" applyFont="1" applyBorder="1" applyAlignment="1">
      <alignment horizontal="center"/>
    </xf>
    <xf numFmtId="0" fontId="13" fillId="0" borderId="0" xfId="12" applyFont="1" applyAlignment="1">
      <alignment horizontal="center"/>
    </xf>
    <xf numFmtId="0" fontId="13" fillId="0" borderId="17" xfId="12" applyFont="1" applyBorder="1" applyAlignment="1">
      <alignment horizontal="center"/>
    </xf>
    <xf numFmtId="0" fontId="11" fillId="0" borderId="8" xfId="12" applyFont="1" applyBorder="1" applyAlignment="1">
      <alignment horizontal="left" vertical="top" wrapText="1"/>
    </xf>
    <xf numFmtId="0" fontId="11" fillId="0" borderId="40" xfId="12" applyFont="1" applyBorder="1" applyAlignment="1">
      <alignment horizontal="left" vertical="top" wrapText="1"/>
    </xf>
    <xf numFmtId="0" fontId="11" fillId="0" borderId="42" xfId="12" applyFont="1" applyBorder="1" applyAlignment="1">
      <alignment horizontal="left" vertical="top" wrapText="1"/>
    </xf>
    <xf numFmtId="0" fontId="13" fillId="0" borderId="33" xfId="7" applyFont="1" applyBorder="1" applyAlignment="1">
      <alignment horizontal="center"/>
    </xf>
    <xf numFmtId="0" fontId="13" fillId="0" borderId="0" xfId="7" applyFont="1" applyAlignment="1">
      <alignment horizontal="center"/>
    </xf>
    <xf numFmtId="0" fontId="13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11" borderId="7" xfId="7" applyFont="1" applyFill="1" applyBorder="1" applyAlignment="1">
      <alignment horizontal="left" vertical="center"/>
    </xf>
    <xf numFmtId="0" fontId="4" fillId="11" borderId="8" xfId="7" applyFont="1" applyFill="1" applyBorder="1" applyAlignment="1">
      <alignment horizontal="left" vertical="center"/>
    </xf>
    <xf numFmtId="0" fontId="4" fillId="11" borderId="10" xfId="7" applyFont="1" applyFill="1" applyBorder="1" applyAlignment="1">
      <alignment horizontal="left" vertical="center"/>
    </xf>
    <xf numFmtId="0" fontId="4" fillId="11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13" fillId="0" borderId="33" xfId="7" applyFont="1" applyBorder="1" applyAlignment="1">
      <alignment horizontal="center" vertical="center"/>
    </xf>
    <xf numFmtId="0" fontId="13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1" xfId="7" applyFont="1" applyBorder="1" applyAlignment="1">
      <alignment horizontal="center" vertical="center"/>
    </xf>
    <xf numFmtId="0" fontId="4" fillId="0" borderId="2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34" xfId="7" applyFont="1" applyBorder="1" applyAlignment="1">
      <alignment horizontal="center" vertical="center"/>
    </xf>
    <xf numFmtId="0" fontId="4" fillId="0" borderId="25" xfId="7" applyFont="1" applyBorder="1" applyAlignment="1">
      <alignment horizontal="center" vertical="center"/>
    </xf>
    <xf numFmtId="0" fontId="4" fillId="0" borderId="66" xfId="7" applyFont="1" applyBorder="1" applyAlignment="1">
      <alignment horizontal="center" vertical="center"/>
    </xf>
    <xf numFmtId="181" fontId="4" fillId="0" borderId="27" xfId="7" applyNumberFormat="1" applyFont="1" applyBorder="1" applyAlignment="1">
      <alignment horizontal="center" vertical="center" wrapText="1"/>
    </xf>
    <xf numFmtId="181" fontId="4" fillId="0" borderId="69" xfId="7" applyNumberFormat="1" applyFont="1" applyBorder="1" applyAlignment="1">
      <alignment horizontal="center" vertical="center" wrapText="1"/>
    </xf>
    <xf numFmtId="0" fontId="4" fillId="0" borderId="2" xfId="7" applyFont="1" applyBorder="1" applyAlignment="1">
      <alignment horizontal="center"/>
    </xf>
    <xf numFmtId="0" fontId="4" fillId="0" borderId="1" xfId="7" applyFont="1" applyBorder="1" applyAlignment="1">
      <alignment horizontal="center"/>
    </xf>
    <xf numFmtId="0" fontId="4" fillId="0" borderId="3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187" fontId="4" fillId="0" borderId="40" xfId="7" applyNumberFormat="1" applyFont="1" applyBorder="1" applyAlignment="1">
      <alignment horizontal="center" vertical="center"/>
    </xf>
    <xf numFmtId="4" fontId="42" fillId="0" borderId="36" xfId="7" applyNumberFormat="1" applyFont="1" applyBorder="1" applyAlignment="1">
      <alignment horizontal="center" vertical="center" wrapText="1"/>
    </xf>
    <xf numFmtId="4" fontId="42" fillId="0" borderId="38" xfId="7" applyNumberFormat="1" applyFont="1" applyBorder="1" applyAlignment="1">
      <alignment horizontal="center" vertical="center" wrapText="1"/>
    </xf>
    <xf numFmtId="0" fontId="4" fillId="23" borderId="21" xfId="7" applyFont="1" applyFill="1" applyBorder="1" applyAlignment="1">
      <alignment horizontal="left" vertical="center" wrapText="1"/>
    </xf>
    <xf numFmtId="0" fontId="4" fillId="23" borderId="22" xfId="7" applyFont="1" applyFill="1" applyBorder="1" applyAlignment="1">
      <alignment horizontal="left" vertical="center" wrapText="1"/>
    </xf>
    <xf numFmtId="0" fontId="4" fillId="23" borderId="24" xfId="7" applyFont="1" applyFill="1" applyBorder="1" applyAlignment="1">
      <alignment horizontal="left" vertical="center" wrapText="1"/>
    </xf>
    <xf numFmtId="0" fontId="40" fillId="0" borderId="2" xfId="7" applyFont="1" applyBorder="1" applyAlignment="1">
      <alignment horizontal="left" vertical="center" wrapText="1"/>
    </xf>
    <xf numFmtId="0" fontId="3" fillId="0" borderId="7" xfId="7" applyBorder="1" applyAlignment="1">
      <alignment horizontal="center"/>
    </xf>
    <xf numFmtId="0" fontId="3" fillId="0" borderId="7" xfId="7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3" fillId="7" borderId="7" xfId="7" applyFill="1" applyBorder="1" applyAlignment="1" applyProtection="1">
      <alignment horizontal="left" wrapText="1"/>
      <protection locked="0"/>
    </xf>
    <xf numFmtId="0" fontId="41" fillId="0" borderId="0" xfId="7" applyFont="1" applyAlignment="1">
      <alignment horizontal="center"/>
    </xf>
    <xf numFmtId="0" fontId="3" fillId="18" borderId="15" xfId="7" applyFill="1" applyBorder="1" applyAlignment="1" applyProtection="1">
      <alignment horizontal="left" vertical="center"/>
      <protection locked="0"/>
    </xf>
    <xf numFmtId="0" fontId="3" fillId="18" borderId="7" xfId="7" applyFill="1" applyBorder="1" applyAlignment="1" applyProtection="1">
      <alignment horizontal="left" vertical="center"/>
      <protection locked="0"/>
    </xf>
    <xf numFmtId="0" fontId="3" fillId="18" borderId="39" xfId="7" applyFill="1" applyBorder="1" applyAlignment="1" applyProtection="1">
      <alignment horizontal="left" vertical="center"/>
      <protection locked="0"/>
    </xf>
    <xf numFmtId="0" fontId="3" fillId="18" borderId="40" xfId="7" applyFill="1" applyBorder="1" applyAlignment="1" applyProtection="1">
      <alignment horizontal="left" vertical="center"/>
      <protection locked="0"/>
    </xf>
    <xf numFmtId="0" fontId="3" fillId="18" borderId="42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3" fillId="18" borderId="39" xfId="7" applyFill="1" applyBorder="1" applyAlignment="1" applyProtection="1">
      <alignment horizontal="center" vertical="center"/>
      <protection locked="0"/>
    </xf>
    <xf numFmtId="0" fontId="3" fillId="18" borderId="40" xfId="7" applyFill="1" applyBorder="1" applyAlignment="1" applyProtection="1">
      <alignment horizontal="center" vertical="center"/>
      <protection locked="0"/>
    </xf>
    <xf numFmtId="0" fontId="3" fillId="18" borderId="42" xfId="7" applyFill="1" applyBorder="1" applyAlignment="1" applyProtection="1">
      <alignment horizontal="center" vertical="center"/>
      <protection locked="0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73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4" fillId="0" borderId="8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87" fontId="4" fillId="0" borderId="40" xfId="7" applyNumberFormat="1" applyFont="1" applyBorder="1" applyAlignment="1">
      <alignment horizontal="center" vertical="center" wrapText="1"/>
    </xf>
    <xf numFmtId="0" fontId="3" fillId="0" borderId="1" xfId="7" applyBorder="1" applyAlignment="1">
      <alignment horizontal="left" indent="2"/>
    </xf>
    <xf numFmtId="0" fontId="3" fillId="0" borderId="2" xfId="7" applyBorder="1" applyAlignment="1">
      <alignment horizontal="left" indent="2"/>
    </xf>
    <xf numFmtId="0" fontId="3" fillId="0" borderId="48" xfId="7" applyBorder="1" applyAlignment="1">
      <alignment horizontal="left" indent="2"/>
    </xf>
    <xf numFmtId="0" fontId="3" fillId="18" borderId="16" xfId="7" applyFill="1" applyBorder="1" applyAlignment="1" applyProtection="1">
      <alignment horizontal="left" vertical="center"/>
      <protection locked="0"/>
    </xf>
    <xf numFmtId="0" fontId="3" fillId="18" borderId="10" xfId="7" applyFill="1" applyBorder="1" applyAlignment="1" applyProtection="1">
      <alignment horizontal="left" vertical="center"/>
      <protection locked="0"/>
    </xf>
    <xf numFmtId="0" fontId="3" fillId="0" borderId="21" xfId="7" applyBorder="1" applyAlignment="1">
      <alignment horizontal="center"/>
    </xf>
    <xf numFmtId="0" fontId="3" fillId="0" borderId="22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15" xfId="7" applyFont="1" applyBorder="1" applyAlignment="1">
      <alignment horizontal="left" vertical="center"/>
    </xf>
    <xf numFmtId="0" fontId="4" fillId="0" borderId="7" xfId="7" applyFont="1" applyBorder="1" applyAlignment="1">
      <alignment horizontal="left" vertical="center"/>
    </xf>
    <xf numFmtId="0" fontId="3" fillId="7" borderId="28" xfId="7" applyFill="1" applyBorder="1" applyAlignment="1">
      <alignment horizontal="left" indent="2"/>
    </xf>
    <xf numFmtId="0" fontId="3" fillId="7" borderId="29" xfId="7" applyFill="1" applyBorder="1" applyAlignment="1">
      <alignment horizontal="left" indent="2"/>
    </xf>
    <xf numFmtId="0" fontId="3" fillId="7" borderId="47" xfId="7" applyFill="1" applyBorder="1" applyAlignment="1">
      <alignment horizontal="left" indent="2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7" borderId="39" xfId="7" applyFill="1" applyBorder="1" applyAlignment="1">
      <alignment horizontal="left" indent="2"/>
    </xf>
    <xf numFmtId="0" fontId="3" fillId="7" borderId="40" xfId="7" applyFill="1" applyBorder="1" applyAlignment="1">
      <alignment horizontal="left" indent="2"/>
    </xf>
    <xf numFmtId="0" fontId="3" fillId="7" borderId="42" xfId="7" applyFill="1" applyBorder="1" applyAlignment="1">
      <alignment horizontal="left" indent="2"/>
    </xf>
    <xf numFmtId="0" fontId="3" fillId="7" borderId="73" xfId="7" applyFill="1" applyBorder="1" applyAlignment="1">
      <alignment horizontal="left" indent="2"/>
    </xf>
    <xf numFmtId="0" fontId="3" fillId="7" borderId="45" xfId="7" applyFill="1" applyBorder="1" applyAlignment="1">
      <alignment horizontal="left" indent="2"/>
    </xf>
    <xf numFmtId="0" fontId="3" fillId="7" borderId="46" xfId="7" applyFill="1" applyBorder="1" applyAlignment="1">
      <alignment horizontal="left" indent="2"/>
    </xf>
    <xf numFmtId="0" fontId="3" fillId="0" borderId="31" xfId="7" applyBorder="1" applyAlignment="1">
      <alignment horizontal="left" indent="2"/>
    </xf>
    <xf numFmtId="0" fontId="3" fillId="0" borderId="32" xfId="7" applyBorder="1" applyAlignment="1">
      <alignment horizontal="left" indent="2"/>
    </xf>
    <xf numFmtId="0" fontId="3" fillId="0" borderId="81" xfId="7" applyBorder="1" applyAlignment="1">
      <alignment horizontal="left" indent="2"/>
    </xf>
    <xf numFmtId="0" fontId="3" fillId="0" borderId="1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81" xfId="7" applyBorder="1" applyAlignment="1">
      <alignment horizontal="center"/>
    </xf>
    <xf numFmtId="0" fontId="3" fillId="13" borderId="28" xfId="7" applyFill="1" applyBorder="1" applyAlignment="1">
      <alignment horizontal="left" indent="2"/>
    </xf>
    <xf numFmtId="0" fontId="3" fillId="13" borderId="29" xfId="7" applyFill="1" applyBorder="1" applyAlignment="1">
      <alignment horizontal="left" indent="2"/>
    </xf>
    <xf numFmtId="0" fontId="3" fillId="13" borderId="47" xfId="7" applyFill="1" applyBorder="1" applyAlignment="1">
      <alignment horizontal="left" indent="2"/>
    </xf>
    <xf numFmtId="0" fontId="3" fillId="13" borderId="28" xfId="7" applyFill="1" applyBorder="1" applyAlignment="1">
      <alignment horizontal="left" indent="1"/>
    </xf>
    <xf numFmtId="0" fontId="3" fillId="13" borderId="29" xfId="7" applyFill="1" applyBorder="1" applyAlignment="1">
      <alignment horizontal="left" indent="1"/>
    </xf>
    <xf numFmtId="0" fontId="3" fillId="13" borderId="47" xfId="7" applyFill="1" applyBorder="1" applyAlignment="1">
      <alignment horizontal="left" indent="1"/>
    </xf>
    <xf numFmtId="0" fontId="4" fillId="13" borderId="28" xfId="7" applyFont="1" applyFill="1" applyBorder="1" applyAlignment="1">
      <alignment horizontal="left" vertical="center"/>
    </xf>
    <xf numFmtId="0" fontId="4" fillId="13" borderId="29" xfId="7" applyFont="1" applyFill="1" applyBorder="1" applyAlignment="1">
      <alignment horizontal="left" vertical="center"/>
    </xf>
    <xf numFmtId="0" fontId="4" fillId="13" borderId="47" xfId="7" applyFont="1" applyFill="1" applyBorder="1" applyAlignment="1">
      <alignment horizontal="left" vertical="center"/>
    </xf>
    <xf numFmtId="0" fontId="3" fillId="13" borderId="15" xfId="7" applyFill="1" applyBorder="1" applyAlignment="1">
      <alignment horizontal="left" indent="2"/>
    </xf>
    <xf numFmtId="0" fontId="3" fillId="13" borderId="7" xfId="7" applyFill="1" applyBorder="1" applyAlignment="1">
      <alignment horizontal="left" indent="2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3" fillId="13" borderId="39" xfId="7" applyFill="1" applyBorder="1" applyAlignment="1">
      <alignment horizontal="center"/>
    </xf>
    <xf numFmtId="0" fontId="3" fillId="13" borderId="40" xfId="7" applyFill="1" applyBorder="1" applyAlignment="1">
      <alignment horizontal="center"/>
    </xf>
    <xf numFmtId="0" fontId="3" fillId="13" borderId="42" xfId="7" applyFill="1" applyBorder="1" applyAlignment="1">
      <alignment horizontal="center"/>
    </xf>
    <xf numFmtId="0" fontId="3" fillId="0" borderId="0" xfId="7" applyAlignment="1">
      <alignment horizontal="center"/>
    </xf>
    <xf numFmtId="0" fontId="4" fillId="24" borderId="21" xfId="7" applyFont="1" applyFill="1" applyBorder="1" applyAlignment="1">
      <alignment horizontal="center"/>
    </xf>
    <xf numFmtId="0" fontId="4" fillId="24" borderId="22" xfId="7" applyFont="1" applyFill="1" applyBorder="1" applyAlignment="1">
      <alignment horizontal="center"/>
    </xf>
    <xf numFmtId="0" fontId="4" fillId="24" borderId="24" xfId="7" applyFont="1" applyFill="1" applyBorder="1" applyAlignment="1">
      <alignment horizontal="center"/>
    </xf>
    <xf numFmtId="0" fontId="3" fillId="11" borderId="21" xfId="7" applyFill="1" applyBorder="1" applyAlignment="1">
      <alignment horizontal="center"/>
    </xf>
    <xf numFmtId="0" fontId="3" fillId="11" borderId="22" xfId="7" applyFill="1" applyBorder="1" applyAlignment="1">
      <alignment horizontal="center"/>
    </xf>
    <xf numFmtId="0" fontId="3" fillId="11" borderId="24" xfId="7" applyFill="1" applyBorder="1" applyAlignment="1">
      <alignment horizontal="center"/>
    </xf>
    <xf numFmtId="0" fontId="4" fillId="11" borderId="22" xfId="7" applyFont="1" applyFill="1" applyBorder="1" applyAlignment="1">
      <alignment horizontal="center"/>
    </xf>
    <xf numFmtId="0" fontId="4" fillId="11" borderId="24" xfId="7" applyFont="1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9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82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24" fillId="0" borderId="57" xfId="7" applyNumberFormat="1" applyFont="1" applyBorder="1" applyAlignment="1">
      <alignment horizontal="center" vertical="center"/>
    </xf>
    <xf numFmtId="37" fontId="24" fillId="0" borderId="59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67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24" fillId="11" borderId="7" xfId="7" applyNumberFormat="1" applyFont="1" applyFill="1" applyBorder="1" applyAlignment="1">
      <alignment horizontal="center" vertical="center"/>
    </xf>
    <xf numFmtId="0" fontId="24" fillId="11" borderId="7" xfId="7" applyFont="1" applyFill="1" applyBorder="1" applyAlignment="1">
      <alignment horizontal="center" vertical="center"/>
    </xf>
    <xf numFmtId="0" fontId="24" fillId="11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0" fontId="26" fillId="0" borderId="2" xfId="7" applyFont="1" applyBorder="1" applyAlignment="1">
      <alignment horizontal="center" vertical="center" wrapText="1"/>
    </xf>
    <xf numFmtId="0" fontId="26" fillId="0" borderId="28" xfId="7" applyFont="1" applyBorder="1" applyAlignment="1">
      <alignment horizontal="center" vertical="center" wrapText="1"/>
    </xf>
    <xf numFmtId="0" fontId="26" fillId="0" borderId="29" xfId="7" applyFont="1" applyBorder="1" applyAlignment="1">
      <alignment horizontal="center" vertical="center" wrapText="1"/>
    </xf>
    <xf numFmtId="0" fontId="26" fillId="0" borderId="3" xfId="7" applyFont="1" applyBorder="1" applyAlignment="1">
      <alignment horizontal="center" vertical="center" wrapText="1"/>
    </xf>
    <xf numFmtId="0" fontId="26" fillId="0" borderId="67" xfId="7" applyFont="1" applyBorder="1" applyAlignment="1">
      <alignment horizontal="center" vertical="center" wrapText="1"/>
    </xf>
    <xf numFmtId="0" fontId="25" fillId="0" borderId="52" xfId="7" applyFont="1" applyBorder="1" applyAlignment="1">
      <alignment vertical="center"/>
    </xf>
    <xf numFmtId="0" fontId="25" fillId="0" borderId="0" xfId="7" applyFont="1" applyAlignment="1">
      <alignment vertical="center"/>
    </xf>
    <xf numFmtId="0" fontId="26" fillId="0" borderId="15" xfId="7" applyFont="1" applyBorder="1" applyAlignment="1">
      <alignment horizontal="center" vertical="center"/>
    </xf>
    <xf numFmtId="0" fontId="26" fillId="0" borderId="7" xfId="7" applyFont="1" applyBorder="1" applyAlignment="1">
      <alignment horizontal="center" vertical="center"/>
    </xf>
    <xf numFmtId="0" fontId="25" fillId="0" borderId="53" xfId="7" applyFont="1" applyBorder="1" applyAlignment="1">
      <alignment vertical="center"/>
    </xf>
    <xf numFmtId="0" fontId="25" fillId="0" borderId="29" xfId="7" applyFont="1" applyBorder="1" applyAlignment="1">
      <alignment vertical="center"/>
    </xf>
    <xf numFmtId="0" fontId="26" fillId="0" borderId="16" xfId="7" applyFont="1" applyBorder="1" applyAlignment="1">
      <alignment horizontal="center" vertical="center"/>
    </xf>
    <xf numFmtId="0" fontId="26" fillId="0" borderId="10" xfId="7" applyFont="1" applyBorder="1" applyAlignment="1">
      <alignment horizontal="center" vertical="center"/>
    </xf>
    <xf numFmtId="37" fontId="24" fillId="0" borderId="10" xfId="7" applyNumberFormat="1" applyFont="1" applyBorder="1" applyAlignment="1">
      <alignment horizontal="center" vertical="center"/>
    </xf>
    <xf numFmtId="37" fontId="24" fillId="0" borderId="12" xfId="7" applyNumberFormat="1" applyFont="1" applyBorder="1" applyAlignment="1">
      <alignment horizontal="center" vertical="center"/>
    </xf>
    <xf numFmtId="0" fontId="25" fillId="0" borderId="44" xfId="7" applyFont="1" applyBorder="1" applyAlignment="1">
      <alignment horizontal="left" vertical="center"/>
    </xf>
    <xf numFmtId="0" fontId="25" fillId="0" borderId="45" xfId="7" applyFont="1" applyBorder="1" applyAlignment="1">
      <alignment horizontal="left" vertical="center"/>
    </xf>
    <xf numFmtId="0" fontId="25" fillId="0" borderId="45" xfId="7" applyFont="1" applyBorder="1" applyAlignment="1">
      <alignment vertical="center"/>
    </xf>
    <xf numFmtId="0" fontId="25" fillId="0" borderId="1" xfId="7" applyFont="1" applyBorder="1" applyAlignment="1">
      <alignment horizontal="left" vertical="center"/>
    </xf>
    <xf numFmtId="0" fontId="25" fillId="0" borderId="2" xfId="7" applyFont="1" applyBorder="1" applyAlignment="1">
      <alignment horizontal="left" vertical="center"/>
    </xf>
    <xf numFmtId="0" fontId="25" fillId="0" borderId="2" xfId="7" applyFont="1" applyBorder="1" applyAlignment="1">
      <alignment vertical="center"/>
    </xf>
    <xf numFmtId="0" fontId="25" fillId="0" borderId="33" xfId="7" applyFont="1" applyBorder="1" applyAlignment="1">
      <alignment vertical="center"/>
    </xf>
    <xf numFmtId="0" fontId="25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60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8" fillId="0" borderId="33" xfId="7" applyFont="1" applyBorder="1" applyAlignment="1">
      <alignment horizontal="right"/>
    </xf>
    <xf numFmtId="0" fontId="8" fillId="0" borderId="0" xfId="7" applyFont="1" applyAlignment="1">
      <alignment horizontal="right"/>
    </xf>
    <xf numFmtId="0" fontId="3" fillId="13" borderId="29" xfId="7" applyFill="1" applyBorder="1" applyAlignment="1">
      <alignment horizontal="center"/>
    </xf>
    <xf numFmtId="0" fontId="8" fillId="13" borderId="29" xfId="7" applyFont="1" applyFill="1" applyBorder="1" applyAlignment="1">
      <alignment horizontal="right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13" fillId="0" borderId="2" xfId="7" applyFont="1" applyBorder="1" applyAlignment="1">
      <alignment horizontal="center"/>
    </xf>
    <xf numFmtId="0" fontId="13" fillId="0" borderId="3" xfId="7" applyFont="1" applyBorder="1" applyAlignment="1">
      <alignment horizontal="center"/>
    </xf>
    <xf numFmtId="0" fontId="3" fillId="9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9" borderId="53" xfId="7" applyFill="1" applyBorder="1" applyAlignment="1">
      <alignment horizontal="center" vertical="center"/>
    </xf>
    <xf numFmtId="0" fontId="3" fillId="9" borderId="67" xfId="7" applyFill="1" applyBorder="1" applyAlignment="1">
      <alignment horizontal="center" vertical="center"/>
    </xf>
    <xf numFmtId="0" fontId="3" fillId="13" borderId="7" xfId="7" applyFill="1" applyBorder="1" applyAlignment="1">
      <alignment horizontal="center" vertical="center"/>
    </xf>
    <xf numFmtId="0" fontId="3" fillId="9" borderId="8" xfId="7" applyFill="1" applyBorder="1" applyAlignment="1">
      <alignment horizontal="center" vertical="center"/>
    </xf>
    <xf numFmtId="0" fontId="3" fillId="9" borderId="41" xfId="7" applyFill="1" applyBorder="1" applyAlignment="1">
      <alignment horizontal="center" vertical="center"/>
    </xf>
    <xf numFmtId="0" fontId="3" fillId="13" borderId="7" xfId="7" applyFill="1" applyBorder="1" applyAlignment="1">
      <alignment horizontal="center"/>
    </xf>
    <xf numFmtId="0" fontId="3" fillId="9" borderId="7" xfId="7" applyFill="1" applyBorder="1" applyAlignment="1">
      <alignment horizontal="center" vertical="center"/>
    </xf>
    <xf numFmtId="0" fontId="4" fillId="0" borderId="84" xfId="7" applyFont="1" applyBorder="1" applyAlignment="1">
      <alignment horizontal="center" vertical="center"/>
    </xf>
    <xf numFmtId="0" fontId="4" fillId="0" borderId="83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80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69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14" borderId="51" xfId="7" applyFill="1" applyBorder="1" applyAlignment="1">
      <alignment horizontal="center"/>
    </xf>
    <xf numFmtId="0" fontId="3" fillId="0" borderId="33" xfId="7" applyBorder="1" applyAlignment="1">
      <alignment horizontal="center"/>
    </xf>
    <xf numFmtId="0" fontId="3" fillId="0" borderId="17" xfId="7" applyBorder="1" applyAlignment="1">
      <alignment horizontal="center"/>
    </xf>
    <xf numFmtId="0" fontId="3" fillId="13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14" borderId="23" xfId="7" applyFill="1" applyBorder="1" applyAlignment="1">
      <alignment horizontal="center"/>
    </xf>
    <xf numFmtId="0" fontId="3" fillId="14" borderId="82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45" fillId="0" borderId="0" xfId="0" applyFont="1" applyAlignment="1">
      <alignment horizontal="center"/>
    </xf>
  </cellXfs>
  <cellStyles count="22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 68" xfId="20" xr:uid="{00000000-0005-0000-0000-000011000000}"/>
    <cellStyle name="Normal_Payment Certificate Proforma" xfId="12" xr:uid="{00000000-0005-0000-0000-000012000000}"/>
    <cellStyle name="Percent" xfId="2" builtinId="5"/>
    <cellStyle name="Percent 2" xfId="6" xr:uid="{00000000-0005-0000-0000-000014000000}"/>
    <cellStyle name="Percent 5" xfId="21" xr:uid="{00000000-0005-0000-0000-000015000000}"/>
  </cellStyles>
  <dxfs count="125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  <color rgb="FFFFFF99"/>
      <color rgb="FF66FF33"/>
      <color rgb="FFABFFD5"/>
      <color rgb="FFCCFFFF"/>
      <color rgb="FFCDFFE6"/>
      <color rgb="FF66FFFF"/>
      <color rgb="FF66FFCC"/>
      <color rgb="FFF2007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1660072</xdr:colOff>
      <xdr:row>3</xdr:row>
      <xdr:rowOff>217971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1683262</xdr:colOff>
      <xdr:row>66</xdr:row>
      <xdr:rowOff>204365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  <sheetName val="Pricing_Schedule1"/>
      <sheetName val="Break_down1"/>
      <sheetName val="WORKINGS_MATRIX1"/>
      <sheetName val="Pricing_Schedule"/>
      <sheetName val="Break_down"/>
      <sheetName val="WORKINGS_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7">
    <tabColor rgb="FF0070C0"/>
    <pageSetUpPr fitToPage="1"/>
  </sheetPr>
  <dimension ref="B1:D27"/>
  <sheetViews>
    <sheetView tabSelected="1" view="pageBreakPreview" zoomScaleNormal="100" zoomScaleSheetLayoutView="100" workbookViewId="0">
      <selection activeCell="C23" sqref="C23"/>
    </sheetView>
  </sheetViews>
  <sheetFormatPr defaultColWidth="9.109375" defaultRowHeight="14.4"/>
  <cols>
    <col min="1" max="1" width="1.5546875" style="820" customWidth="1"/>
    <col min="2" max="2" width="13.5546875" style="820" customWidth="1"/>
    <col min="3" max="3" width="48.88671875" style="820" customWidth="1"/>
    <col min="4" max="4" width="43.44140625" style="820" customWidth="1"/>
    <col min="5" max="16384" width="9.109375" style="820"/>
  </cols>
  <sheetData>
    <row r="1" spans="2:4" ht="31.2">
      <c r="C1" s="821" t="s">
        <v>617</v>
      </c>
    </row>
    <row r="2" spans="2:4">
      <c r="D2" s="822"/>
    </row>
    <row r="3" spans="2:4" ht="18">
      <c r="C3" s="823" t="s">
        <v>427</v>
      </c>
      <c r="D3" s="847" t="s">
        <v>618</v>
      </c>
    </row>
    <row r="4" spans="2:4" ht="18">
      <c r="C4" s="823"/>
      <c r="D4" s="824"/>
    </row>
    <row r="5" spans="2:4" ht="50.4" customHeight="1">
      <c r="B5" s="825"/>
      <c r="C5" s="823" t="s">
        <v>426</v>
      </c>
      <c r="D5" s="848" t="s">
        <v>616</v>
      </c>
    </row>
    <row r="6" spans="2:4">
      <c r="B6" s="826"/>
      <c r="C6" s="826"/>
      <c r="D6" s="822"/>
    </row>
    <row r="7" spans="2:4" ht="22.8">
      <c r="C7" s="823" t="s">
        <v>428</v>
      </c>
      <c r="D7" s="540"/>
    </row>
    <row r="8" spans="2:4" ht="22.8">
      <c r="D8" s="827"/>
    </row>
    <row r="9" spans="2:4" ht="22.8">
      <c r="C9" s="823" t="s">
        <v>429</v>
      </c>
      <c r="D9" s="540">
        <v>15</v>
      </c>
    </row>
    <row r="10" spans="2:4" ht="22.8">
      <c r="D10" s="827"/>
    </row>
    <row r="11" spans="2:4" ht="22.8">
      <c r="C11" s="823" t="s">
        <v>430</v>
      </c>
      <c r="D11" s="541">
        <v>46232</v>
      </c>
    </row>
    <row r="12" spans="2:4" ht="22.8">
      <c r="D12" s="827"/>
    </row>
    <row r="13" spans="2:4" ht="22.8">
      <c r="C13" s="823" t="s">
        <v>432</v>
      </c>
      <c r="D13" s="828"/>
    </row>
    <row r="14" spans="2:4" ht="22.8">
      <c r="D14" s="827"/>
    </row>
    <row r="15" spans="2:4" ht="22.8">
      <c r="C15" s="823" t="s">
        <v>490</v>
      </c>
      <c r="D15" s="829"/>
    </row>
    <row r="16" spans="2:4" ht="22.8">
      <c r="C16" s="823" t="s">
        <v>440</v>
      </c>
      <c r="D16" s="830"/>
    </row>
    <row r="17" spans="2:4" ht="22.8">
      <c r="C17" s="823" t="s">
        <v>435</v>
      </c>
      <c r="D17" s="542">
        <v>150000</v>
      </c>
    </row>
    <row r="18" spans="2:4">
      <c r="B18" s="831"/>
      <c r="C18" s="831"/>
      <c r="D18" s="831"/>
    </row>
    <row r="19" spans="2:4">
      <c r="B19" s="832" t="s">
        <v>0</v>
      </c>
      <c r="C19" s="832"/>
      <c r="D19" s="833"/>
    </row>
    <row r="20" spans="2:4" ht="15" thickBot="1">
      <c r="D20" s="822"/>
    </row>
    <row r="21" spans="2:4" ht="15" thickBot="1">
      <c r="B21" s="853" t="s">
        <v>399</v>
      </c>
      <c r="C21" s="854"/>
      <c r="D21" s="855"/>
    </row>
    <row r="22" spans="2:4" ht="28.8">
      <c r="B22" s="834" t="s">
        <v>24</v>
      </c>
      <c r="C22" s="835" t="s">
        <v>48</v>
      </c>
      <c r="D22" s="836" t="s">
        <v>401</v>
      </c>
    </row>
    <row r="23" spans="2:4" ht="27.6">
      <c r="B23" s="837" t="s">
        <v>619</v>
      </c>
      <c r="C23" s="543"/>
      <c r="D23" s="839" t="s">
        <v>491</v>
      </c>
    </row>
    <row r="24" spans="2:4">
      <c r="B24" s="837"/>
      <c r="C24" s="838"/>
      <c r="D24" s="840" t="s">
        <v>442</v>
      </c>
    </row>
    <row r="25" spans="2:4">
      <c r="B25" s="837"/>
      <c r="C25" s="838"/>
      <c r="D25" s="840" t="s">
        <v>443</v>
      </c>
    </row>
    <row r="26" spans="2:4">
      <c r="B26" s="841"/>
      <c r="C26" s="842"/>
      <c r="D26" s="843" t="s">
        <v>444</v>
      </c>
    </row>
    <row r="27" spans="2:4" ht="15" thickBot="1">
      <c r="B27" s="844"/>
      <c r="C27" s="845"/>
      <c r="D27" s="846" t="s">
        <v>444</v>
      </c>
    </row>
  </sheetData>
  <sheetProtection algorithmName="SHA-512" hashValue="nd9v2EDUlDKjfRTbjG6Pr+oVzsZoPYkbpKIkr03GQDBbGLzlTt6npJ+8lJKgQRZ3iQ1i5+Cz/NJLVDIEG0Ag8w==" saltValue="GEF1qvd8+ih8LAuTQjevSg==" spinCount="100000" sheet="1" objects="1" scenarios="1"/>
  <mergeCells count="1">
    <mergeCell ref="B21:D21"/>
  </mergeCells>
  <conditionalFormatting sqref="B23:B27">
    <cfRule type="containsBlanks" dxfId="122" priority="6">
      <formula>LEN(TRIM(B23))=0</formula>
    </cfRule>
  </conditionalFormatting>
  <conditionalFormatting sqref="C23">
    <cfRule type="expression" dxfId="121" priority="5">
      <formula>B23=""</formula>
    </cfRule>
  </conditionalFormatting>
  <conditionalFormatting sqref="C24">
    <cfRule type="expression" dxfId="120" priority="4">
      <formula>B24=""</formula>
    </cfRule>
  </conditionalFormatting>
  <conditionalFormatting sqref="C25">
    <cfRule type="expression" dxfId="119" priority="3">
      <formula>B25=""</formula>
    </cfRule>
  </conditionalFormatting>
  <conditionalFormatting sqref="C26:C27">
    <cfRule type="expression" dxfId="118" priority="2">
      <formula>B26=""</formula>
    </cfRule>
  </conditionalFormatting>
  <conditionalFormatting sqref="D23:D27">
    <cfRule type="expression" dxfId="117" priority="1">
      <formula>B23=""</formula>
    </cfRule>
  </conditionalFormatting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tabColor rgb="FF0070C0"/>
    <pageSetUpPr fitToPage="1"/>
  </sheetPr>
  <dimension ref="A1:B11"/>
  <sheetViews>
    <sheetView workbookViewId="0">
      <selection activeCell="B11" sqref="B11"/>
    </sheetView>
  </sheetViews>
  <sheetFormatPr defaultRowHeight="13.2"/>
  <cols>
    <col min="1" max="1" width="21.44140625" style="2" customWidth="1"/>
    <col min="2" max="256" width="9.109375" style="2"/>
    <col min="257" max="257" width="21.44140625" style="2" customWidth="1"/>
    <col min="258" max="512" width="9.109375" style="2"/>
    <col min="513" max="513" width="21.44140625" style="2" customWidth="1"/>
    <col min="514" max="768" width="9.109375" style="2"/>
    <col min="769" max="769" width="21.44140625" style="2" customWidth="1"/>
    <col min="770" max="1024" width="9.109375" style="2"/>
    <col min="1025" max="1025" width="21.44140625" style="2" customWidth="1"/>
    <col min="1026" max="1280" width="9.109375" style="2"/>
    <col min="1281" max="1281" width="21.44140625" style="2" customWidth="1"/>
    <col min="1282" max="1536" width="9.109375" style="2"/>
    <col min="1537" max="1537" width="21.44140625" style="2" customWidth="1"/>
    <col min="1538" max="1792" width="9.109375" style="2"/>
    <col min="1793" max="1793" width="21.44140625" style="2" customWidth="1"/>
    <col min="1794" max="2048" width="9.109375" style="2"/>
    <col min="2049" max="2049" width="21.44140625" style="2" customWidth="1"/>
    <col min="2050" max="2304" width="9.109375" style="2"/>
    <col min="2305" max="2305" width="21.44140625" style="2" customWidth="1"/>
    <col min="2306" max="2560" width="9.109375" style="2"/>
    <col min="2561" max="2561" width="21.44140625" style="2" customWidth="1"/>
    <col min="2562" max="2816" width="9.109375" style="2"/>
    <col min="2817" max="2817" width="21.44140625" style="2" customWidth="1"/>
    <col min="2818" max="3072" width="9.109375" style="2"/>
    <col min="3073" max="3073" width="21.44140625" style="2" customWidth="1"/>
    <col min="3074" max="3328" width="9.109375" style="2"/>
    <col min="3329" max="3329" width="21.44140625" style="2" customWidth="1"/>
    <col min="3330" max="3584" width="9.109375" style="2"/>
    <col min="3585" max="3585" width="21.44140625" style="2" customWidth="1"/>
    <col min="3586" max="3840" width="9.109375" style="2"/>
    <col min="3841" max="3841" width="21.44140625" style="2" customWidth="1"/>
    <col min="3842" max="4096" width="9.109375" style="2"/>
    <col min="4097" max="4097" width="21.44140625" style="2" customWidth="1"/>
    <col min="4098" max="4352" width="9.109375" style="2"/>
    <col min="4353" max="4353" width="21.44140625" style="2" customWidth="1"/>
    <col min="4354" max="4608" width="9.109375" style="2"/>
    <col min="4609" max="4609" width="21.44140625" style="2" customWidth="1"/>
    <col min="4610" max="4864" width="9.109375" style="2"/>
    <col min="4865" max="4865" width="21.44140625" style="2" customWidth="1"/>
    <col min="4866" max="5120" width="9.109375" style="2"/>
    <col min="5121" max="5121" width="21.44140625" style="2" customWidth="1"/>
    <col min="5122" max="5376" width="9.109375" style="2"/>
    <col min="5377" max="5377" width="21.44140625" style="2" customWidth="1"/>
    <col min="5378" max="5632" width="9.109375" style="2"/>
    <col min="5633" max="5633" width="21.44140625" style="2" customWidth="1"/>
    <col min="5634" max="5888" width="9.109375" style="2"/>
    <col min="5889" max="5889" width="21.44140625" style="2" customWidth="1"/>
    <col min="5890" max="6144" width="9.109375" style="2"/>
    <col min="6145" max="6145" width="21.44140625" style="2" customWidth="1"/>
    <col min="6146" max="6400" width="9.109375" style="2"/>
    <col min="6401" max="6401" width="21.44140625" style="2" customWidth="1"/>
    <col min="6402" max="6656" width="9.109375" style="2"/>
    <col min="6657" max="6657" width="21.44140625" style="2" customWidth="1"/>
    <col min="6658" max="6912" width="9.109375" style="2"/>
    <col min="6913" max="6913" width="21.44140625" style="2" customWidth="1"/>
    <col min="6914" max="7168" width="9.109375" style="2"/>
    <col min="7169" max="7169" width="21.44140625" style="2" customWidth="1"/>
    <col min="7170" max="7424" width="9.109375" style="2"/>
    <col min="7425" max="7425" width="21.44140625" style="2" customWidth="1"/>
    <col min="7426" max="7680" width="9.109375" style="2"/>
    <col min="7681" max="7681" width="21.44140625" style="2" customWidth="1"/>
    <col min="7682" max="7936" width="9.109375" style="2"/>
    <col min="7937" max="7937" width="21.44140625" style="2" customWidth="1"/>
    <col min="7938" max="8192" width="9.109375" style="2"/>
    <col min="8193" max="8193" width="21.44140625" style="2" customWidth="1"/>
    <col min="8194" max="8448" width="9.109375" style="2"/>
    <col min="8449" max="8449" width="21.44140625" style="2" customWidth="1"/>
    <col min="8450" max="8704" width="9.109375" style="2"/>
    <col min="8705" max="8705" width="21.44140625" style="2" customWidth="1"/>
    <col min="8706" max="8960" width="9.109375" style="2"/>
    <col min="8961" max="8961" width="21.44140625" style="2" customWidth="1"/>
    <col min="8962" max="9216" width="9.109375" style="2"/>
    <col min="9217" max="9217" width="21.44140625" style="2" customWidth="1"/>
    <col min="9218" max="9472" width="9.109375" style="2"/>
    <col min="9473" max="9473" width="21.44140625" style="2" customWidth="1"/>
    <col min="9474" max="9728" width="9.109375" style="2"/>
    <col min="9729" max="9729" width="21.44140625" style="2" customWidth="1"/>
    <col min="9730" max="9984" width="9.109375" style="2"/>
    <col min="9985" max="9985" width="21.44140625" style="2" customWidth="1"/>
    <col min="9986" max="10240" width="9.109375" style="2"/>
    <col min="10241" max="10241" width="21.44140625" style="2" customWidth="1"/>
    <col min="10242" max="10496" width="9.109375" style="2"/>
    <col min="10497" max="10497" width="21.44140625" style="2" customWidth="1"/>
    <col min="10498" max="10752" width="9.109375" style="2"/>
    <col min="10753" max="10753" width="21.44140625" style="2" customWidth="1"/>
    <col min="10754" max="11008" width="9.109375" style="2"/>
    <col min="11009" max="11009" width="21.44140625" style="2" customWidth="1"/>
    <col min="11010" max="11264" width="9.109375" style="2"/>
    <col min="11265" max="11265" width="21.44140625" style="2" customWidth="1"/>
    <col min="11266" max="11520" width="9.109375" style="2"/>
    <col min="11521" max="11521" width="21.44140625" style="2" customWidth="1"/>
    <col min="11522" max="11776" width="9.109375" style="2"/>
    <col min="11777" max="11777" width="21.44140625" style="2" customWidth="1"/>
    <col min="11778" max="12032" width="9.109375" style="2"/>
    <col min="12033" max="12033" width="21.44140625" style="2" customWidth="1"/>
    <col min="12034" max="12288" width="9.109375" style="2"/>
    <col min="12289" max="12289" width="21.44140625" style="2" customWidth="1"/>
    <col min="12290" max="12544" width="9.109375" style="2"/>
    <col min="12545" max="12545" width="21.44140625" style="2" customWidth="1"/>
    <col min="12546" max="12800" width="9.109375" style="2"/>
    <col min="12801" max="12801" width="21.44140625" style="2" customWidth="1"/>
    <col min="12802" max="13056" width="9.109375" style="2"/>
    <col min="13057" max="13057" width="21.44140625" style="2" customWidth="1"/>
    <col min="13058" max="13312" width="9.109375" style="2"/>
    <col min="13313" max="13313" width="21.44140625" style="2" customWidth="1"/>
    <col min="13314" max="13568" width="9.109375" style="2"/>
    <col min="13569" max="13569" width="21.44140625" style="2" customWidth="1"/>
    <col min="13570" max="13824" width="9.109375" style="2"/>
    <col min="13825" max="13825" width="21.44140625" style="2" customWidth="1"/>
    <col min="13826" max="14080" width="9.109375" style="2"/>
    <col min="14081" max="14081" width="21.44140625" style="2" customWidth="1"/>
    <col min="14082" max="14336" width="9.109375" style="2"/>
    <col min="14337" max="14337" width="21.44140625" style="2" customWidth="1"/>
    <col min="14338" max="14592" width="9.109375" style="2"/>
    <col min="14593" max="14593" width="21.44140625" style="2" customWidth="1"/>
    <col min="14594" max="14848" width="9.109375" style="2"/>
    <col min="14849" max="14849" width="21.44140625" style="2" customWidth="1"/>
    <col min="14850" max="15104" width="9.109375" style="2"/>
    <col min="15105" max="15105" width="21.44140625" style="2" customWidth="1"/>
    <col min="15106" max="15360" width="9.109375" style="2"/>
    <col min="15361" max="15361" width="21.44140625" style="2" customWidth="1"/>
    <col min="15362" max="15616" width="9.109375" style="2"/>
    <col min="15617" max="15617" width="21.44140625" style="2" customWidth="1"/>
    <col min="15618" max="15872" width="9.109375" style="2"/>
    <col min="15873" max="15873" width="21.44140625" style="2" customWidth="1"/>
    <col min="15874" max="16128" width="9.109375" style="2"/>
    <col min="16129" max="16129" width="21.44140625" style="2" customWidth="1"/>
    <col min="16130" max="16384" width="9.109375" style="2"/>
  </cols>
  <sheetData>
    <row r="1" spans="1:2">
      <c r="A1" s="1" t="s">
        <v>439</v>
      </c>
    </row>
    <row r="3" spans="1:2">
      <c r="A3" s="3"/>
      <c r="B3" s="2" t="s">
        <v>104</v>
      </c>
    </row>
    <row r="4" spans="1:2">
      <c r="A4" s="4"/>
      <c r="B4" s="2" t="s">
        <v>105</v>
      </c>
    </row>
    <row r="5" spans="1:2">
      <c r="A5" s="5"/>
      <c r="B5" s="5"/>
    </row>
    <row r="6" spans="1:2">
      <c r="A6" s="2" t="s">
        <v>106</v>
      </c>
      <c r="B6" s="2" t="s">
        <v>412</v>
      </c>
    </row>
    <row r="8" spans="1:2">
      <c r="A8" s="2" t="s">
        <v>107</v>
      </c>
      <c r="B8" s="2" t="s">
        <v>108</v>
      </c>
    </row>
    <row r="9" spans="1:2">
      <c r="A9" s="2" t="s">
        <v>109</v>
      </c>
    </row>
    <row r="11" spans="1:2">
      <c r="A11" s="2" t="s">
        <v>110</v>
      </c>
      <c r="B11" s="2" t="s">
        <v>489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>
    <tabColor rgb="FF0070C0"/>
    <pageSetUpPr fitToPage="1"/>
  </sheetPr>
  <dimension ref="A1:F124"/>
  <sheetViews>
    <sheetView topLeftCell="A17" workbookViewId="0">
      <selection activeCell="A20" sqref="A20"/>
    </sheetView>
  </sheetViews>
  <sheetFormatPr defaultRowHeight="20.100000000000001" customHeight="1"/>
  <cols>
    <col min="1" max="1" width="30.6640625" style="8" customWidth="1"/>
    <col min="2" max="2" width="27.109375" style="8" customWidth="1"/>
    <col min="3" max="3" width="20" style="8" customWidth="1"/>
    <col min="4" max="4" width="27.6640625" style="8" customWidth="1"/>
    <col min="5" max="5" width="20.6640625" style="8" customWidth="1"/>
    <col min="6" max="6" width="26.88671875" style="8" customWidth="1"/>
    <col min="7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6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6" ht="20.100000000000001" customHeight="1">
      <c r="A2" s="9"/>
      <c r="B2" s="867"/>
      <c r="C2" s="868"/>
      <c r="D2" s="871" t="str">
        <f>'F1 Forecast Serivce Provider'!D2:E2</f>
        <v>BUILDING FACILITIES MANAGEMENT</v>
      </c>
      <c r="E2" s="872"/>
      <c r="F2" s="10" t="s">
        <v>300</v>
      </c>
    </row>
    <row r="3" spans="1:6" ht="20.100000000000001" customHeight="1">
      <c r="A3" s="9"/>
      <c r="B3" s="873" t="s">
        <v>114</v>
      </c>
      <c r="C3" s="875" t="str">
        <f>'F1 Forecast Serivce Provider'!C3:C4</f>
        <v>WESTERN</v>
      </c>
      <c r="D3" s="11" t="s">
        <v>115</v>
      </c>
      <c r="E3" s="459" t="str">
        <f>'F1 Forecast Serivce Provider'!E3</f>
        <v>GP2026/001/68120/2004</v>
      </c>
      <c r="F3" s="49" t="s">
        <v>314</v>
      </c>
    </row>
    <row r="4" spans="1:6" ht="20.25" customHeight="1" thickBot="1">
      <c r="A4" s="12"/>
      <c r="B4" s="874"/>
      <c r="C4" s="876"/>
      <c r="D4" s="13" t="s">
        <v>313</v>
      </c>
      <c r="E4" s="368">
        <f>'F1 Forecast Serivce Provider'!E4</f>
        <v>1</v>
      </c>
      <c r="F4" s="369">
        <f>'F1 Forecast Contractor'!E4</f>
        <v>0</v>
      </c>
    </row>
    <row r="5" spans="1:6" ht="20.100000000000001" customHeight="1">
      <c r="A5" s="856" t="s">
        <v>364</v>
      </c>
      <c r="B5" s="857"/>
      <c r="C5" s="857"/>
      <c r="D5" s="857"/>
      <c r="E5" s="857"/>
      <c r="F5" s="858"/>
    </row>
    <row r="6" spans="1:6" ht="20.100000000000001" customHeight="1">
      <c r="A6" s="859"/>
      <c r="B6" s="860"/>
      <c r="C6" s="860"/>
      <c r="D6" s="860"/>
      <c r="E6" s="860"/>
      <c r="F6" s="861"/>
    </row>
    <row r="7" spans="1:6" ht="20.100000000000001" customHeight="1" thickBot="1">
      <c r="A7" s="862"/>
      <c r="B7" s="863"/>
      <c r="C7" s="863"/>
      <c r="D7" s="863"/>
      <c r="E7" s="863"/>
      <c r="F7" s="864"/>
    </row>
    <row r="8" spans="1:6" ht="20.100000000000001" customHeight="1">
      <c r="A8" s="16" t="s">
        <v>117</v>
      </c>
      <c r="B8" s="346" t="str">
        <f>E3</f>
        <v>GP2026/001/68120/2004</v>
      </c>
      <c r="C8" s="347"/>
      <c r="D8" s="347"/>
      <c r="E8" s="347"/>
      <c r="F8" s="348"/>
    </row>
    <row r="9" spans="1:6" ht="20.100000000000001" customHeight="1">
      <c r="A9" s="888" t="s">
        <v>118</v>
      </c>
      <c r="B9" s="890" t="str">
        <f>'F1 Forecast Serivce Provider'!B9:F10</f>
        <v>OFFICE FACILITY MANAGEMENT FOR SANRAL GAUTENG PROVINCIAL OFFICE (38 IDA STREET, MENLO PARK, PRETORIA)</v>
      </c>
      <c r="C9" s="891"/>
      <c r="D9" s="891"/>
      <c r="E9" s="891"/>
      <c r="F9" s="892"/>
    </row>
    <row r="10" spans="1:6" ht="18.75" customHeight="1">
      <c r="A10" s="889"/>
      <c r="B10" s="893"/>
      <c r="C10" s="894"/>
      <c r="D10" s="894"/>
      <c r="E10" s="894"/>
      <c r="F10" s="895"/>
    </row>
    <row r="11" spans="1:6" ht="20.100000000000001" customHeight="1">
      <c r="A11" s="17" t="s">
        <v>119</v>
      </c>
      <c r="B11" s="896">
        <f>IF('F1 Forecast Serivce Provider'!B11:C11="","",'F1 Forecast Serivce Provider'!B11:C11)</f>
        <v>0</v>
      </c>
      <c r="C11" s="897"/>
      <c r="D11" s="19" t="s">
        <v>120</v>
      </c>
      <c r="E11" s="898" t="str">
        <f>IF('F1 Forecast Serivce Provider'!E11:F11="","",'F1 Forecast Serivce Provider'!E11:F11)</f>
        <v/>
      </c>
      <c r="F11" s="899"/>
    </row>
    <row r="12" spans="1:6" ht="20.100000000000001" customHeight="1">
      <c r="A12" s="18" t="s">
        <v>121</v>
      </c>
      <c r="B12" s="900">
        <f>'F1 Forecast Serivce Provider'!B12</f>
        <v>0</v>
      </c>
      <c r="C12" s="901"/>
      <c r="D12" s="901"/>
      <c r="E12" s="901"/>
      <c r="F12" s="902"/>
    </row>
    <row r="13" spans="1:6" ht="20.100000000000001" customHeight="1">
      <c r="A13" s="19" t="s">
        <v>122</v>
      </c>
      <c r="B13" s="340">
        <f>IF('F1 Forecast Serivce Provider'!B13="","",'F1 Forecast Serivce Provider'!B13)</f>
        <v>86244250</v>
      </c>
      <c r="C13" s="345" t="s">
        <v>123</v>
      </c>
      <c r="D13" s="338"/>
      <c r="E13" s="338"/>
      <c r="F13" s="339"/>
    </row>
    <row r="14" spans="1:6" ht="20.100000000000001" customHeight="1">
      <c r="A14" s="18" t="s">
        <v>124</v>
      </c>
      <c r="B14" s="903" t="str">
        <f>IF('F1 Forecast Contractor'!B14:D14="","",'F1 Forecast Contractor'!B14:D14)</f>
        <v/>
      </c>
      <c r="C14" s="904"/>
      <c r="D14" s="905"/>
      <c r="E14" s="338"/>
      <c r="F14" s="339"/>
    </row>
    <row r="15" spans="1:6" ht="20.100000000000001" customHeight="1">
      <c r="A15" s="17" t="s">
        <v>119</v>
      </c>
      <c r="B15" s="877" t="str">
        <f>IF('F1 Forecast Contractor'!B15:C15=0,"",'F1 Forecast Contractor'!B15:C15)</f>
        <v/>
      </c>
      <c r="C15" s="878"/>
      <c r="D15" s="19" t="s">
        <v>120</v>
      </c>
      <c r="E15" s="877" t="str">
        <f>IF('F1 Forecast Contractor'!E15:F15=0,"",'F1 Forecast Contractor'!E15:F15)</f>
        <v/>
      </c>
      <c r="F15" s="878"/>
    </row>
    <row r="16" spans="1:6" ht="36" customHeight="1" thickBot="1">
      <c r="A16" s="22" t="s">
        <v>125</v>
      </c>
      <c r="B16" s="341">
        <f>IF('F1 Forecast Contractor'!B16="","",'F1 Forecast Contractor'!B16)</f>
        <v>0</v>
      </c>
      <c r="C16" s="342" t="s">
        <v>123</v>
      </c>
      <c r="D16" s="338"/>
      <c r="E16" s="343"/>
      <c r="F16" s="344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27" t="s">
        <v>129</v>
      </c>
      <c r="C19" s="28" t="s">
        <v>130</v>
      </c>
      <c r="D19" s="29" t="s">
        <v>131</v>
      </c>
      <c r="E19" s="28" t="s">
        <v>49</v>
      </c>
      <c r="F19" s="30"/>
    </row>
    <row r="20" spans="1:6" ht="20.100000000000001" customHeight="1">
      <c r="A20" s="460">
        <f>DATA!U2</f>
        <v>46113</v>
      </c>
      <c r="B20" s="474" t="str">
        <f>IF('F1 Forecast Serivce Provider'!B20="","",'F1 Forecast Serivce Provider'!B20)</f>
        <v/>
      </c>
      <c r="C20" s="473" t="str">
        <f>IF('F1 Forecast Serivce Provider'!C20="","",'F1 Forecast Serivce Provider'!C20)</f>
        <v/>
      </c>
      <c r="D20" s="34" t="str">
        <f>IF('F1 Forecast Contractor'!D20="","",'F1 Forecast Contractor'!D20)</f>
        <v/>
      </c>
      <c r="E20" s="33">
        <f>SUM(B20:D20)</f>
        <v>0</v>
      </c>
      <c r="F20" s="35"/>
    </row>
    <row r="21" spans="1:6" ht="20.100000000000001" customHeight="1">
      <c r="A21" s="460">
        <f>+A20+30</f>
        <v>46143</v>
      </c>
      <c r="B21" s="32" t="str">
        <f>IF('F1 Forecast Serivce Provider'!B21="","",'F1 Forecast Serivce Provider'!B21)</f>
        <v/>
      </c>
      <c r="C21" s="33" t="str">
        <f>IF('F1 Forecast Serivce Provider'!C21="","",'F1 Forecast Serivce Provider'!C21)</f>
        <v/>
      </c>
      <c r="D21" s="34" t="str">
        <f>IF('F1 Forecast Contractor'!D21="","",'F1 Forecast Contractor'!D21)</f>
        <v/>
      </c>
      <c r="E21" s="33">
        <f>SUM(B21:D21)</f>
        <v>0</v>
      </c>
      <c r="F21" s="35"/>
    </row>
    <row r="22" spans="1:6" ht="20.100000000000001" customHeight="1">
      <c r="A22" s="460">
        <f>+A21+31</f>
        <v>46174</v>
      </c>
      <c r="B22" s="32" t="str">
        <f>IF('F1 Forecast Serivce Provider'!B22="","",'F1 Forecast Serivce Provider'!B22)</f>
        <v/>
      </c>
      <c r="C22" s="33" t="str">
        <f>IF('F1 Forecast Serivce Provider'!C22="","",'F1 Forecast Serivce Provider'!C22)</f>
        <v/>
      </c>
      <c r="D22" s="34" t="str">
        <f>IF('F1 Forecast Contractor'!D22="","",'F1 Forecast Contractor'!D22)</f>
        <v/>
      </c>
      <c r="E22" s="33">
        <f>SUM(B22:D22)</f>
        <v>0</v>
      </c>
      <c r="F22" s="35"/>
    </row>
    <row r="23" spans="1:6" ht="20.100000000000001" customHeight="1">
      <c r="A23" s="460">
        <f>+A22+30</f>
        <v>46204</v>
      </c>
      <c r="B23" s="32" t="str">
        <f>IF('F1 Forecast Serivce Provider'!B23="","",'F1 Forecast Serivce Provider'!B23)</f>
        <v/>
      </c>
      <c r="C23" s="33" t="str">
        <f>IF('F1 Forecast Serivce Provider'!C23="","",'F1 Forecast Serivce Provider'!C23)</f>
        <v/>
      </c>
      <c r="D23" s="34" t="str">
        <f>IF('F1 Forecast Contractor'!D23="","",'F1 Forecast Contractor'!D23)</f>
        <v/>
      </c>
      <c r="E23" s="33">
        <f>SUM(B23:D23)</f>
        <v>0</v>
      </c>
      <c r="F23" s="35"/>
    </row>
    <row r="24" spans="1:6" ht="20.100000000000001" customHeight="1">
      <c r="A24" s="460">
        <f>+A23+31</f>
        <v>46235</v>
      </c>
      <c r="B24" s="32" t="str">
        <f>IF('F1 Forecast Serivce Provider'!B24="","",'F1 Forecast Serivce Provider'!B24)</f>
        <v/>
      </c>
      <c r="C24" s="33" t="str">
        <f>IF('F1 Forecast Serivce Provider'!C24="","",'F1 Forecast Serivce Provider'!C24)</f>
        <v/>
      </c>
      <c r="D24" s="34" t="str">
        <f>IF('F1 Forecast Contractor'!D24="","",'F1 Forecast Contractor'!D24)</f>
        <v/>
      </c>
      <c r="E24" s="33">
        <f>SUM(B24:D24)</f>
        <v>0</v>
      </c>
      <c r="F24" s="35"/>
    </row>
    <row r="25" spans="1:6" ht="20.100000000000001" customHeight="1">
      <c r="A25" s="460">
        <f>+A24+31</f>
        <v>46266</v>
      </c>
      <c r="B25" s="32" t="str">
        <f>IF('F1 Forecast Serivce Provider'!B25="","",'F1 Forecast Serivce Provider'!B25)</f>
        <v/>
      </c>
      <c r="C25" s="33" t="str">
        <f>IF('F1 Forecast Serivce Provider'!C25="","",'F1 Forecast Serivce Provider'!C25)</f>
        <v/>
      </c>
      <c r="D25" s="34" t="str">
        <f>IF('F1 Forecast Contractor'!D25="","",'F1 Forecast Contractor'!D25)</f>
        <v/>
      </c>
      <c r="E25" s="33">
        <f t="shared" ref="E25:E31" si="0">SUM(B25:D25)</f>
        <v>0</v>
      </c>
      <c r="F25" s="35"/>
    </row>
    <row r="26" spans="1:6" ht="20.100000000000001" customHeight="1">
      <c r="A26" s="460">
        <f>+A25+30</f>
        <v>46296</v>
      </c>
      <c r="B26" s="32" t="str">
        <f>IF('F1 Forecast Serivce Provider'!B26="","",'F1 Forecast Serivce Provider'!B26)</f>
        <v/>
      </c>
      <c r="C26" s="33" t="str">
        <f>IF('F1 Forecast Serivce Provider'!C26="","",'F1 Forecast Serivce Provider'!C26)</f>
        <v/>
      </c>
      <c r="D26" s="34" t="str">
        <f>IF('F1 Forecast Contractor'!D26="","",'F1 Forecast Contractor'!D26)</f>
        <v/>
      </c>
      <c r="E26" s="33">
        <f t="shared" si="0"/>
        <v>0</v>
      </c>
      <c r="F26" s="35"/>
    </row>
    <row r="27" spans="1:6" ht="20.100000000000001" customHeight="1">
      <c r="A27" s="460">
        <f>+A26+31</f>
        <v>46327</v>
      </c>
      <c r="B27" s="32" t="str">
        <f>IF('F1 Forecast Serivce Provider'!B27="","",'F1 Forecast Serivce Provider'!B27)</f>
        <v/>
      </c>
      <c r="C27" s="33" t="str">
        <f>IF('F1 Forecast Serivce Provider'!C27="","",'F1 Forecast Serivce Provider'!C27)</f>
        <v/>
      </c>
      <c r="D27" s="34" t="str">
        <f>IF('F1 Forecast Contractor'!D27="","",'F1 Forecast Contractor'!D27)</f>
        <v/>
      </c>
      <c r="E27" s="33">
        <f t="shared" si="0"/>
        <v>0</v>
      </c>
      <c r="F27" s="35"/>
    </row>
    <row r="28" spans="1:6" ht="20.100000000000001" customHeight="1">
      <c r="A28" s="460">
        <f>+A27+30</f>
        <v>46357</v>
      </c>
      <c r="B28" s="32" t="str">
        <f>IF('F1 Forecast Serivce Provider'!B28="","",'F1 Forecast Serivce Provider'!B28)</f>
        <v/>
      </c>
      <c r="C28" s="33" t="str">
        <f>IF('F1 Forecast Serivce Provider'!C28="","",'F1 Forecast Serivce Provider'!C28)</f>
        <v/>
      </c>
      <c r="D28" s="34" t="str">
        <f>IF('F1 Forecast Contractor'!D28="","",'F1 Forecast Contractor'!D28)</f>
        <v/>
      </c>
      <c r="E28" s="33">
        <f t="shared" si="0"/>
        <v>0</v>
      </c>
      <c r="F28" s="35"/>
    </row>
    <row r="29" spans="1:6" ht="20.100000000000001" customHeight="1">
      <c r="A29" s="460">
        <f>+A28+31</f>
        <v>46388</v>
      </c>
      <c r="B29" s="32" t="str">
        <f>IF('F1 Forecast Serivce Provider'!B29="","",'F1 Forecast Serivce Provider'!B29)</f>
        <v/>
      </c>
      <c r="C29" s="33" t="str">
        <f>IF('F1 Forecast Serivce Provider'!C29="","",'F1 Forecast Serivce Provider'!C29)</f>
        <v/>
      </c>
      <c r="D29" s="34" t="str">
        <f>IF('F1 Forecast Contractor'!D29="","",'F1 Forecast Contractor'!D29)</f>
        <v/>
      </c>
      <c r="E29" s="33">
        <f t="shared" si="0"/>
        <v>0</v>
      </c>
      <c r="F29" s="35"/>
    </row>
    <row r="30" spans="1:6" ht="20.100000000000001" customHeight="1">
      <c r="A30" s="460">
        <f>+A29+31</f>
        <v>46419</v>
      </c>
      <c r="B30" s="32" t="str">
        <f>IF('F1 Forecast Serivce Provider'!B30="","",'F1 Forecast Serivce Provider'!B30)</f>
        <v/>
      </c>
      <c r="C30" s="33" t="str">
        <f>IF('F1 Forecast Serivce Provider'!C30="","",'F1 Forecast Serivce Provider'!C30)</f>
        <v/>
      </c>
      <c r="D30" s="34" t="str">
        <f>IF('F1 Forecast Contractor'!D30="","",'F1 Forecast Contractor'!D30)</f>
        <v/>
      </c>
      <c r="E30" s="33">
        <f t="shared" si="0"/>
        <v>0</v>
      </c>
      <c r="F30" s="35"/>
    </row>
    <row r="31" spans="1:6" ht="20.100000000000001" customHeight="1">
      <c r="A31" s="460">
        <f>IF(ISNA(VLOOKUP(A30,DATA!$E$4:$E$13,1,FALSE))=TRUE,A30+28,A30+29)</f>
        <v>46447</v>
      </c>
      <c r="B31" s="475" t="str">
        <f>IF('F1 Forecast Serivce Provider'!B31="","",'F1 Forecast Serivce Provider'!B31)</f>
        <v/>
      </c>
      <c r="C31" s="36" t="str">
        <f>IF('F1 Forecast Serivce Provider'!C31="","",'F1 Forecast Serivce Provider'!C31)</f>
        <v/>
      </c>
      <c r="D31" s="34" t="str">
        <f>IF('F1 Forecast Contractor'!D31="","",'F1 Forecast Contractor'!D31)</f>
        <v/>
      </c>
      <c r="E31" s="36">
        <f t="shared" si="0"/>
        <v>0</v>
      </c>
      <c r="F31" s="35"/>
    </row>
    <row r="32" spans="1:6" ht="20.100000000000001" customHeight="1" thickBot="1">
      <c r="A32" s="37" t="str">
        <f>VLOOKUP(A20,DATA!$Y$2:$AA$41,2,FALSE)</f>
        <v>Sub-Total 2026/2027</v>
      </c>
      <c r="B32" s="42">
        <f>'F1 Forecast Serivce Provider'!B32</f>
        <v>0</v>
      </c>
      <c r="C32" s="42">
        <f>'F1 Forecast Serivce Provider'!C32</f>
        <v>0</v>
      </c>
      <c r="D32" s="42">
        <f>'F1 Forecast Contractor'!D32</f>
        <v>0</v>
      </c>
      <c r="E32" s="38">
        <f>SUM(E20:E31)</f>
        <v>0</v>
      </c>
      <c r="F32" s="39">
        <f>SUM(F20:F31)</f>
        <v>0</v>
      </c>
    </row>
    <row r="33" spans="1:6" ht="20.100000000000001" customHeight="1" thickTop="1">
      <c r="A33" s="460">
        <f>A31+31</f>
        <v>46478</v>
      </c>
      <c r="B33" s="476" t="str">
        <f>IF('F1 Forecast Serivce Provider'!B33="","",'F1 Forecast Serivce Provider'!B33)</f>
        <v/>
      </c>
      <c r="C33" s="477" t="str">
        <f>IF('F1 Forecast Serivce Provider'!C33="","",'F1 Forecast Serivce Provider'!C33)</f>
        <v/>
      </c>
      <c r="D33" s="363" t="str">
        <f>IF('F1 Forecast Contractor'!D33="","",'F1 Forecast Contractor'!D33)</f>
        <v/>
      </c>
      <c r="E33" s="40">
        <f t="shared" ref="E33:E44" si="1">SUM(B33:D33)</f>
        <v>0</v>
      </c>
      <c r="F33" s="35"/>
    </row>
    <row r="34" spans="1:6" ht="20.100000000000001" customHeight="1">
      <c r="A34" s="460">
        <f>+A33+30</f>
        <v>46508</v>
      </c>
      <c r="B34" s="32" t="str">
        <f>IF('F1 Forecast Serivce Provider'!B34="","",'F1 Forecast Serivce Provider'!B34)</f>
        <v/>
      </c>
      <c r="C34" s="33" t="str">
        <f>IF('F1 Forecast Serivce Provider'!C34="","",'F1 Forecast Serivce Provider'!C34)</f>
        <v/>
      </c>
      <c r="D34" s="364" t="str">
        <f>IF('F1 Forecast Contractor'!D34="","",'F1 Forecast Contractor'!D34)</f>
        <v/>
      </c>
      <c r="E34" s="40">
        <f t="shared" si="1"/>
        <v>0</v>
      </c>
      <c r="F34" s="35"/>
    </row>
    <row r="35" spans="1:6" ht="20.100000000000001" customHeight="1">
      <c r="A35" s="460">
        <f>+A34+31</f>
        <v>46539</v>
      </c>
      <c r="B35" s="32" t="str">
        <f>IF('F1 Forecast Serivce Provider'!B35="","",'F1 Forecast Serivce Provider'!B35)</f>
        <v/>
      </c>
      <c r="C35" s="33" t="str">
        <f>IF('F1 Forecast Serivce Provider'!C35="","",'F1 Forecast Serivce Provider'!C35)</f>
        <v/>
      </c>
      <c r="D35" s="364" t="str">
        <f>IF('F1 Forecast Contractor'!D35="","",'F1 Forecast Contractor'!D35)</f>
        <v/>
      </c>
      <c r="E35" s="40">
        <f t="shared" si="1"/>
        <v>0</v>
      </c>
      <c r="F35" s="35"/>
    </row>
    <row r="36" spans="1:6" ht="20.100000000000001" customHeight="1">
      <c r="A36" s="460">
        <f>+A35+30</f>
        <v>46569</v>
      </c>
      <c r="B36" s="32" t="str">
        <f>IF('F1 Forecast Serivce Provider'!B36="","",'F1 Forecast Serivce Provider'!B36)</f>
        <v/>
      </c>
      <c r="C36" s="33" t="str">
        <f>IF('F1 Forecast Serivce Provider'!C36="","",'F1 Forecast Serivce Provider'!C36)</f>
        <v/>
      </c>
      <c r="D36" s="364" t="str">
        <f>IF('F1 Forecast Contractor'!D36="","",'F1 Forecast Contractor'!D36)</f>
        <v/>
      </c>
      <c r="E36" s="40">
        <f t="shared" si="1"/>
        <v>0</v>
      </c>
      <c r="F36" s="35"/>
    </row>
    <row r="37" spans="1:6" ht="20.100000000000001" customHeight="1">
      <c r="A37" s="460">
        <f>+A36+31</f>
        <v>46600</v>
      </c>
      <c r="B37" s="32" t="str">
        <f>IF('F1 Forecast Serivce Provider'!B37="","",'F1 Forecast Serivce Provider'!B37)</f>
        <v/>
      </c>
      <c r="C37" s="33" t="str">
        <f>IF('F1 Forecast Serivce Provider'!C37="","",'F1 Forecast Serivce Provider'!C37)</f>
        <v/>
      </c>
      <c r="D37" s="364" t="str">
        <f>IF('F1 Forecast Contractor'!D37="","",'F1 Forecast Contractor'!D37)</f>
        <v/>
      </c>
      <c r="E37" s="40">
        <f t="shared" si="1"/>
        <v>0</v>
      </c>
      <c r="F37" s="35"/>
    </row>
    <row r="38" spans="1:6" ht="20.100000000000001" customHeight="1">
      <c r="A38" s="460">
        <f>+A37+31</f>
        <v>46631</v>
      </c>
      <c r="B38" s="32" t="str">
        <f>IF('F1 Forecast Serivce Provider'!B38="","",'F1 Forecast Serivce Provider'!B38)</f>
        <v/>
      </c>
      <c r="C38" s="33" t="str">
        <f>IF('F1 Forecast Serivce Provider'!C38="","",'F1 Forecast Serivce Provider'!C38)</f>
        <v/>
      </c>
      <c r="D38" s="364" t="str">
        <f>IF('F1 Forecast Contractor'!D38="","",'F1 Forecast Contractor'!D38)</f>
        <v/>
      </c>
      <c r="E38" s="40">
        <f t="shared" si="1"/>
        <v>0</v>
      </c>
      <c r="F38" s="35"/>
    </row>
    <row r="39" spans="1:6" ht="20.100000000000001" customHeight="1">
      <c r="A39" s="460">
        <f>+A38+30</f>
        <v>46661</v>
      </c>
      <c r="B39" s="32" t="str">
        <f>IF('F1 Forecast Serivce Provider'!B39="","",'F1 Forecast Serivce Provider'!B39)</f>
        <v/>
      </c>
      <c r="C39" s="33" t="str">
        <f>IF('F1 Forecast Serivce Provider'!C39="","",'F1 Forecast Serivce Provider'!C39)</f>
        <v/>
      </c>
      <c r="D39" s="364" t="str">
        <f>IF('F1 Forecast Contractor'!D39="","",'F1 Forecast Contractor'!D39)</f>
        <v/>
      </c>
      <c r="E39" s="40">
        <f t="shared" si="1"/>
        <v>0</v>
      </c>
      <c r="F39" s="35"/>
    </row>
    <row r="40" spans="1:6" ht="20.100000000000001" customHeight="1">
      <c r="A40" s="460">
        <f>+A39+31</f>
        <v>46692</v>
      </c>
      <c r="B40" s="32" t="str">
        <f>IF('F1 Forecast Serivce Provider'!B40="","",'F1 Forecast Serivce Provider'!B40)</f>
        <v/>
      </c>
      <c r="C40" s="33" t="str">
        <f>IF('F1 Forecast Serivce Provider'!C40="","",'F1 Forecast Serivce Provider'!C40)</f>
        <v/>
      </c>
      <c r="D40" s="364" t="str">
        <f>IF('F1 Forecast Contractor'!D40="","",'F1 Forecast Contractor'!D40)</f>
        <v/>
      </c>
      <c r="E40" s="40">
        <f t="shared" si="1"/>
        <v>0</v>
      </c>
      <c r="F40" s="35"/>
    </row>
    <row r="41" spans="1:6" ht="20.100000000000001" customHeight="1">
      <c r="A41" s="460">
        <f>+A40+30</f>
        <v>46722</v>
      </c>
      <c r="B41" s="32" t="str">
        <f>IF('F1 Forecast Serivce Provider'!B41="","",'F1 Forecast Serivce Provider'!B41)</f>
        <v/>
      </c>
      <c r="C41" s="33" t="str">
        <f>IF('F1 Forecast Serivce Provider'!C41="","",'F1 Forecast Serivce Provider'!C41)</f>
        <v/>
      </c>
      <c r="D41" s="364" t="str">
        <f>IF('F1 Forecast Contractor'!D41="","",'F1 Forecast Contractor'!D41)</f>
        <v/>
      </c>
      <c r="E41" s="40">
        <f t="shared" si="1"/>
        <v>0</v>
      </c>
      <c r="F41" s="35"/>
    </row>
    <row r="42" spans="1:6" ht="20.100000000000001" customHeight="1">
      <c r="A42" s="460">
        <f>+A41+31</f>
        <v>46753</v>
      </c>
      <c r="B42" s="32" t="str">
        <f>IF('F1 Forecast Serivce Provider'!B42="","",'F1 Forecast Serivce Provider'!B42)</f>
        <v/>
      </c>
      <c r="C42" s="33" t="str">
        <f>IF('F1 Forecast Serivce Provider'!C42="","",'F1 Forecast Serivce Provider'!C42)</f>
        <v/>
      </c>
      <c r="D42" s="364" t="str">
        <f>IF('F1 Forecast Contractor'!D42="","",'F1 Forecast Contractor'!D42)</f>
        <v/>
      </c>
      <c r="E42" s="40">
        <f t="shared" si="1"/>
        <v>0</v>
      </c>
      <c r="F42" s="35"/>
    </row>
    <row r="43" spans="1:6" ht="20.100000000000001" customHeight="1">
      <c r="A43" s="460">
        <f>+A42+31</f>
        <v>46784</v>
      </c>
      <c r="B43" s="32" t="str">
        <f>IF('F1 Forecast Serivce Provider'!B43="","",'F1 Forecast Serivce Provider'!B43)</f>
        <v/>
      </c>
      <c r="C43" s="33" t="str">
        <f>IF('F1 Forecast Serivce Provider'!C43="","",'F1 Forecast Serivce Provider'!C43)</f>
        <v/>
      </c>
      <c r="D43" s="364" t="str">
        <f>IF('F1 Forecast Contractor'!D43="","",'F1 Forecast Contractor'!D43)</f>
        <v/>
      </c>
      <c r="E43" s="40">
        <f t="shared" si="1"/>
        <v>0</v>
      </c>
      <c r="F43" s="35"/>
    </row>
    <row r="44" spans="1:6" ht="20.100000000000001" customHeight="1">
      <c r="A44" s="460">
        <f>IF(ISNA(VLOOKUP(A43,DATA!$E$4:$E$13,1,FALSE))=TRUE,A43+28,A43+29)</f>
        <v>46813</v>
      </c>
      <c r="B44" s="475" t="str">
        <f>IF('F1 Forecast Serivce Provider'!B44="","",'F1 Forecast Serivce Provider'!B44)</f>
        <v/>
      </c>
      <c r="C44" s="36" t="str">
        <f>IF('F1 Forecast Serivce Provider'!C44="","",'F1 Forecast Serivce Provider'!C44)</f>
        <v/>
      </c>
      <c r="D44" s="486" t="str">
        <f>IF('F1 Forecast Contractor'!D44="","",'F1 Forecast Contractor'!D44)</f>
        <v/>
      </c>
      <c r="E44" s="40">
        <f t="shared" si="1"/>
        <v>0</v>
      </c>
      <c r="F44" s="35"/>
    </row>
    <row r="45" spans="1:6" ht="20.100000000000001" customHeight="1" thickBot="1">
      <c r="A45" s="37" t="str">
        <f>VLOOKUP(A33,DATA!$Y$2:$AA$41,2,FALSE)</f>
        <v>Sub-Total 2027/2028</v>
      </c>
      <c r="B45" s="42">
        <f>'F1 Forecast Serivce Provider'!B45</f>
        <v>0</v>
      </c>
      <c r="C45" s="42">
        <f>'F1 Forecast Serivce Provider'!C45</f>
        <v>0</v>
      </c>
      <c r="D45" s="365">
        <f>'F1 Forecast Contractor'!D45</f>
        <v>0</v>
      </c>
      <c r="E45" s="361">
        <f>SUM(E33:E44)</f>
        <v>0</v>
      </c>
      <c r="F45" s="43">
        <f>SUM(F33:F44)</f>
        <v>0</v>
      </c>
    </row>
    <row r="46" spans="1:6" ht="20.100000000000001" customHeight="1" thickTop="1">
      <c r="A46" s="460">
        <f>A44+31</f>
        <v>46844</v>
      </c>
      <c r="B46" s="476" t="str">
        <f>IF('F1 Forecast Serivce Provider'!B46="","",'F1 Forecast Serivce Provider'!B46)</f>
        <v/>
      </c>
      <c r="C46" s="477" t="str">
        <f>IF('F1 Forecast Serivce Provider'!C46="","",'F1 Forecast Serivce Provider'!C46)</f>
        <v/>
      </c>
      <c r="D46" s="363" t="str">
        <f>IF('F1 Forecast Contractor'!D46="","",'F1 Forecast Contractor'!D46)</f>
        <v/>
      </c>
      <c r="E46" s="40">
        <f>SUM(B46:D46)</f>
        <v>0</v>
      </c>
      <c r="F46" s="35"/>
    </row>
    <row r="47" spans="1:6" ht="20.100000000000001" customHeight="1">
      <c r="A47" s="460">
        <f>+A46+30</f>
        <v>46874</v>
      </c>
      <c r="B47" s="32" t="str">
        <f>IF('F1 Forecast Serivce Provider'!B47="","",'F1 Forecast Serivce Provider'!B47)</f>
        <v/>
      </c>
      <c r="C47" s="33" t="str">
        <f>IF('F1 Forecast Serivce Provider'!C47="","",'F1 Forecast Serivce Provider'!C47)</f>
        <v/>
      </c>
      <c r="D47" s="364" t="str">
        <f>IF('F1 Forecast Contractor'!D47="","",'F1 Forecast Contractor'!D47)</f>
        <v/>
      </c>
      <c r="E47" s="40">
        <f t="shared" ref="E47:E56" si="2">SUM(B47:D47)</f>
        <v>0</v>
      </c>
      <c r="F47" s="35"/>
    </row>
    <row r="48" spans="1:6" ht="20.100000000000001" customHeight="1">
      <c r="A48" s="460">
        <f>+A47+31</f>
        <v>46905</v>
      </c>
      <c r="B48" s="32" t="str">
        <f>IF('F1 Forecast Serivce Provider'!B48="","",'F1 Forecast Serivce Provider'!B48)</f>
        <v/>
      </c>
      <c r="C48" s="33" t="str">
        <f>IF('F1 Forecast Serivce Provider'!C48="","",'F1 Forecast Serivce Provider'!C48)</f>
        <v/>
      </c>
      <c r="D48" s="364" t="str">
        <f>IF('F1 Forecast Contractor'!D48="","",'F1 Forecast Contractor'!D48)</f>
        <v/>
      </c>
      <c r="E48" s="40">
        <f t="shared" si="2"/>
        <v>0</v>
      </c>
      <c r="F48" s="35"/>
    </row>
    <row r="49" spans="1:6" ht="20.100000000000001" customHeight="1">
      <c r="A49" s="460">
        <f>+A48+30</f>
        <v>46935</v>
      </c>
      <c r="B49" s="32" t="str">
        <f>IF('F1 Forecast Serivce Provider'!B49="","",'F1 Forecast Serivce Provider'!B49)</f>
        <v/>
      </c>
      <c r="C49" s="33" t="str">
        <f>IF('F1 Forecast Serivce Provider'!C49="","",'F1 Forecast Serivce Provider'!C49)</f>
        <v/>
      </c>
      <c r="D49" s="364" t="str">
        <f>IF('F1 Forecast Contractor'!D49="","",'F1 Forecast Contractor'!D49)</f>
        <v/>
      </c>
      <c r="E49" s="40">
        <f t="shared" si="2"/>
        <v>0</v>
      </c>
      <c r="F49" s="35"/>
    </row>
    <row r="50" spans="1:6" ht="20.100000000000001" customHeight="1">
      <c r="A50" s="460">
        <f>+A49+31</f>
        <v>46966</v>
      </c>
      <c r="B50" s="32" t="str">
        <f>IF('F1 Forecast Serivce Provider'!B50="","",'F1 Forecast Serivce Provider'!B50)</f>
        <v/>
      </c>
      <c r="C50" s="33" t="str">
        <f>IF('F1 Forecast Serivce Provider'!C50="","",'F1 Forecast Serivce Provider'!C50)</f>
        <v/>
      </c>
      <c r="D50" s="364" t="str">
        <f>IF('F1 Forecast Contractor'!D50="","",'F1 Forecast Contractor'!D50)</f>
        <v/>
      </c>
      <c r="E50" s="40">
        <f t="shared" si="2"/>
        <v>0</v>
      </c>
      <c r="F50" s="35"/>
    </row>
    <row r="51" spans="1:6" ht="20.100000000000001" customHeight="1">
      <c r="A51" s="460">
        <f>+A50+31</f>
        <v>46997</v>
      </c>
      <c r="B51" s="32" t="str">
        <f>IF('F1 Forecast Serivce Provider'!B51="","",'F1 Forecast Serivce Provider'!B51)</f>
        <v/>
      </c>
      <c r="C51" s="33" t="str">
        <f>IF('F1 Forecast Serivce Provider'!C51="","",'F1 Forecast Serivce Provider'!C51)</f>
        <v/>
      </c>
      <c r="D51" s="364" t="str">
        <f>IF('F1 Forecast Contractor'!D51="","",'F1 Forecast Contractor'!D51)</f>
        <v/>
      </c>
      <c r="E51" s="40">
        <f t="shared" si="2"/>
        <v>0</v>
      </c>
      <c r="F51" s="35"/>
    </row>
    <row r="52" spans="1:6" ht="20.100000000000001" customHeight="1">
      <c r="A52" s="460">
        <f>+A51+30</f>
        <v>47027</v>
      </c>
      <c r="B52" s="32" t="str">
        <f>IF('F1 Forecast Serivce Provider'!B52="","",'F1 Forecast Serivce Provider'!B52)</f>
        <v/>
      </c>
      <c r="C52" s="33" t="str">
        <f>IF('F1 Forecast Serivce Provider'!C52="","",'F1 Forecast Serivce Provider'!C52)</f>
        <v/>
      </c>
      <c r="D52" s="364" t="str">
        <f>IF('F1 Forecast Contractor'!D52="","",'F1 Forecast Contractor'!D52)</f>
        <v/>
      </c>
      <c r="E52" s="40">
        <f t="shared" si="2"/>
        <v>0</v>
      </c>
      <c r="F52" s="35"/>
    </row>
    <row r="53" spans="1:6" ht="20.100000000000001" customHeight="1">
      <c r="A53" s="460">
        <f>+A52+31</f>
        <v>47058</v>
      </c>
      <c r="B53" s="32" t="str">
        <f>IF('F1 Forecast Serivce Provider'!B53="","",'F1 Forecast Serivce Provider'!B53)</f>
        <v/>
      </c>
      <c r="C53" s="33" t="str">
        <f>IF('F1 Forecast Serivce Provider'!C53="","",'F1 Forecast Serivce Provider'!C53)</f>
        <v/>
      </c>
      <c r="D53" s="364" t="str">
        <f>IF('F1 Forecast Contractor'!D53="","",'F1 Forecast Contractor'!D53)</f>
        <v/>
      </c>
      <c r="E53" s="40">
        <f t="shared" si="2"/>
        <v>0</v>
      </c>
      <c r="F53" s="35"/>
    </row>
    <row r="54" spans="1:6" ht="20.100000000000001" customHeight="1">
      <c r="A54" s="460">
        <f>+A53+30</f>
        <v>47088</v>
      </c>
      <c r="B54" s="32" t="str">
        <f>IF('F1 Forecast Serivce Provider'!B54="","",'F1 Forecast Serivce Provider'!B54)</f>
        <v/>
      </c>
      <c r="C54" s="33" t="str">
        <f>IF('F1 Forecast Serivce Provider'!C54="","",'F1 Forecast Serivce Provider'!C54)</f>
        <v/>
      </c>
      <c r="D54" s="364" t="str">
        <f>IF('F1 Forecast Contractor'!D54="","",'F1 Forecast Contractor'!D54)</f>
        <v/>
      </c>
      <c r="E54" s="40">
        <f t="shared" si="2"/>
        <v>0</v>
      </c>
      <c r="F54" s="35"/>
    </row>
    <row r="55" spans="1:6" ht="20.100000000000001" customHeight="1">
      <c r="A55" s="460">
        <f>+A54+31</f>
        <v>47119</v>
      </c>
      <c r="B55" s="32" t="str">
        <f>IF('F1 Forecast Serivce Provider'!B55="","",'F1 Forecast Serivce Provider'!B55)</f>
        <v/>
      </c>
      <c r="C55" s="33" t="str">
        <f>IF('F1 Forecast Serivce Provider'!C55="","",'F1 Forecast Serivce Provider'!C55)</f>
        <v/>
      </c>
      <c r="D55" s="364" t="str">
        <f>IF('F1 Forecast Contractor'!D55="","",'F1 Forecast Contractor'!D55)</f>
        <v/>
      </c>
      <c r="E55" s="40">
        <f t="shared" si="2"/>
        <v>0</v>
      </c>
      <c r="F55" s="35"/>
    </row>
    <row r="56" spans="1:6" ht="20.100000000000001" customHeight="1">
      <c r="A56" s="460">
        <f>+A55+31</f>
        <v>47150</v>
      </c>
      <c r="B56" s="32" t="str">
        <f>IF('F1 Forecast Serivce Provider'!B56="","",'F1 Forecast Serivce Provider'!B56)</f>
        <v/>
      </c>
      <c r="C56" s="33" t="str">
        <f>IF('F1 Forecast Serivce Provider'!C56="","",'F1 Forecast Serivce Provider'!C56)</f>
        <v/>
      </c>
      <c r="D56" s="364" t="str">
        <f>IF('F1 Forecast Contractor'!D56="","",'F1 Forecast Contractor'!D56)</f>
        <v/>
      </c>
      <c r="E56" s="40">
        <f t="shared" si="2"/>
        <v>0</v>
      </c>
      <c r="F56" s="35"/>
    </row>
    <row r="57" spans="1:6" ht="20.100000000000001" customHeight="1">
      <c r="A57" s="460">
        <f>IF(ISNA(VLOOKUP(A56,DATA!$E$4:$E$13,1,FALSE))=TRUE,A56+28,A56+29)</f>
        <v>47178</v>
      </c>
      <c r="B57" s="475" t="str">
        <f>IF('F1 Forecast Serivce Provider'!B57="","",'F1 Forecast Serivce Provider'!B57)</f>
        <v/>
      </c>
      <c r="C57" s="36" t="str">
        <f>IF('F1 Forecast Serivce Provider'!C57="","",'F1 Forecast Serivce Provider'!C57)</f>
        <v/>
      </c>
      <c r="D57" s="486" t="str">
        <f>IF('F1 Forecast Contractor'!D57="","",'F1 Forecast Contractor'!D57)</f>
        <v/>
      </c>
      <c r="E57" s="40">
        <f>SUM(B57:D57)</f>
        <v>0</v>
      </c>
      <c r="F57" s="35"/>
    </row>
    <row r="58" spans="1:6" ht="20.100000000000001" customHeight="1" thickBot="1">
      <c r="A58" s="37" t="str">
        <f>VLOOKUP(A46,DATA!$Y$2:$AA$41,2,FALSE)</f>
        <v>Sub-Total 2028/2029</v>
      </c>
      <c r="B58" s="42">
        <f>'F1 Forecast Serivce Provider'!B58</f>
        <v>0</v>
      </c>
      <c r="C58" s="42">
        <f>'F1 Forecast Serivce Provider'!C58</f>
        <v>0</v>
      </c>
      <c r="D58" s="365">
        <f>'F1 Forecast Contractor'!D58</f>
        <v>0</v>
      </c>
      <c r="E58" s="361">
        <f>SUM(E46:E57)</f>
        <v>0</v>
      </c>
      <c r="F58" s="43">
        <f>SUM(F46:F57)</f>
        <v>0</v>
      </c>
    </row>
    <row r="59" spans="1:6" ht="20.100000000000001" customHeight="1" thickTop="1" thickBot="1">
      <c r="A59" s="44" t="s">
        <v>135</v>
      </c>
      <c r="B59" s="366">
        <f>'F1 Forecast Serivce Provider'!B59</f>
        <v>0</v>
      </c>
      <c r="C59" s="366">
        <f>'F1 Forecast Serivce Provider'!C59</f>
        <v>0</v>
      </c>
      <c r="D59" s="367">
        <f>'F1 Forecast Contractor'!D59</f>
        <v>0</v>
      </c>
      <c r="E59" s="362">
        <f>+E32+E45+E58</f>
        <v>0</v>
      </c>
      <c r="F59" s="46">
        <f>+F32+F45+F58</f>
        <v>0</v>
      </c>
    </row>
    <row r="60" spans="1:6" ht="20.100000000000001" customHeight="1">
      <c r="A60" s="47" t="s">
        <v>136</v>
      </c>
      <c r="B60" s="47" t="s">
        <v>137</v>
      </c>
    </row>
    <row r="61" spans="1:6" ht="20.100000000000001" customHeight="1">
      <c r="A61" s="47"/>
      <c r="B61" s="47"/>
    </row>
    <row r="63" spans="1:6" ht="20.100000000000001" customHeight="1" thickBot="1"/>
    <row r="64" spans="1:6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300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459" t="str">
        <f>E3</f>
        <v>GP2026/001/68120/2004</v>
      </c>
      <c r="F66" s="49" t="s">
        <v>314</v>
      </c>
    </row>
    <row r="67" spans="1:6" ht="20.100000000000001" customHeight="1" thickBot="1">
      <c r="A67" s="12"/>
      <c r="B67" s="874"/>
      <c r="C67" s="876"/>
      <c r="D67" s="13" t="s">
        <v>313</v>
      </c>
      <c r="E67" s="368">
        <f>E4</f>
        <v>1</v>
      </c>
      <c r="F67" s="369">
        <f>F4</f>
        <v>0</v>
      </c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E66</f>
        <v>GP2026/001/68120/2004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890" t="str">
        <f>B9</f>
        <v>OFFICE FACILITY MANAGEMENT FOR SANRAL GAUTENG PROVINCIAL OFFICE (38 IDA STREET, MENLO PARK, PRETORIA)</v>
      </c>
      <c r="C72" s="891"/>
      <c r="D72" s="891"/>
      <c r="E72" s="891"/>
      <c r="F72" s="892"/>
    </row>
    <row r="73" spans="1:6" ht="20.100000000000001" customHeight="1">
      <c r="A73" s="889"/>
      <c r="B73" s="893"/>
      <c r="C73" s="894"/>
      <c r="D73" s="894"/>
      <c r="E73" s="894"/>
      <c r="F73" s="895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 t="str">
        <f>E11</f>
        <v/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340">
        <f t="shared" si="3"/>
        <v>86244250</v>
      </c>
      <c r="C76" s="345" t="s">
        <v>123</v>
      </c>
      <c r="D76" s="338"/>
      <c r="E76" s="338"/>
      <c r="F76" s="339"/>
    </row>
    <row r="77" spans="1:6" ht="20.100000000000001" customHeight="1">
      <c r="A77" s="18" t="s">
        <v>124</v>
      </c>
      <c r="B77" s="903" t="str">
        <f t="shared" si="3"/>
        <v/>
      </c>
      <c r="C77" s="904"/>
      <c r="D77" s="905"/>
      <c r="E77" s="338"/>
      <c r="F77" s="339"/>
    </row>
    <row r="78" spans="1:6" ht="20.100000000000001" customHeight="1">
      <c r="A78" s="17" t="s">
        <v>119</v>
      </c>
      <c r="B78" s="906" t="str">
        <f t="shared" si="3"/>
        <v/>
      </c>
      <c r="C78" s="907"/>
      <c r="D78" s="19" t="s">
        <v>120</v>
      </c>
      <c r="E78" s="877" t="str">
        <f>E15</f>
        <v/>
      </c>
      <c r="F78" s="878"/>
    </row>
    <row r="79" spans="1:6" ht="37.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27" t="s">
        <v>129</v>
      </c>
      <c r="C82" s="28" t="s">
        <v>130</v>
      </c>
      <c r="D82" s="29" t="s">
        <v>131</v>
      </c>
      <c r="E82" s="28" t="s">
        <v>49</v>
      </c>
      <c r="F82" s="30"/>
    </row>
    <row r="83" spans="1:6" ht="20.100000000000001" customHeight="1" thickBot="1">
      <c r="A83" s="461" t="s">
        <v>365</v>
      </c>
      <c r="B83" s="462">
        <f>B59</f>
        <v>0</v>
      </c>
      <c r="C83" s="463">
        <f>C59</f>
        <v>0</v>
      </c>
      <c r="D83" s="464">
        <f>D59</f>
        <v>0</v>
      </c>
      <c r="E83" s="463">
        <f>E59</f>
        <v>0</v>
      </c>
      <c r="F83" s="39">
        <f>F59</f>
        <v>0</v>
      </c>
    </row>
    <row r="84" spans="1:6" ht="20.100000000000001" customHeight="1" thickTop="1">
      <c r="A84" s="460">
        <f>A57+31</f>
        <v>47209</v>
      </c>
      <c r="B84" s="476" t="str">
        <f>IF('F1 Forecast Serivce Provider'!B84="","",'F1 Forecast Serivce Provider'!B84)</f>
        <v/>
      </c>
      <c r="C84" s="477" t="str">
        <f>IF('F1 Forecast Serivce Provider'!C84="","",'F1 Forecast Serivce Provider'!C84)</f>
        <v/>
      </c>
      <c r="D84" s="363" t="str">
        <f>IF('F1 Forecast Contractor'!D84="","",'F1 Forecast Contractor'!D84)</f>
        <v/>
      </c>
      <c r="E84" s="33">
        <f>SUM(B84:D84)</f>
        <v>0</v>
      </c>
      <c r="F84" s="35"/>
    </row>
    <row r="85" spans="1:6" ht="20.100000000000001" customHeight="1">
      <c r="A85" s="460">
        <f>+A84+30</f>
        <v>47239</v>
      </c>
      <c r="B85" s="32" t="str">
        <f>IF('F1 Forecast Serivce Provider'!B85="","",'F1 Forecast Serivce Provider'!B85)</f>
        <v/>
      </c>
      <c r="C85" s="33" t="str">
        <f>IF('F1 Forecast Serivce Provider'!C85="","",'F1 Forecast Serivce Provider'!C85)</f>
        <v/>
      </c>
      <c r="D85" s="364" t="str">
        <f>IF('F1 Forecast Contractor'!D85="","",'F1 Forecast Contractor'!D85)</f>
        <v/>
      </c>
      <c r="E85" s="33">
        <f>SUM(B85:D85)</f>
        <v>0</v>
      </c>
      <c r="F85" s="35"/>
    </row>
    <row r="86" spans="1:6" ht="20.100000000000001" customHeight="1">
      <c r="A86" s="460">
        <f>+A85+31</f>
        <v>47270</v>
      </c>
      <c r="B86" s="32" t="str">
        <f>IF('F1 Forecast Serivce Provider'!B86="","",'F1 Forecast Serivce Provider'!B86)</f>
        <v/>
      </c>
      <c r="C86" s="33" t="str">
        <f>IF('F1 Forecast Serivce Provider'!C86="","",'F1 Forecast Serivce Provider'!C86)</f>
        <v/>
      </c>
      <c r="D86" s="364" t="str">
        <f>IF('F1 Forecast Contractor'!D86="","",'F1 Forecast Contractor'!D86)</f>
        <v/>
      </c>
      <c r="E86" s="33">
        <f>SUM(B86:D86)</f>
        <v>0</v>
      </c>
      <c r="F86" s="35"/>
    </row>
    <row r="87" spans="1:6" ht="20.100000000000001" customHeight="1">
      <c r="A87" s="460">
        <f>+A86+30</f>
        <v>47300</v>
      </c>
      <c r="B87" s="32" t="str">
        <f>IF('F1 Forecast Serivce Provider'!B87="","",'F1 Forecast Serivce Provider'!B87)</f>
        <v/>
      </c>
      <c r="C87" s="33" t="str">
        <f>IF('F1 Forecast Serivce Provider'!C87="","",'F1 Forecast Serivce Provider'!C87)</f>
        <v/>
      </c>
      <c r="D87" s="364" t="str">
        <f>IF('F1 Forecast Contractor'!D87="","",'F1 Forecast Contractor'!D87)</f>
        <v/>
      </c>
      <c r="E87" s="33">
        <f>SUM(B87:D87)</f>
        <v>0</v>
      </c>
      <c r="F87" s="35"/>
    </row>
    <row r="88" spans="1:6" ht="20.100000000000001" customHeight="1">
      <c r="A88" s="460">
        <f>+A87+31</f>
        <v>47331</v>
      </c>
      <c r="B88" s="32" t="str">
        <f>IF('F1 Forecast Serivce Provider'!B88="","",'F1 Forecast Serivce Provider'!B88)</f>
        <v/>
      </c>
      <c r="C88" s="33" t="str">
        <f>IF('F1 Forecast Serivce Provider'!C88="","",'F1 Forecast Serivce Provider'!C88)</f>
        <v/>
      </c>
      <c r="D88" s="364" t="str">
        <f>IF('F1 Forecast Contractor'!D88="","",'F1 Forecast Contractor'!D88)</f>
        <v/>
      </c>
      <c r="E88" s="33">
        <f>SUM(B88:D88)</f>
        <v>0</v>
      </c>
      <c r="F88" s="35"/>
    </row>
    <row r="89" spans="1:6" ht="20.100000000000001" customHeight="1">
      <c r="A89" s="460">
        <f>+A88+31</f>
        <v>47362</v>
      </c>
      <c r="B89" s="32" t="str">
        <f>IF('F1 Forecast Serivce Provider'!B89="","",'F1 Forecast Serivce Provider'!B89)</f>
        <v/>
      </c>
      <c r="C89" s="33" t="str">
        <f>IF('F1 Forecast Serivce Provider'!C89="","",'F1 Forecast Serivce Provider'!C89)</f>
        <v/>
      </c>
      <c r="D89" s="364" t="str">
        <f>IF('F1 Forecast Contractor'!D89="","",'F1 Forecast Contractor'!D89)</f>
        <v/>
      </c>
      <c r="E89" s="33">
        <f t="shared" ref="E89:E95" si="4">SUM(B89:D89)</f>
        <v>0</v>
      </c>
      <c r="F89" s="35"/>
    </row>
    <row r="90" spans="1:6" ht="20.100000000000001" customHeight="1">
      <c r="A90" s="460">
        <f>+A89+30</f>
        <v>47392</v>
      </c>
      <c r="B90" s="32" t="str">
        <f>IF('F1 Forecast Serivce Provider'!B90="","",'F1 Forecast Serivce Provider'!B90)</f>
        <v/>
      </c>
      <c r="C90" s="33" t="str">
        <f>IF('F1 Forecast Serivce Provider'!C90="","",'F1 Forecast Serivce Provider'!C90)</f>
        <v/>
      </c>
      <c r="D90" s="364" t="str">
        <f>IF('F1 Forecast Contractor'!D90="","",'F1 Forecast Contractor'!D90)</f>
        <v/>
      </c>
      <c r="E90" s="33">
        <f t="shared" si="4"/>
        <v>0</v>
      </c>
      <c r="F90" s="35"/>
    </row>
    <row r="91" spans="1:6" ht="20.100000000000001" customHeight="1">
      <c r="A91" s="460">
        <f>+A90+31</f>
        <v>47423</v>
      </c>
      <c r="B91" s="32" t="str">
        <f>IF('F1 Forecast Serivce Provider'!B91="","",'F1 Forecast Serivce Provider'!B91)</f>
        <v/>
      </c>
      <c r="C91" s="33" t="str">
        <f>IF('F1 Forecast Serivce Provider'!C91="","",'F1 Forecast Serivce Provider'!C91)</f>
        <v/>
      </c>
      <c r="D91" s="364" t="str">
        <f>IF('F1 Forecast Contractor'!D91="","",'F1 Forecast Contractor'!D91)</f>
        <v/>
      </c>
      <c r="E91" s="33">
        <f t="shared" si="4"/>
        <v>0</v>
      </c>
      <c r="F91" s="35"/>
    </row>
    <row r="92" spans="1:6" ht="20.100000000000001" customHeight="1">
      <c r="A92" s="460">
        <f>+A91+30</f>
        <v>47453</v>
      </c>
      <c r="B92" s="32" t="str">
        <f>IF('F1 Forecast Serivce Provider'!B92="","",'F1 Forecast Serivce Provider'!B92)</f>
        <v/>
      </c>
      <c r="C92" s="33" t="str">
        <f>IF('F1 Forecast Serivce Provider'!C92="","",'F1 Forecast Serivce Provider'!C92)</f>
        <v/>
      </c>
      <c r="D92" s="364" t="str">
        <f>IF('F1 Forecast Contractor'!D92="","",'F1 Forecast Contractor'!D92)</f>
        <v/>
      </c>
      <c r="E92" s="33">
        <f t="shared" si="4"/>
        <v>0</v>
      </c>
      <c r="F92" s="35"/>
    </row>
    <row r="93" spans="1:6" ht="20.100000000000001" customHeight="1">
      <c r="A93" s="460">
        <f>+A92+31</f>
        <v>47484</v>
      </c>
      <c r="B93" s="32" t="str">
        <f>IF('F1 Forecast Serivce Provider'!B93="","",'F1 Forecast Serivce Provider'!B93)</f>
        <v/>
      </c>
      <c r="C93" s="33" t="str">
        <f>IF('F1 Forecast Serivce Provider'!C93="","",'F1 Forecast Serivce Provider'!C93)</f>
        <v/>
      </c>
      <c r="D93" s="364" t="str">
        <f>IF('F1 Forecast Contractor'!D93="","",'F1 Forecast Contractor'!D93)</f>
        <v/>
      </c>
      <c r="E93" s="33">
        <f t="shared" si="4"/>
        <v>0</v>
      </c>
      <c r="F93" s="35"/>
    </row>
    <row r="94" spans="1:6" ht="20.100000000000001" customHeight="1">
      <c r="A94" s="460">
        <f>+A93+31</f>
        <v>47515</v>
      </c>
      <c r="B94" s="32" t="str">
        <f>IF('F1 Forecast Serivce Provider'!B94="","",'F1 Forecast Serivce Provider'!B94)</f>
        <v/>
      </c>
      <c r="C94" s="33" t="str">
        <f>IF('F1 Forecast Serivce Provider'!C94="","",'F1 Forecast Serivce Provider'!C94)</f>
        <v/>
      </c>
      <c r="D94" s="364" t="str">
        <f>IF('F1 Forecast Contractor'!D94="","",'F1 Forecast Contractor'!D94)</f>
        <v/>
      </c>
      <c r="E94" s="33">
        <f t="shared" si="4"/>
        <v>0</v>
      </c>
      <c r="F94" s="35"/>
    </row>
    <row r="95" spans="1:6" ht="20.100000000000001" customHeight="1">
      <c r="A95" s="460">
        <f>IF(ISNA(VLOOKUP(A94,DATA!$E$4:$E$13,1,FALSE))=TRUE,A94+28,A94+29)</f>
        <v>47543</v>
      </c>
      <c r="B95" s="475" t="str">
        <f>IF('F1 Forecast Serivce Provider'!B95="","",'F1 Forecast Serivce Provider'!B95)</f>
        <v/>
      </c>
      <c r="C95" s="36" t="str">
        <f>IF('F1 Forecast Serivce Provider'!C95="","",'F1 Forecast Serivce Provider'!C95)</f>
        <v/>
      </c>
      <c r="D95" s="486" t="str">
        <f>IF('F1 Forecast Contractor'!D95="","",'F1 Forecast Contractor'!D95)</f>
        <v/>
      </c>
      <c r="E95" s="36">
        <f t="shared" si="4"/>
        <v>0</v>
      </c>
      <c r="F95" s="35"/>
    </row>
    <row r="96" spans="1:6" ht="20.100000000000001" customHeight="1" thickBot="1">
      <c r="A96" s="37" t="str">
        <f>VLOOKUP(A84,DATA!$Y$2:$AA$41,2,FALSE)</f>
        <v>Sub-Total 2029/2030</v>
      </c>
      <c r="B96" s="471">
        <f>'F1 Forecast Serivce Provider'!B96</f>
        <v>0</v>
      </c>
      <c r="C96" s="472">
        <f>'F1 Forecast Serivce Provider'!C96</f>
        <v>0</v>
      </c>
      <c r="D96" s="42">
        <f>'F1 Forecast Contractor'!D96</f>
        <v>0</v>
      </c>
      <c r="E96" s="38">
        <f>SUM(E84:E95)</f>
        <v>0</v>
      </c>
      <c r="F96" s="39">
        <f>SUM(F84:F95)</f>
        <v>0</v>
      </c>
    </row>
    <row r="97" spans="1:6" ht="20.100000000000001" customHeight="1" thickTop="1">
      <c r="A97" s="460">
        <f>A95+31</f>
        <v>47574</v>
      </c>
      <c r="B97" s="476" t="str">
        <f>IF('F1 Forecast Serivce Provider'!B97="","",'F1 Forecast Serivce Provider'!B97)</f>
        <v/>
      </c>
      <c r="C97" s="477" t="str">
        <f>IF('F1 Forecast Serivce Provider'!C97="","",'F1 Forecast Serivce Provider'!C97)</f>
        <v/>
      </c>
      <c r="D97" s="363" t="str">
        <f>IF('F1 Forecast Contractor'!D97="","",'F1 Forecast Contractor'!D97)</f>
        <v/>
      </c>
      <c r="E97" s="40">
        <f t="shared" ref="E97:E108" si="5">SUM(B97:D97)</f>
        <v>0</v>
      </c>
      <c r="F97" s="35"/>
    </row>
    <row r="98" spans="1:6" ht="20.100000000000001" customHeight="1">
      <c r="A98" s="460">
        <f>+A97+30</f>
        <v>47604</v>
      </c>
      <c r="B98" s="32" t="str">
        <f>IF('F1 Forecast Serivce Provider'!B98="","",'F1 Forecast Serivce Provider'!B98)</f>
        <v/>
      </c>
      <c r="C98" s="33" t="str">
        <f>IF('F1 Forecast Serivce Provider'!C98="","",'F1 Forecast Serivce Provider'!C98)</f>
        <v/>
      </c>
      <c r="D98" s="364" t="str">
        <f>IF('F1 Forecast Contractor'!D98="","",'F1 Forecast Contractor'!D98)</f>
        <v/>
      </c>
      <c r="E98" s="40">
        <f t="shared" si="5"/>
        <v>0</v>
      </c>
      <c r="F98" s="35"/>
    </row>
    <row r="99" spans="1:6" ht="20.100000000000001" customHeight="1">
      <c r="A99" s="460">
        <f>+A98+31</f>
        <v>47635</v>
      </c>
      <c r="B99" s="32" t="str">
        <f>IF('F1 Forecast Serivce Provider'!B99="","",'F1 Forecast Serivce Provider'!B99)</f>
        <v/>
      </c>
      <c r="C99" s="33" t="str">
        <f>IF('F1 Forecast Serivce Provider'!C99="","",'F1 Forecast Serivce Provider'!C99)</f>
        <v/>
      </c>
      <c r="D99" s="364" t="str">
        <f>IF('F1 Forecast Contractor'!D99="","",'F1 Forecast Contractor'!D99)</f>
        <v/>
      </c>
      <c r="E99" s="40">
        <f t="shared" si="5"/>
        <v>0</v>
      </c>
      <c r="F99" s="35"/>
    </row>
    <row r="100" spans="1:6" ht="20.100000000000001" customHeight="1">
      <c r="A100" s="460">
        <f>+A99+30</f>
        <v>47665</v>
      </c>
      <c r="B100" s="32" t="str">
        <f>IF('F1 Forecast Serivce Provider'!B100="","",'F1 Forecast Serivce Provider'!B100)</f>
        <v/>
      </c>
      <c r="C100" s="33" t="str">
        <f>IF('F1 Forecast Serivce Provider'!C100="","",'F1 Forecast Serivce Provider'!C100)</f>
        <v/>
      </c>
      <c r="D100" s="364" t="str">
        <f>IF('F1 Forecast Contractor'!D100="","",'F1 Forecast Contractor'!D100)</f>
        <v/>
      </c>
      <c r="E100" s="40">
        <f t="shared" si="5"/>
        <v>0</v>
      </c>
      <c r="F100" s="35"/>
    </row>
    <row r="101" spans="1:6" ht="20.100000000000001" customHeight="1">
      <c r="A101" s="460">
        <f>+A100+31</f>
        <v>47696</v>
      </c>
      <c r="B101" s="32" t="str">
        <f>IF('F1 Forecast Serivce Provider'!B101="","",'F1 Forecast Serivce Provider'!B101)</f>
        <v/>
      </c>
      <c r="C101" s="33" t="str">
        <f>IF('F1 Forecast Serivce Provider'!C101="","",'F1 Forecast Serivce Provider'!C101)</f>
        <v/>
      </c>
      <c r="D101" s="364" t="str">
        <f>IF('F1 Forecast Contractor'!D101="","",'F1 Forecast Contractor'!D101)</f>
        <v/>
      </c>
      <c r="E101" s="40">
        <f t="shared" si="5"/>
        <v>0</v>
      </c>
      <c r="F101" s="35"/>
    </row>
    <row r="102" spans="1:6" ht="20.100000000000001" customHeight="1">
      <c r="A102" s="460">
        <f>+A101+31</f>
        <v>47727</v>
      </c>
      <c r="B102" s="32" t="str">
        <f>IF('F1 Forecast Serivce Provider'!B102="","",'F1 Forecast Serivce Provider'!B102)</f>
        <v/>
      </c>
      <c r="C102" s="33" t="str">
        <f>IF('F1 Forecast Serivce Provider'!C102="","",'F1 Forecast Serivce Provider'!C102)</f>
        <v/>
      </c>
      <c r="D102" s="364" t="str">
        <f>IF('F1 Forecast Contractor'!D102="","",'F1 Forecast Contractor'!D102)</f>
        <v/>
      </c>
      <c r="E102" s="40">
        <f t="shared" si="5"/>
        <v>0</v>
      </c>
      <c r="F102" s="35"/>
    </row>
    <row r="103" spans="1:6" ht="20.100000000000001" customHeight="1">
      <c r="A103" s="460">
        <f>+A102+30</f>
        <v>47757</v>
      </c>
      <c r="B103" s="32" t="str">
        <f>IF('F1 Forecast Serivce Provider'!B103="","",'F1 Forecast Serivce Provider'!B103)</f>
        <v/>
      </c>
      <c r="C103" s="33" t="str">
        <f>IF('F1 Forecast Serivce Provider'!C103="","",'F1 Forecast Serivce Provider'!C103)</f>
        <v/>
      </c>
      <c r="D103" s="364" t="str">
        <f>IF('F1 Forecast Contractor'!D103="","",'F1 Forecast Contractor'!D103)</f>
        <v/>
      </c>
      <c r="E103" s="40">
        <f t="shared" si="5"/>
        <v>0</v>
      </c>
      <c r="F103" s="35"/>
    </row>
    <row r="104" spans="1:6" ht="20.100000000000001" customHeight="1">
      <c r="A104" s="460">
        <f>+A103+31</f>
        <v>47788</v>
      </c>
      <c r="B104" s="32" t="str">
        <f>IF('F1 Forecast Serivce Provider'!B104="","",'F1 Forecast Serivce Provider'!B104)</f>
        <v/>
      </c>
      <c r="C104" s="33" t="str">
        <f>IF('F1 Forecast Serivce Provider'!C104="","",'F1 Forecast Serivce Provider'!C104)</f>
        <v/>
      </c>
      <c r="D104" s="364" t="str">
        <f>IF('F1 Forecast Contractor'!D104="","",'F1 Forecast Contractor'!D104)</f>
        <v/>
      </c>
      <c r="E104" s="40">
        <f t="shared" si="5"/>
        <v>0</v>
      </c>
      <c r="F104" s="35"/>
    </row>
    <row r="105" spans="1:6" ht="20.100000000000001" customHeight="1">
      <c r="A105" s="460">
        <f>+A104+30</f>
        <v>47818</v>
      </c>
      <c r="B105" s="32" t="str">
        <f>IF('F1 Forecast Serivce Provider'!B105="","",'F1 Forecast Serivce Provider'!B105)</f>
        <v/>
      </c>
      <c r="C105" s="33" t="str">
        <f>IF('F1 Forecast Serivce Provider'!C105="","",'F1 Forecast Serivce Provider'!C105)</f>
        <v/>
      </c>
      <c r="D105" s="364" t="str">
        <f>IF('F1 Forecast Contractor'!D105="","",'F1 Forecast Contractor'!D105)</f>
        <v/>
      </c>
      <c r="E105" s="40">
        <f t="shared" si="5"/>
        <v>0</v>
      </c>
      <c r="F105" s="35"/>
    </row>
    <row r="106" spans="1:6" ht="20.100000000000001" customHeight="1">
      <c r="A106" s="460">
        <f>+A105+31</f>
        <v>47849</v>
      </c>
      <c r="B106" s="32" t="str">
        <f>IF('F1 Forecast Serivce Provider'!B106="","",'F1 Forecast Serivce Provider'!B106)</f>
        <v/>
      </c>
      <c r="C106" s="33" t="str">
        <f>IF('F1 Forecast Serivce Provider'!C106="","",'F1 Forecast Serivce Provider'!C106)</f>
        <v/>
      </c>
      <c r="D106" s="364" t="str">
        <f>IF('F1 Forecast Contractor'!D106="","",'F1 Forecast Contractor'!D106)</f>
        <v/>
      </c>
      <c r="E106" s="40">
        <f t="shared" si="5"/>
        <v>0</v>
      </c>
      <c r="F106" s="35"/>
    </row>
    <row r="107" spans="1:6" ht="20.100000000000001" customHeight="1">
      <c r="A107" s="460">
        <f>+A106+31</f>
        <v>47880</v>
      </c>
      <c r="B107" s="32" t="str">
        <f>IF('F1 Forecast Serivce Provider'!B107="","",'F1 Forecast Serivce Provider'!B107)</f>
        <v/>
      </c>
      <c r="C107" s="33" t="str">
        <f>IF('F1 Forecast Serivce Provider'!C107="","",'F1 Forecast Serivce Provider'!C107)</f>
        <v/>
      </c>
      <c r="D107" s="364" t="str">
        <f>IF('F1 Forecast Contractor'!D107="","",'F1 Forecast Contractor'!D107)</f>
        <v/>
      </c>
      <c r="E107" s="40">
        <f t="shared" si="5"/>
        <v>0</v>
      </c>
      <c r="F107" s="35"/>
    </row>
    <row r="108" spans="1:6" ht="20.100000000000001" customHeight="1">
      <c r="A108" s="460">
        <f>IF(ISNA(VLOOKUP(A107,DATA!$E$4:$E$13,1,FALSE))=TRUE,A107+28,A107+29)</f>
        <v>47908</v>
      </c>
      <c r="B108" s="475" t="str">
        <f>IF('F1 Forecast Serivce Provider'!B108="","",'F1 Forecast Serivce Provider'!B108)</f>
        <v/>
      </c>
      <c r="C108" s="36" t="str">
        <f>IF('F1 Forecast Serivce Provider'!C108="","",'F1 Forecast Serivce Provider'!C108)</f>
        <v/>
      </c>
      <c r="D108" s="486" t="str">
        <f>IF('F1 Forecast Contractor'!D108="","",'F1 Forecast Contractor'!D108)</f>
        <v/>
      </c>
      <c r="E108" s="40">
        <f t="shared" si="5"/>
        <v>0</v>
      </c>
      <c r="F108" s="35"/>
    </row>
    <row r="109" spans="1:6" ht="20.100000000000001" customHeight="1" thickBot="1">
      <c r="A109" s="37" t="str">
        <f>VLOOKUP(A97,DATA!$Y$2:$AA$41,2,FALSE)</f>
        <v>Sub-Total 2030/2031</v>
      </c>
      <c r="B109" s="471">
        <f>'F1 Forecast Serivce Provider'!B109</f>
        <v>0</v>
      </c>
      <c r="C109" s="472">
        <f>'F1 Forecast Serivce Provider'!C109</f>
        <v>0</v>
      </c>
      <c r="D109" s="365">
        <f>'F1 Forecast Contractor'!D109</f>
        <v>0</v>
      </c>
      <c r="E109" s="361">
        <f>SUM(E97:E108)</f>
        <v>0</v>
      </c>
      <c r="F109" s="43">
        <f>SUM(F97:F108)</f>
        <v>0</v>
      </c>
    </row>
    <row r="110" spans="1:6" ht="20.100000000000001" customHeight="1" thickTop="1">
      <c r="A110" s="460">
        <f>A108+31</f>
        <v>47939</v>
      </c>
      <c r="B110" s="476" t="str">
        <f>IF('F1 Forecast Serivce Provider'!B110="","",'F1 Forecast Serivce Provider'!B110)</f>
        <v/>
      </c>
      <c r="C110" s="477" t="str">
        <f>IF('F1 Forecast Serivce Provider'!C110="","",'F1 Forecast Serivce Provider'!C110)</f>
        <v/>
      </c>
      <c r="D110" s="363" t="str">
        <f>IF('F1 Forecast Contractor'!D110="","",'F1 Forecast Contractor'!D110)</f>
        <v/>
      </c>
      <c r="E110" s="40">
        <f>SUM(B110:D110)</f>
        <v>0</v>
      </c>
      <c r="F110" s="35"/>
    </row>
    <row r="111" spans="1:6" ht="20.100000000000001" customHeight="1">
      <c r="A111" s="460">
        <f>+A110+30</f>
        <v>47969</v>
      </c>
      <c r="B111" s="32" t="str">
        <f>IF('F1 Forecast Serivce Provider'!B111="","",'F1 Forecast Serivce Provider'!B111)</f>
        <v/>
      </c>
      <c r="C111" s="33" t="str">
        <f>IF('F1 Forecast Serivce Provider'!C111="","",'F1 Forecast Serivce Provider'!C111)</f>
        <v/>
      </c>
      <c r="D111" s="364" t="str">
        <f>IF('F1 Forecast Contractor'!D111="","",'F1 Forecast Contractor'!D111)</f>
        <v/>
      </c>
      <c r="E111" s="40">
        <f t="shared" ref="E111:E120" si="6">SUM(B111:D111)</f>
        <v>0</v>
      </c>
      <c r="F111" s="35"/>
    </row>
    <row r="112" spans="1:6" ht="20.100000000000001" customHeight="1">
      <c r="A112" s="460">
        <f>+A111+31</f>
        <v>48000</v>
      </c>
      <c r="B112" s="32" t="str">
        <f>IF('F1 Forecast Serivce Provider'!B112="","",'F1 Forecast Serivce Provider'!B112)</f>
        <v/>
      </c>
      <c r="C112" s="33" t="str">
        <f>IF('F1 Forecast Serivce Provider'!C112="","",'F1 Forecast Serivce Provider'!C112)</f>
        <v/>
      </c>
      <c r="D112" s="364" t="str">
        <f>IF('F1 Forecast Contractor'!D112="","",'F1 Forecast Contractor'!D112)</f>
        <v/>
      </c>
      <c r="E112" s="40">
        <f t="shared" si="6"/>
        <v>0</v>
      </c>
      <c r="F112" s="35"/>
    </row>
    <row r="113" spans="1:6" ht="20.100000000000001" customHeight="1">
      <c r="A113" s="460">
        <f>+A112+30</f>
        <v>48030</v>
      </c>
      <c r="B113" s="32" t="str">
        <f>IF('F1 Forecast Serivce Provider'!B113="","",'F1 Forecast Serivce Provider'!B113)</f>
        <v/>
      </c>
      <c r="C113" s="33" t="str">
        <f>IF('F1 Forecast Serivce Provider'!C113="","",'F1 Forecast Serivce Provider'!C113)</f>
        <v/>
      </c>
      <c r="D113" s="364" t="str">
        <f>IF('F1 Forecast Contractor'!D113="","",'F1 Forecast Contractor'!D113)</f>
        <v/>
      </c>
      <c r="E113" s="40">
        <f t="shared" si="6"/>
        <v>0</v>
      </c>
      <c r="F113" s="35"/>
    </row>
    <row r="114" spans="1:6" ht="20.100000000000001" customHeight="1">
      <c r="A114" s="460">
        <f>+A113+31</f>
        <v>48061</v>
      </c>
      <c r="B114" s="32" t="str">
        <f>IF('F1 Forecast Serivce Provider'!B114="","",'F1 Forecast Serivce Provider'!B114)</f>
        <v/>
      </c>
      <c r="C114" s="33" t="str">
        <f>IF('F1 Forecast Serivce Provider'!C114="","",'F1 Forecast Serivce Provider'!C114)</f>
        <v/>
      </c>
      <c r="D114" s="364" t="str">
        <f>IF('F1 Forecast Contractor'!D114="","",'F1 Forecast Contractor'!D114)</f>
        <v/>
      </c>
      <c r="E114" s="40">
        <f t="shared" si="6"/>
        <v>0</v>
      </c>
      <c r="F114" s="35"/>
    </row>
    <row r="115" spans="1:6" ht="20.100000000000001" customHeight="1">
      <c r="A115" s="460">
        <f>+A114+31</f>
        <v>48092</v>
      </c>
      <c r="B115" s="32" t="str">
        <f>IF('F1 Forecast Serivce Provider'!B115="","",'F1 Forecast Serivce Provider'!B115)</f>
        <v/>
      </c>
      <c r="C115" s="33" t="str">
        <f>IF('F1 Forecast Serivce Provider'!C115="","",'F1 Forecast Serivce Provider'!C115)</f>
        <v/>
      </c>
      <c r="D115" s="364" t="str">
        <f>IF('F1 Forecast Contractor'!D115="","",'F1 Forecast Contractor'!D115)</f>
        <v/>
      </c>
      <c r="E115" s="40">
        <f t="shared" si="6"/>
        <v>0</v>
      </c>
      <c r="F115" s="35"/>
    </row>
    <row r="116" spans="1:6" ht="20.100000000000001" customHeight="1">
      <c r="A116" s="460">
        <f>+A115+30</f>
        <v>48122</v>
      </c>
      <c r="B116" s="32" t="str">
        <f>IF('F1 Forecast Serivce Provider'!B116="","",'F1 Forecast Serivce Provider'!B116)</f>
        <v/>
      </c>
      <c r="C116" s="33" t="str">
        <f>IF('F1 Forecast Serivce Provider'!C116="","",'F1 Forecast Serivce Provider'!C116)</f>
        <v/>
      </c>
      <c r="D116" s="364" t="str">
        <f>IF('F1 Forecast Contractor'!D116="","",'F1 Forecast Contractor'!D116)</f>
        <v/>
      </c>
      <c r="E116" s="40">
        <f t="shared" si="6"/>
        <v>0</v>
      </c>
      <c r="F116" s="35"/>
    </row>
    <row r="117" spans="1:6" ht="20.100000000000001" customHeight="1">
      <c r="A117" s="460">
        <f>+A116+31</f>
        <v>48153</v>
      </c>
      <c r="B117" s="32" t="str">
        <f>IF('F1 Forecast Serivce Provider'!B117="","",'F1 Forecast Serivce Provider'!B117)</f>
        <v/>
      </c>
      <c r="C117" s="33" t="str">
        <f>IF('F1 Forecast Serivce Provider'!C117="","",'F1 Forecast Serivce Provider'!C117)</f>
        <v/>
      </c>
      <c r="D117" s="364" t="str">
        <f>IF('F1 Forecast Contractor'!D117="","",'F1 Forecast Contractor'!D117)</f>
        <v/>
      </c>
      <c r="E117" s="40">
        <f t="shared" si="6"/>
        <v>0</v>
      </c>
      <c r="F117" s="35"/>
    </row>
    <row r="118" spans="1:6" ht="20.100000000000001" customHeight="1">
      <c r="A118" s="460">
        <f>+A117+30</f>
        <v>48183</v>
      </c>
      <c r="B118" s="32" t="str">
        <f>IF('F1 Forecast Serivce Provider'!B118="","",'F1 Forecast Serivce Provider'!B118)</f>
        <v/>
      </c>
      <c r="C118" s="33" t="str">
        <f>IF('F1 Forecast Serivce Provider'!C118="","",'F1 Forecast Serivce Provider'!C118)</f>
        <v/>
      </c>
      <c r="D118" s="364" t="str">
        <f>IF('F1 Forecast Contractor'!D118="","",'F1 Forecast Contractor'!D118)</f>
        <v/>
      </c>
      <c r="E118" s="40">
        <f t="shared" si="6"/>
        <v>0</v>
      </c>
      <c r="F118" s="35"/>
    </row>
    <row r="119" spans="1:6" ht="20.100000000000001" customHeight="1">
      <c r="A119" s="460">
        <f>+A118+31</f>
        <v>48214</v>
      </c>
      <c r="B119" s="32" t="str">
        <f>IF('F1 Forecast Serivce Provider'!B119="","",'F1 Forecast Serivce Provider'!B119)</f>
        <v/>
      </c>
      <c r="C119" s="33" t="str">
        <f>IF('F1 Forecast Serivce Provider'!C119="","",'F1 Forecast Serivce Provider'!C119)</f>
        <v/>
      </c>
      <c r="D119" s="364" t="str">
        <f>IF('F1 Forecast Contractor'!D119="","",'F1 Forecast Contractor'!D119)</f>
        <v/>
      </c>
      <c r="E119" s="40">
        <f t="shared" si="6"/>
        <v>0</v>
      </c>
      <c r="F119" s="35"/>
    </row>
    <row r="120" spans="1:6" ht="20.100000000000001" customHeight="1">
      <c r="A120" s="460">
        <f>+A119+31</f>
        <v>48245</v>
      </c>
      <c r="B120" s="32" t="str">
        <f>IF('F1 Forecast Serivce Provider'!B120="","",'F1 Forecast Serivce Provider'!B120)</f>
        <v/>
      </c>
      <c r="C120" s="33" t="str">
        <f>IF('F1 Forecast Serivce Provider'!C120="","",'F1 Forecast Serivce Provider'!C120)</f>
        <v/>
      </c>
      <c r="D120" s="364" t="str">
        <f>IF('F1 Forecast Contractor'!D120="","",'F1 Forecast Contractor'!D120)</f>
        <v/>
      </c>
      <c r="E120" s="40">
        <f t="shared" si="6"/>
        <v>0</v>
      </c>
      <c r="F120" s="35"/>
    </row>
    <row r="121" spans="1:6" ht="20.100000000000001" customHeight="1">
      <c r="A121" s="460">
        <f>IF(ISNA(VLOOKUP(A120,DATA!$E$4:$E$13,1,FALSE))=TRUE,A120+28,A120+29)</f>
        <v>48274</v>
      </c>
      <c r="B121" s="475" t="str">
        <f>IF('F1 Forecast Serivce Provider'!B121="","",'F1 Forecast Serivce Provider'!B121)</f>
        <v/>
      </c>
      <c r="C121" s="36" t="str">
        <f>IF('F1 Forecast Serivce Provider'!C121="","",'F1 Forecast Serivce Provider'!C121)</f>
        <v/>
      </c>
      <c r="D121" s="486" t="str">
        <f>IF('F1 Forecast Contractor'!D121="","",'F1 Forecast Contractor'!D121)</f>
        <v/>
      </c>
      <c r="E121" s="40">
        <f>SUM(B121:D121)</f>
        <v>0</v>
      </c>
      <c r="F121" s="35"/>
    </row>
    <row r="122" spans="1:6" ht="20.100000000000001" customHeight="1" thickBot="1">
      <c r="A122" s="37" t="str">
        <f>VLOOKUP(A110,DATA!$Y$2:$AA$41,2,FALSE)</f>
        <v>Sub-Total 2031/2032</v>
      </c>
      <c r="B122" s="471">
        <f>'F1 Forecast Serivce Provider'!B122</f>
        <v>0</v>
      </c>
      <c r="C122" s="472">
        <f>'F1 Forecast Serivce Provider'!C122</f>
        <v>0</v>
      </c>
      <c r="D122" s="365">
        <f>'F1 Forecast Contractor'!D122</f>
        <v>0</v>
      </c>
      <c r="E122" s="361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366">
        <f>'F1 Forecast Serivce Provider'!B123</f>
        <v>0</v>
      </c>
      <c r="C123" s="366">
        <f>'F1 Forecast Serivce Provider'!C123</f>
        <v>0</v>
      </c>
      <c r="D123" s="367">
        <f>'F1 Forecast Contractor'!D124</f>
        <v>0</v>
      </c>
      <c r="E123" s="362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>
    <tabColor rgb="FF0070C0"/>
    <pageSetUpPr fitToPage="1"/>
  </sheetPr>
  <dimension ref="A1:J124"/>
  <sheetViews>
    <sheetView showGridLines="0" zoomScale="84" zoomScaleNormal="84" workbookViewId="0">
      <selection activeCell="E66" sqref="E66"/>
    </sheetView>
  </sheetViews>
  <sheetFormatPr defaultRowHeight="20.100000000000001" customHeight="1"/>
  <cols>
    <col min="1" max="1" width="30.6640625" style="8" customWidth="1"/>
    <col min="2" max="2" width="27.109375" style="8" customWidth="1"/>
    <col min="3" max="3" width="20" style="8" customWidth="1"/>
    <col min="4" max="4" width="27.6640625" style="8" customWidth="1"/>
    <col min="5" max="5" width="19.88671875" style="8" customWidth="1"/>
    <col min="6" max="6" width="28.44140625" style="8" customWidth="1"/>
    <col min="7" max="7" width="9.109375" style="8"/>
    <col min="8" max="8" width="20.6640625" style="8" customWidth="1"/>
    <col min="9" max="9" width="30" style="8" customWidth="1"/>
    <col min="10" max="10" width="27.88671875" style="8" customWidth="1"/>
    <col min="11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10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10" ht="20.100000000000001" customHeight="1">
      <c r="A2" s="9"/>
      <c r="B2" s="867"/>
      <c r="C2" s="868"/>
      <c r="D2" s="908" t="s">
        <v>492</v>
      </c>
      <c r="E2" s="909"/>
      <c r="F2" s="10" t="s">
        <v>121</v>
      </c>
    </row>
    <row r="3" spans="1:10" ht="20.100000000000001" customHeight="1">
      <c r="A3" s="9"/>
      <c r="B3" s="873" t="s">
        <v>114</v>
      </c>
      <c r="C3" s="910" t="s">
        <v>441</v>
      </c>
      <c r="D3" s="11" t="s">
        <v>115</v>
      </c>
      <c r="E3" s="378" t="str">
        <f>'SERVICE PROVIDER INPUT DATA'!D3</f>
        <v>GP2026/001/68120/2004</v>
      </c>
      <c r="F3" s="49"/>
    </row>
    <row r="4" spans="1:10" ht="20.25" customHeight="1" thickBot="1">
      <c r="A4" s="12"/>
      <c r="B4" s="874"/>
      <c r="C4" s="911"/>
      <c r="D4" s="13" t="s">
        <v>116</v>
      </c>
      <c r="E4" s="457">
        <f>'F1  Cover'!K8</f>
        <v>1</v>
      </c>
      <c r="F4" s="15"/>
    </row>
    <row r="5" spans="1:10" ht="20.100000000000001" customHeight="1">
      <c r="A5" s="856" t="s">
        <v>364</v>
      </c>
      <c r="B5" s="857"/>
      <c r="C5" s="857"/>
      <c r="D5" s="857"/>
      <c r="E5" s="857"/>
      <c r="F5" s="858"/>
    </row>
    <row r="6" spans="1:10" ht="20.100000000000001" customHeight="1">
      <c r="A6" s="859"/>
      <c r="B6" s="860"/>
      <c r="C6" s="860"/>
      <c r="D6" s="860"/>
      <c r="E6" s="860"/>
      <c r="F6" s="861"/>
    </row>
    <row r="7" spans="1:10" ht="20.100000000000001" customHeight="1" thickBot="1">
      <c r="A7" s="862"/>
      <c r="B7" s="863"/>
      <c r="C7" s="863"/>
      <c r="D7" s="863"/>
      <c r="E7" s="863"/>
      <c r="F7" s="864"/>
    </row>
    <row r="8" spans="1:10" ht="20.100000000000001" customHeight="1">
      <c r="A8" s="16" t="s">
        <v>117</v>
      </c>
      <c r="B8" s="346" t="str">
        <f>E3</f>
        <v>GP2026/001/68120/2004</v>
      </c>
      <c r="C8" s="347"/>
      <c r="D8" s="347"/>
      <c r="E8" s="347"/>
      <c r="F8" s="348"/>
    </row>
    <row r="9" spans="1:10" ht="20.100000000000001" customHeight="1">
      <c r="A9" s="888" t="s">
        <v>118</v>
      </c>
      <c r="B9" s="890" t="str">
        <f>'SERVICE PROVIDER INPUT DATA'!D5</f>
        <v>OFFICE FACILITY MANAGEMENT FOR SANRAL GAUTENG PROVINCIAL OFFICE (38 IDA STREET, MENLO PARK, PRETORIA)</v>
      </c>
      <c r="C9" s="891"/>
      <c r="D9" s="891"/>
      <c r="E9" s="891"/>
      <c r="F9" s="892"/>
    </row>
    <row r="10" spans="1:10" ht="18.75" customHeight="1">
      <c r="A10" s="889"/>
      <c r="B10" s="893"/>
      <c r="C10" s="894"/>
      <c r="D10" s="894"/>
      <c r="E10" s="894"/>
      <c r="F10" s="895"/>
    </row>
    <row r="11" spans="1:10" ht="20.100000000000001" customHeight="1">
      <c r="A11" s="17" t="s">
        <v>119</v>
      </c>
      <c r="B11" s="896">
        <f>'SERVICE PROVIDER INPUT DATA'!D13</f>
        <v>0</v>
      </c>
      <c r="C11" s="897"/>
      <c r="D11" s="19" t="s">
        <v>120</v>
      </c>
      <c r="E11" s="912"/>
      <c r="F11" s="913"/>
    </row>
    <row r="12" spans="1:10" ht="20.100000000000001" customHeight="1">
      <c r="A12" s="18" t="s">
        <v>493</v>
      </c>
      <c r="B12" s="900">
        <f>'SERVICE PROVIDER INPUT DATA'!D7</f>
        <v>0</v>
      </c>
      <c r="C12" s="901"/>
      <c r="D12" s="901"/>
      <c r="E12" s="901"/>
      <c r="F12" s="902"/>
      <c r="I12" s="296"/>
      <c r="J12" s="296"/>
    </row>
    <row r="13" spans="1:10" ht="20.100000000000001" customHeight="1">
      <c r="A13" s="19" t="s">
        <v>431</v>
      </c>
      <c r="B13" s="458">
        <f>'Pricing Schedule'!F110</f>
        <v>86244250</v>
      </c>
      <c r="C13" s="345" t="s">
        <v>123</v>
      </c>
      <c r="D13" s="338"/>
      <c r="E13" s="338"/>
      <c r="F13" s="339"/>
      <c r="I13" s="756"/>
      <c r="J13" s="757"/>
    </row>
    <row r="14" spans="1:10" ht="20.100000000000001" hidden="1" customHeight="1">
      <c r="A14" s="18" t="s">
        <v>124</v>
      </c>
      <c r="B14" s="903" t="str">
        <f>IF('F1 Forecast Contractor'!B14:D14="","",'F1 Forecast Contractor'!B14:D14)</f>
        <v/>
      </c>
      <c r="C14" s="904"/>
      <c r="D14" s="905"/>
      <c r="E14" s="338"/>
      <c r="F14" s="339"/>
    </row>
    <row r="15" spans="1:10" ht="20.100000000000001" hidden="1" customHeight="1">
      <c r="A15" s="17" t="s">
        <v>119</v>
      </c>
      <c r="B15" s="914" t="str">
        <f>IF('F1 Forecast Contractor'!B15="","",'F1 Forecast Contractor'!B15)</f>
        <v/>
      </c>
      <c r="C15" s="915"/>
      <c r="D15" s="19" t="s">
        <v>120</v>
      </c>
      <c r="E15" s="877" t="str">
        <f>IF('F1 Forecast Contractor'!E15:F15="","",'F1 Forecast Contractor'!E15:F15)</f>
        <v/>
      </c>
      <c r="F15" s="878"/>
    </row>
    <row r="16" spans="1:10" ht="36" customHeight="1" thickBot="1">
      <c r="A16" s="22" t="s">
        <v>494</v>
      </c>
      <c r="B16" s="341">
        <f>B123</f>
        <v>0</v>
      </c>
      <c r="C16" s="342" t="s">
        <v>123</v>
      </c>
      <c r="D16" s="338"/>
      <c r="E16" s="343"/>
      <c r="F16" s="344"/>
      <c r="J16" s="756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916" t="s">
        <v>583</v>
      </c>
      <c r="C19" s="917"/>
      <c r="D19" s="349" t="s">
        <v>131</v>
      </c>
      <c r="E19" s="336">
        <f>'F1 Forecast Combined'!A20</f>
        <v>46113</v>
      </c>
      <c r="F19" s="30"/>
    </row>
    <row r="20" spans="1:6" ht="20.100000000000001" customHeight="1">
      <c r="A20" s="31">
        <f>'F1 Forecast Combined'!A20</f>
        <v>46113</v>
      </c>
      <c r="B20" s="924"/>
      <c r="C20" s="925"/>
      <c r="D20" s="469"/>
      <c r="E20" s="33">
        <f t="shared" ref="E20:E31" si="0">SUM(B20:C20)</f>
        <v>0</v>
      </c>
      <c r="F20" s="35"/>
    </row>
    <row r="21" spans="1:6" ht="20.100000000000001" customHeight="1">
      <c r="A21" s="31">
        <f>'F1 Forecast Combined'!A21</f>
        <v>46143</v>
      </c>
      <c r="B21" s="926"/>
      <c r="C21" s="927"/>
      <c r="D21" s="469"/>
      <c r="E21" s="33">
        <f t="shared" si="0"/>
        <v>0</v>
      </c>
      <c r="F21" s="35"/>
    </row>
    <row r="22" spans="1:6" ht="20.100000000000001" customHeight="1">
      <c r="A22" s="31">
        <f>'F1 Forecast Combined'!A22</f>
        <v>46174</v>
      </c>
      <c r="B22" s="926"/>
      <c r="C22" s="927"/>
      <c r="D22" s="469"/>
      <c r="E22" s="33">
        <f t="shared" si="0"/>
        <v>0</v>
      </c>
      <c r="F22" s="35"/>
    </row>
    <row r="23" spans="1:6" ht="20.100000000000001" customHeight="1">
      <c r="A23" s="31">
        <f>'F1 Forecast Combined'!A23</f>
        <v>46204</v>
      </c>
      <c r="B23" s="926"/>
      <c r="C23" s="927"/>
      <c r="D23" s="469"/>
      <c r="E23" s="33">
        <f t="shared" si="0"/>
        <v>0</v>
      </c>
      <c r="F23" s="35"/>
    </row>
    <row r="24" spans="1:6" ht="20.100000000000001" customHeight="1">
      <c r="A24" s="31">
        <f>'F1 Forecast Combined'!A24</f>
        <v>46235</v>
      </c>
      <c r="B24" s="926"/>
      <c r="C24" s="927"/>
      <c r="D24" s="469"/>
      <c r="E24" s="33">
        <f t="shared" si="0"/>
        <v>0</v>
      </c>
      <c r="F24" s="35"/>
    </row>
    <row r="25" spans="1:6" ht="20.100000000000001" customHeight="1">
      <c r="A25" s="31">
        <f>'F1 Forecast Combined'!A25</f>
        <v>46266</v>
      </c>
      <c r="B25" s="926"/>
      <c r="C25" s="927"/>
      <c r="D25" s="469"/>
      <c r="E25" s="33">
        <f t="shared" si="0"/>
        <v>0</v>
      </c>
      <c r="F25" s="35"/>
    </row>
    <row r="26" spans="1:6" ht="20.100000000000001" customHeight="1">
      <c r="A26" s="31">
        <f>'F1 Forecast Combined'!A26</f>
        <v>46296</v>
      </c>
      <c r="B26" s="926"/>
      <c r="C26" s="927"/>
      <c r="D26" s="469"/>
      <c r="E26" s="33">
        <f t="shared" si="0"/>
        <v>0</v>
      </c>
      <c r="F26" s="35"/>
    </row>
    <row r="27" spans="1:6" ht="20.100000000000001" customHeight="1">
      <c r="A27" s="31">
        <f>'F1 Forecast Combined'!A27</f>
        <v>46327</v>
      </c>
      <c r="B27" s="926"/>
      <c r="C27" s="927"/>
      <c r="D27" s="469"/>
      <c r="E27" s="33">
        <f t="shared" si="0"/>
        <v>0</v>
      </c>
      <c r="F27" s="35"/>
    </row>
    <row r="28" spans="1:6" ht="20.100000000000001" customHeight="1">
      <c r="A28" s="31">
        <f>'F1 Forecast Combined'!A28</f>
        <v>46357</v>
      </c>
      <c r="B28" s="926"/>
      <c r="C28" s="927"/>
      <c r="D28" s="469"/>
      <c r="E28" s="33">
        <f t="shared" si="0"/>
        <v>0</v>
      </c>
      <c r="F28" s="35"/>
    </row>
    <row r="29" spans="1:6" ht="20.100000000000001" customHeight="1">
      <c r="A29" s="31">
        <f>'F1 Forecast Combined'!A29</f>
        <v>46388</v>
      </c>
      <c r="B29" s="926"/>
      <c r="C29" s="927"/>
      <c r="D29" s="469"/>
      <c r="E29" s="33">
        <f t="shared" si="0"/>
        <v>0</v>
      </c>
      <c r="F29" s="35"/>
    </row>
    <row r="30" spans="1:6" ht="20.100000000000001" customHeight="1">
      <c r="A30" s="31">
        <f>'F1 Forecast Combined'!A30</f>
        <v>46419</v>
      </c>
      <c r="B30" s="926"/>
      <c r="C30" s="927"/>
      <c r="D30" s="469"/>
      <c r="E30" s="33">
        <f t="shared" si="0"/>
        <v>0</v>
      </c>
      <c r="F30" s="35"/>
    </row>
    <row r="31" spans="1:6" ht="20.100000000000001" customHeight="1">
      <c r="A31" s="31">
        <f>'F1 Forecast Combined'!A31</f>
        <v>46447</v>
      </c>
      <c r="B31" s="926"/>
      <c r="C31" s="927"/>
      <c r="D31" s="469"/>
      <c r="E31" s="36">
        <f t="shared" si="0"/>
        <v>0</v>
      </c>
      <c r="F31" s="35"/>
    </row>
    <row r="32" spans="1:6" ht="20.100000000000001" customHeight="1" thickBot="1">
      <c r="A32" s="37" t="str">
        <f>'F1 Forecast Combined'!A32</f>
        <v>Sub-Total 2026/2027</v>
      </c>
      <c r="B32" s="930">
        <f>SUM(B20:B31)</f>
        <v>0</v>
      </c>
      <c r="C32" s="931"/>
      <c r="D32" s="350"/>
      <c r="E32" s="38">
        <f>SUM(E20:E31)</f>
        <v>0</v>
      </c>
      <c r="F32" s="39">
        <f>SUM(F20:F31)</f>
        <v>0</v>
      </c>
    </row>
    <row r="33" spans="1:10" ht="20.100000000000001" customHeight="1" thickTop="1">
      <c r="A33" s="31">
        <f>'F1 Forecast Combined'!A33</f>
        <v>46478</v>
      </c>
      <c r="B33" s="926"/>
      <c r="C33" s="927"/>
      <c r="D33" s="470"/>
      <c r="E33" s="40">
        <f t="shared" ref="E33:E57" si="1">SUM(B33:C33)</f>
        <v>0</v>
      </c>
      <c r="F33" s="35"/>
    </row>
    <row r="34" spans="1:10" ht="20.100000000000001" customHeight="1">
      <c r="A34" s="31">
        <f>'F1 Forecast Combined'!A34</f>
        <v>46508</v>
      </c>
      <c r="B34" s="926"/>
      <c r="C34" s="927"/>
      <c r="D34" s="470"/>
      <c r="E34" s="40">
        <f t="shared" si="1"/>
        <v>0</v>
      </c>
      <c r="F34" s="35"/>
    </row>
    <row r="35" spans="1:10" ht="20.100000000000001" customHeight="1">
      <c r="A35" s="31">
        <f>'F1 Forecast Combined'!A35</f>
        <v>46539</v>
      </c>
      <c r="B35" s="926"/>
      <c r="C35" s="927"/>
      <c r="D35" s="470"/>
      <c r="E35" s="40">
        <f t="shared" si="1"/>
        <v>0</v>
      </c>
      <c r="F35" s="35"/>
    </row>
    <row r="36" spans="1:10" ht="20.100000000000001" customHeight="1">
      <c r="A36" s="31">
        <f>'F1 Forecast Combined'!A36</f>
        <v>46569</v>
      </c>
      <c r="B36" s="926"/>
      <c r="C36" s="927"/>
      <c r="D36" s="470"/>
      <c r="E36" s="40">
        <f t="shared" si="1"/>
        <v>0</v>
      </c>
      <c r="F36" s="35"/>
    </row>
    <row r="37" spans="1:10" ht="20.100000000000001" customHeight="1">
      <c r="A37" s="31">
        <f>'F1 Forecast Combined'!A37</f>
        <v>46600</v>
      </c>
      <c r="B37" s="926"/>
      <c r="C37" s="927"/>
      <c r="D37" s="470"/>
      <c r="E37" s="40">
        <f t="shared" si="1"/>
        <v>0</v>
      </c>
      <c r="F37" s="35"/>
    </row>
    <row r="38" spans="1:10" ht="20.100000000000001" customHeight="1">
      <c r="A38" s="31">
        <f>'F1 Forecast Combined'!A38</f>
        <v>46631</v>
      </c>
      <c r="B38" s="926"/>
      <c r="C38" s="927"/>
      <c r="D38" s="470"/>
      <c r="E38" s="40">
        <f t="shared" si="1"/>
        <v>0</v>
      </c>
      <c r="F38" s="35"/>
    </row>
    <row r="39" spans="1:10" ht="20.100000000000001" customHeight="1">
      <c r="A39" s="31">
        <f>'F1 Forecast Combined'!A39</f>
        <v>46661</v>
      </c>
      <c r="B39" s="926"/>
      <c r="C39" s="927"/>
      <c r="D39" s="470"/>
      <c r="E39" s="40">
        <f t="shared" si="1"/>
        <v>0</v>
      </c>
      <c r="F39" s="35"/>
    </row>
    <row r="40" spans="1:10" ht="20.100000000000001" customHeight="1">
      <c r="A40" s="31">
        <f>'F1 Forecast Combined'!A40</f>
        <v>46692</v>
      </c>
      <c r="B40" s="926"/>
      <c r="C40" s="927"/>
      <c r="D40" s="470"/>
      <c r="E40" s="40">
        <f t="shared" si="1"/>
        <v>0</v>
      </c>
      <c r="F40" s="35"/>
    </row>
    <row r="41" spans="1:10" ht="20.100000000000001" customHeight="1">
      <c r="A41" s="31">
        <f>'F1 Forecast Combined'!A41</f>
        <v>46722</v>
      </c>
      <c r="B41" s="926"/>
      <c r="C41" s="927"/>
      <c r="D41" s="470"/>
      <c r="E41" s="40">
        <f t="shared" si="1"/>
        <v>0</v>
      </c>
      <c r="F41" s="35"/>
    </row>
    <row r="42" spans="1:10" ht="20.100000000000001" customHeight="1">
      <c r="A42" s="31">
        <f>'F1 Forecast Combined'!A42</f>
        <v>46753</v>
      </c>
      <c r="B42" s="926"/>
      <c r="C42" s="927"/>
      <c r="D42" s="470"/>
      <c r="E42" s="40">
        <f t="shared" si="1"/>
        <v>0</v>
      </c>
      <c r="F42" s="35"/>
      <c r="I42" s="729"/>
    </row>
    <row r="43" spans="1:10" ht="20.100000000000001" customHeight="1">
      <c r="A43" s="31">
        <f>'F1 Forecast Combined'!A43</f>
        <v>46784</v>
      </c>
      <c r="B43" s="926"/>
      <c r="C43" s="927"/>
      <c r="D43" s="470"/>
      <c r="E43" s="40">
        <f t="shared" si="1"/>
        <v>0</v>
      </c>
      <c r="F43" s="35"/>
    </row>
    <row r="44" spans="1:10" ht="20.100000000000001" customHeight="1">
      <c r="A44" s="31">
        <f>'F1 Forecast Combined'!A44</f>
        <v>46813</v>
      </c>
      <c r="B44" s="926"/>
      <c r="C44" s="927"/>
      <c r="D44" s="470"/>
      <c r="E44" s="40">
        <f t="shared" si="1"/>
        <v>0</v>
      </c>
      <c r="F44" s="35"/>
    </row>
    <row r="45" spans="1:10" ht="20.100000000000001" customHeight="1" thickBot="1">
      <c r="A45" s="41" t="str">
        <f>'F1 Forecast Combined'!A45</f>
        <v>Sub-Total 2027/2028</v>
      </c>
      <c r="B45" s="930">
        <f>SUM(B33:B44)</f>
        <v>0</v>
      </c>
      <c r="C45" s="931"/>
      <c r="D45" s="351"/>
      <c r="E45" s="42">
        <f>SUM(E33:E44)</f>
        <v>0</v>
      </c>
      <c r="F45" s="43">
        <f>SUM(F33:F44)</f>
        <v>0</v>
      </c>
    </row>
    <row r="46" spans="1:10" ht="20.100000000000001" customHeight="1" thickTop="1">
      <c r="A46" s="31">
        <f>'F1 Forecast Combined'!A46</f>
        <v>46844</v>
      </c>
      <c r="B46" s="926"/>
      <c r="C46" s="927"/>
      <c r="D46" s="470"/>
      <c r="E46" s="40">
        <f t="shared" si="1"/>
        <v>0</v>
      </c>
      <c r="F46" s="35">
        <f>B46</f>
        <v>0</v>
      </c>
      <c r="H46" s="740"/>
      <c r="I46" s="729"/>
      <c r="J46" s="742"/>
    </row>
    <row r="47" spans="1:10" ht="20.100000000000001" customHeight="1">
      <c r="A47" s="31">
        <f>'F1 Forecast Combined'!A47</f>
        <v>46874</v>
      </c>
      <c r="B47" s="926"/>
      <c r="C47" s="927"/>
      <c r="D47" s="741"/>
      <c r="E47" s="40">
        <f t="shared" si="1"/>
        <v>0</v>
      </c>
      <c r="F47" s="35">
        <f t="shared" ref="F47:F57" si="2">B47</f>
        <v>0</v>
      </c>
      <c r="H47" s="740"/>
      <c r="I47" s="729"/>
      <c r="J47" s="742"/>
    </row>
    <row r="48" spans="1:10" ht="20.100000000000001" customHeight="1">
      <c r="A48" s="31">
        <f>'F1 Forecast Combined'!A48</f>
        <v>46905</v>
      </c>
      <c r="B48" s="926"/>
      <c r="C48" s="927"/>
      <c r="D48" s="741"/>
      <c r="E48" s="40">
        <f>B48</f>
        <v>0</v>
      </c>
      <c r="F48" s="35">
        <f t="shared" si="2"/>
        <v>0</v>
      </c>
      <c r="H48" s="740"/>
      <c r="I48" s="729"/>
      <c r="J48" s="742"/>
    </row>
    <row r="49" spans="1:10" ht="20.100000000000001" customHeight="1">
      <c r="A49" s="31">
        <f>'F1 Forecast Combined'!A49</f>
        <v>46935</v>
      </c>
      <c r="B49" s="926"/>
      <c r="C49" s="927"/>
      <c r="D49" s="741"/>
      <c r="E49" s="40">
        <f t="shared" si="1"/>
        <v>0</v>
      </c>
      <c r="F49" s="35">
        <f t="shared" si="2"/>
        <v>0</v>
      </c>
      <c r="H49" s="740"/>
      <c r="I49" s="729"/>
      <c r="J49" s="742"/>
    </row>
    <row r="50" spans="1:10" ht="20.100000000000001" customHeight="1">
      <c r="A50" s="31">
        <f>'F1 Forecast Combined'!A50</f>
        <v>46966</v>
      </c>
      <c r="B50" s="926"/>
      <c r="C50" s="927"/>
      <c r="D50" s="741"/>
      <c r="E50" s="40">
        <f t="shared" si="1"/>
        <v>0</v>
      </c>
      <c r="F50" s="35">
        <f t="shared" si="2"/>
        <v>0</v>
      </c>
      <c r="H50" s="740"/>
      <c r="I50" s="729"/>
      <c r="J50" s="742"/>
    </row>
    <row r="51" spans="1:10" ht="20.100000000000001" customHeight="1">
      <c r="A51" s="31">
        <f>'F1 Forecast Combined'!A51</f>
        <v>46997</v>
      </c>
      <c r="B51" s="926"/>
      <c r="C51" s="927"/>
      <c r="D51" s="741"/>
      <c r="E51" s="40">
        <f t="shared" si="1"/>
        <v>0</v>
      </c>
      <c r="F51" s="35">
        <f t="shared" si="2"/>
        <v>0</v>
      </c>
      <c r="H51" s="740"/>
      <c r="I51" s="729"/>
      <c r="J51" s="742"/>
    </row>
    <row r="52" spans="1:10" ht="20.100000000000001" customHeight="1">
      <c r="A52" s="31">
        <f>'F1 Forecast Combined'!A52</f>
        <v>47027</v>
      </c>
      <c r="B52" s="926"/>
      <c r="C52" s="927"/>
      <c r="D52" s="741"/>
      <c r="E52" s="40">
        <f t="shared" si="1"/>
        <v>0</v>
      </c>
      <c r="F52" s="35">
        <f t="shared" si="2"/>
        <v>0</v>
      </c>
      <c r="H52" s="740"/>
      <c r="I52" s="729"/>
      <c r="J52" s="742"/>
    </row>
    <row r="53" spans="1:10" ht="20.100000000000001" customHeight="1">
      <c r="A53" s="31">
        <f>'F1 Forecast Combined'!A53</f>
        <v>47058</v>
      </c>
      <c r="B53" s="926"/>
      <c r="C53" s="927"/>
      <c r="D53" s="741"/>
      <c r="E53" s="40">
        <f t="shared" si="1"/>
        <v>0</v>
      </c>
      <c r="F53" s="35">
        <f t="shared" si="2"/>
        <v>0</v>
      </c>
      <c r="H53" s="740"/>
      <c r="I53" s="729"/>
      <c r="J53" s="742"/>
    </row>
    <row r="54" spans="1:10" ht="20.100000000000001" customHeight="1">
      <c r="A54" s="31">
        <f>'F1 Forecast Combined'!A54</f>
        <v>47088</v>
      </c>
      <c r="B54" s="926"/>
      <c r="C54" s="927"/>
      <c r="D54" s="741"/>
      <c r="E54" s="40">
        <f t="shared" si="1"/>
        <v>0</v>
      </c>
      <c r="F54" s="35">
        <f t="shared" si="2"/>
        <v>0</v>
      </c>
      <c r="H54" s="740"/>
      <c r="I54" s="729"/>
      <c r="J54" s="742"/>
    </row>
    <row r="55" spans="1:10" ht="20.100000000000001" customHeight="1">
      <c r="A55" s="31">
        <f>'F1 Forecast Combined'!A55</f>
        <v>47119</v>
      </c>
      <c r="B55" s="926"/>
      <c r="C55" s="927"/>
      <c r="D55" s="741"/>
      <c r="E55" s="40">
        <f t="shared" si="1"/>
        <v>0</v>
      </c>
      <c r="F55" s="35">
        <f t="shared" si="2"/>
        <v>0</v>
      </c>
    </row>
    <row r="56" spans="1:10" ht="20.100000000000001" customHeight="1">
      <c r="A56" s="31">
        <f>'F1 Forecast Combined'!A56</f>
        <v>47150</v>
      </c>
      <c r="B56" s="926"/>
      <c r="C56" s="927"/>
      <c r="D56" s="470"/>
      <c r="E56" s="40">
        <f t="shared" si="1"/>
        <v>0</v>
      </c>
      <c r="F56" s="35">
        <f t="shared" si="2"/>
        <v>0</v>
      </c>
    </row>
    <row r="57" spans="1:10" ht="20.100000000000001" customHeight="1">
      <c r="A57" s="31">
        <f>'F1 Forecast Combined'!A57</f>
        <v>47178</v>
      </c>
      <c r="B57" s="926"/>
      <c r="C57" s="927"/>
      <c r="D57" s="470"/>
      <c r="E57" s="40">
        <f t="shared" si="1"/>
        <v>0</v>
      </c>
      <c r="F57" s="35">
        <f t="shared" si="2"/>
        <v>0</v>
      </c>
    </row>
    <row r="58" spans="1:10" ht="20.100000000000001" customHeight="1" thickBot="1">
      <c r="A58" s="41" t="str">
        <f>'F1 Forecast Combined'!A58</f>
        <v>Sub-Total 2028/2029</v>
      </c>
      <c r="B58" s="930">
        <f>SUM(B46:B57)</f>
        <v>0</v>
      </c>
      <c r="C58" s="931"/>
      <c r="D58" s="351"/>
      <c r="E58" s="42">
        <f>SUM(E46:E57)</f>
        <v>0</v>
      </c>
      <c r="F58" s="43">
        <f>SUM(F46:F57)</f>
        <v>0</v>
      </c>
    </row>
    <row r="59" spans="1:10" ht="20.100000000000001" customHeight="1" thickTop="1" thickBot="1">
      <c r="A59" s="44" t="s">
        <v>135</v>
      </c>
      <c r="B59" s="932">
        <f>+B32+B45+B58</f>
        <v>0</v>
      </c>
      <c r="C59" s="933"/>
      <c r="D59" s="352"/>
      <c r="E59" s="45">
        <f>+E32+E45+E58</f>
        <v>0</v>
      </c>
      <c r="F59" s="46">
        <f>+F32+F45+F58</f>
        <v>0</v>
      </c>
    </row>
    <row r="60" spans="1:10" ht="20.100000000000001" customHeight="1">
      <c r="A60" s="47" t="s">
        <v>136</v>
      </c>
      <c r="B60" s="47" t="s">
        <v>137</v>
      </c>
      <c r="H60" s="756">
        <f>SUM(B28:C31)+SUM(B33:C44)+SUM(B46:C51)</f>
        <v>0</v>
      </c>
    </row>
    <row r="62" spans="1:10" ht="20.100000000000001" customHeight="1">
      <c r="C62" s="48"/>
    </row>
    <row r="63" spans="1:10" ht="20.100000000000001" customHeight="1" thickBot="1"/>
    <row r="64" spans="1:10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121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378" t="str">
        <f>E3</f>
        <v>GP2026/001/68120/2004</v>
      </c>
      <c r="F66" s="49"/>
    </row>
    <row r="67" spans="1:6" ht="20.100000000000001" customHeight="1" thickBot="1">
      <c r="A67" s="12"/>
      <c r="B67" s="874"/>
      <c r="C67" s="876"/>
      <c r="D67" s="13" t="s">
        <v>116</v>
      </c>
      <c r="E67" s="465">
        <f>E4</f>
        <v>1</v>
      </c>
      <c r="F67" s="15"/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B8</f>
        <v>GP2026/001/68120/2004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918" t="str">
        <f>B9</f>
        <v>OFFICE FACILITY MANAGEMENT FOR SANRAL GAUTENG PROVINCIAL OFFICE (38 IDA STREET, MENLO PARK, PRETORIA)</v>
      </c>
      <c r="C72" s="919"/>
      <c r="D72" s="919"/>
      <c r="E72" s="919"/>
      <c r="F72" s="920"/>
    </row>
    <row r="73" spans="1:6" ht="20.100000000000001" customHeight="1">
      <c r="A73" s="889"/>
      <c r="B73" s="921"/>
      <c r="C73" s="922"/>
      <c r="D73" s="922"/>
      <c r="E73" s="922"/>
      <c r="F73" s="923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>
        <f>E11</f>
        <v>0</v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458">
        <f t="shared" si="3"/>
        <v>86244250</v>
      </c>
      <c r="C76" s="345" t="s">
        <v>123</v>
      </c>
      <c r="D76" s="338"/>
      <c r="E76" s="338"/>
      <c r="F76" s="339"/>
    </row>
    <row r="77" spans="1:6" ht="20.100000000000001" hidden="1" customHeight="1">
      <c r="A77" s="18" t="s">
        <v>124</v>
      </c>
      <c r="B77" s="903" t="str">
        <f t="shared" si="3"/>
        <v/>
      </c>
      <c r="C77" s="904"/>
      <c r="D77" s="905"/>
      <c r="E77" s="338"/>
      <c r="F77" s="339"/>
    </row>
    <row r="78" spans="1:6" ht="20.100000000000001" hidden="1" customHeight="1">
      <c r="A78" s="17" t="s">
        <v>119</v>
      </c>
      <c r="B78" s="914" t="str">
        <f t="shared" si="3"/>
        <v/>
      </c>
      <c r="C78" s="915"/>
      <c r="D78" s="19" t="s">
        <v>120</v>
      </c>
      <c r="E78" s="877" t="str">
        <f>E15</f>
        <v/>
      </c>
      <c r="F78" s="878"/>
    </row>
    <row r="79" spans="1:6" ht="36.7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27" t="s">
        <v>129</v>
      </c>
      <c r="C82" s="28" t="s">
        <v>130</v>
      </c>
      <c r="D82" s="349" t="s">
        <v>131</v>
      </c>
      <c r="E82" s="336" t="str">
        <f>'F1 Forecast Combined'!A83</f>
        <v>Brought Forward</v>
      </c>
      <c r="F82" s="30"/>
    </row>
    <row r="83" spans="1:6" ht="20.100000000000001" customHeight="1" thickBot="1">
      <c r="A83" s="466" t="str">
        <f>'F1 Forecast Combined'!A83</f>
        <v>Brought Forward</v>
      </c>
      <c r="B83" s="928">
        <f>B59</f>
        <v>0</v>
      </c>
      <c r="C83" s="929"/>
      <c r="D83" s="468"/>
      <c r="E83" s="463">
        <f>E59</f>
        <v>0</v>
      </c>
      <c r="F83" s="39">
        <f>F59</f>
        <v>0</v>
      </c>
    </row>
    <row r="84" spans="1:6" ht="20.100000000000001" customHeight="1" thickTop="1">
      <c r="A84" s="31">
        <f>'F1 Forecast Combined'!A84</f>
        <v>47209</v>
      </c>
      <c r="B84" s="926"/>
      <c r="C84" s="927"/>
      <c r="D84" s="469"/>
      <c r="E84" s="33">
        <f t="shared" ref="E84:E95" si="4">SUM(B84:C84)</f>
        <v>0</v>
      </c>
      <c r="F84" s="35"/>
    </row>
    <row r="85" spans="1:6" ht="20.100000000000001" customHeight="1">
      <c r="A85" s="31">
        <f>'F1 Forecast Combined'!A85</f>
        <v>47239</v>
      </c>
      <c r="B85" s="926"/>
      <c r="C85" s="927"/>
      <c r="D85" s="469"/>
      <c r="E85" s="33">
        <f t="shared" si="4"/>
        <v>0</v>
      </c>
      <c r="F85" s="35"/>
    </row>
    <row r="86" spans="1:6" ht="20.100000000000001" customHeight="1">
      <c r="A86" s="31">
        <f>'F1 Forecast Combined'!A86</f>
        <v>47270</v>
      </c>
      <c r="B86" s="926"/>
      <c r="C86" s="927"/>
      <c r="D86" s="469"/>
      <c r="E86" s="33">
        <f t="shared" si="4"/>
        <v>0</v>
      </c>
      <c r="F86" s="35"/>
    </row>
    <row r="87" spans="1:6" ht="20.100000000000001" customHeight="1">
      <c r="A87" s="31">
        <f>'F1 Forecast Combined'!A87</f>
        <v>47300</v>
      </c>
      <c r="B87" s="926"/>
      <c r="C87" s="927"/>
      <c r="D87" s="469"/>
      <c r="E87" s="33">
        <f t="shared" si="4"/>
        <v>0</v>
      </c>
      <c r="F87" s="35"/>
    </row>
    <row r="88" spans="1:6" ht="20.100000000000001" customHeight="1">
      <c r="A88" s="31">
        <f>'F1 Forecast Combined'!A88</f>
        <v>47331</v>
      </c>
      <c r="B88" s="926"/>
      <c r="C88" s="927"/>
      <c r="D88" s="469"/>
      <c r="E88" s="33">
        <f t="shared" si="4"/>
        <v>0</v>
      </c>
      <c r="F88" s="35"/>
    </row>
    <row r="89" spans="1:6" ht="20.100000000000001" customHeight="1">
      <c r="A89" s="31">
        <f>'F1 Forecast Combined'!A89</f>
        <v>47362</v>
      </c>
      <c r="B89" s="926"/>
      <c r="C89" s="927"/>
      <c r="D89" s="469"/>
      <c r="E89" s="33">
        <f t="shared" si="4"/>
        <v>0</v>
      </c>
      <c r="F89" s="35"/>
    </row>
    <row r="90" spans="1:6" ht="20.100000000000001" customHeight="1">
      <c r="A90" s="31">
        <f>'F1 Forecast Combined'!A90</f>
        <v>47392</v>
      </c>
      <c r="B90" s="926"/>
      <c r="C90" s="927"/>
      <c r="D90" s="469"/>
      <c r="E90" s="33">
        <f t="shared" si="4"/>
        <v>0</v>
      </c>
      <c r="F90" s="35"/>
    </row>
    <row r="91" spans="1:6" ht="20.100000000000001" customHeight="1">
      <c r="A91" s="31">
        <f>'F1 Forecast Combined'!A91</f>
        <v>47423</v>
      </c>
      <c r="B91" s="926"/>
      <c r="C91" s="927"/>
      <c r="D91" s="469"/>
      <c r="E91" s="33">
        <f t="shared" si="4"/>
        <v>0</v>
      </c>
      <c r="F91" s="35"/>
    </row>
    <row r="92" spans="1:6" ht="20.100000000000001" customHeight="1">
      <c r="A92" s="31">
        <f>'F1 Forecast Combined'!A92</f>
        <v>47453</v>
      </c>
      <c r="B92" s="926"/>
      <c r="C92" s="927"/>
      <c r="D92" s="469"/>
      <c r="E92" s="33">
        <f t="shared" si="4"/>
        <v>0</v>
      </c>
      <c r="F92" s="35"/>
    </row>
    <row r="93" spans="1:6" ht="20.100000000000001" customHeight="1">
      <c r="A93" s="31">
        <f>'F1 Forecast Combined'!A93</f>
        <v>47484</v>
      </c>
      <c r="B93" s="926"/>
      <c r="C93" s="927"/>
      <c r="D93" s="469"/>
      <c r="E93" s="33">
        <f t="shared" si="4"/>
        <v>0</v>
      </c>
      <c r="F93" s="35"/>
    </row>
    <row r="94" spans="1:6" ht="20.100000000000001" customHeight="1">
      <c r="A94" s="31">
        <f>'F1 Forecast Combined'!A94</f>
        <v>47515</v>
      </c>
      <c r="B94" s="926"/>
      <c r="C94" s="927"/>
      <c r="D94" s="469"/>
      <c r="E94" s="33">
        <f t="shared" si="4"/>
        <v>0</v>
      </c>
      <c r="F94" s="35"/>
    </row>
    <row r="95" spans="1:6" ht="20.100000000000001" customHeight="1">
      <c r="A95" s="31">
        <f>'F1 Forecast Combined'!A95</f>
        <v>47543</v>
      </c>
      <c r="B95" s="926"/>
      <c r="C95" s="927"/>
      <c r="D95" s="469"/>
      <c r="E95" s="36">
        <f t="shared" si="4"/>
        <v>0</v>
      </c>
      <c r="F95" s="35"/>
    </row>
    <row r="96" spans="1:6" ht="20.100000000000001" customHeight="1" thickBot="1">
      <c r="A96" s="467" t="str">
        <f>'F1 Forecast Combined'!A96</f>
        <v>Sub-Total 2029/2030</v>
      </c>
      <c r="B96" s="930">
        <f>SUM(B84:B95)</f>
        <v>0</v>
      </c>
      <c r="C96" s="931"/>
      <c r="D96" s="350"/>
      <c r="E96" s="38">
        <f>SUM(E84:E95)</f>
        <v>0</v>
      </c>
      <c r="F96" s="39">
        <f>SUM(F84:F95)</f>
        <v>0</v>
      </c>
    </row>
    <row r="97" spans="1:6" ht="20.100000000000001" customHeight="1" thickTop="1">
      <c r="A97" s="31">
        <f>'F1 Forecast Combined'!A97</f>
        <v>47574</v>
      </c>
      <c r="B97" s="926"/>
      <c r="C97" s="927"/>
      <c r="D97" s="470"/>
      <c r="E97" s="40">
        <f t="shared" ref="E97:E108" si="5">SUM(B97:C97)</f>
        <v>0</v>
      </c>
      <c r="F97" s="35"/>
    </row>
    <row r="98" spans="1:6" ht="20.100000000000001" customHeight="1">
      <c r="A98" s="31">
        <f>'F1 Forecast Combined'!A98</f>
        <v>47604</v>
      </c>
      <c r="B98" s="926"/>
      <c r="C98" s="927"/>
      <c r="D98" s="470"/>
      <c r="E98" s="40">
        <f t="shared" si="5"/>
        <v>0</v>
      </c>
      <c r="F98" s="35"/>
    </row>
    <row r="99" spans="1:6" ht="20.100000000000001" customHeight="1">
      <c r="A99" s="31">
        <f>'F1 Forecast Combined'!A99</f>
        <v>47635</v>
      </c>
      <c r="B99" s="926"/>
      <c r="C99" s="927"/>
      <c r="D99" s="470"/>
      <c r="E99" s="40">
        <f t="shared" si="5"/>
        <v>0</v>
      </c>
      <c r="F99" s="35"/>
    </row>
    <row r="100" spans="1:6" ht="20.100000000000001" customHeight="1">
      <c r="A100" s="31">
        <f>'F1 Forecast Combined'!A100</f>
        <v>47665</v>
      </c>
      <c r="B100" s="926"/>
      <c r="C100" s="927"/>
      <c r="D100" s="470"/>
      <c r="E100" s="40">
        <f t="shared" si="5"/>
        <v>0</v>
      </c>
      <c r="F100" s="35"/>
    </row>
    <row r="101" spans="1:6" ht="20.100000000000001" customHeight="1">
      <c r="A101" s="31">
        <f>'F1 Forecast Combined'!A101</f>
        <v>47696</v>
      </c>
      <c r="B101" s="926"/>
      <c r="C101" s="927"/>
      <c r="D101" s="470"/>
      <c r="E101" s="40">
        <f t="shared" si="5"/>
        <v>0</v>
      </c>
      <c r="F101" s="35"/>
    </row>
    <row r="102" spans="1:6" ht="20.100000000000001" customHeight="1">
      <c r="A102" s="31">
        <f>'F1 Forecast Combined'!A102</f>
        <v>47727</v>
      </c>
      <c r="B102" s="926"/>
      <c r="C102" s="927"/>
      <c r="D102" s="470"/>
      <c r="E102" s="40">
        <f t="shared" si="5"/>
        <v>0</v>
      </c>
      <c r="F102" s="35"/>
    </row>
    <row r="103" spans="1:6" ht="20.100000000000001" customHeight="1">
      <c r="A103" s="31">
        <f>'F1 Forecast Combined'!A103</f>
        <v>47757</v>
      </c>
      <c r="B103" s="926"/>
      <c r="C103" s="927"/>
      <c r="D103" s="470"/>
      <c r="E103" s="40">
        <f t="shared" si="5"/>
        <v>0</v>
      </c>
      <c r="F103" s="35"/>
    </row>
    <row r="104" spans="1:6" ht="20.100000000000001" customHeight="1">
      <c r="A104" s="31">
        <f>'F1 Forecast Combined'!A104</f>
        <v>47788</v>
      </c>
      <c r="B104" s="926"/>
      <c r="C104" s="927"/>
      <c r="D104" s="470"/>
      <c r="E104" s="40">
        <f t="shared" si="5"/>
        <v>0</v>
      </c>
      <c r="F104" s="35"/>
    </row>
    <row r="105" spans="1:6" ht="20.100000000000001" customHeight="1">
      <c r="A105" s="31">
        <f>'F1 Forecast Combined'!A105</f>
        <v>47818</v>
      </c>
      <c r="B105" s="926"/>
      <c r="C105" s="927"/>
      <c r="D105" s="470"/>
      <c r="E105" s="40">
        <f t="shared" si="5"/>
        <v>0</v>
      </c>
      <c r="F105" s="35"/>
    </row>
    <row r="106" spans="1:6" ht="20.100000000000001" customHeight="1">
      <c r="A106" s="31">
        <f>'F1 Forecast Combined'!A106</f>
        <v>47849</v>
      </c>
      <c r="B106" s="926"/>
      <c r="C106" s="927"/>
      <c r="D106" s="470"/>
      <c r="E106" s="40">
        <f t="shared" si="5"/>
        <v>0</v>
      </c>
      <c r="F106" s="35"/>
    </row>
    <row r="107" spans="1:6" ht="20.100000000000001" customHeight="1">
      <c r="A107" s="31">
        <f>'F1 Forecast Combined'!A107</f>
        <v>47880</v>
      </c>
      <c r="B107" s="926"/>
      <c r="C107" s="927"/>
      <c r="D107" s="470"/>
      <c r="E107" s="40">
        <f t="shared" si="5"/>
        <v>0</v>
      </c>
      <c r="F107" s="35"/>
    </row>
    <row r="108" spans="1:6" ht="20.100000000000001" customHeight="1">
      <c r="A108" s="31">
        <f>'F1 Forecast Combined'!A108</f>
        <v>47908</v>
      </c>
      <c r="B108" s="926"/>
      <c r="C108" s="927"/>
      <c r="D108" s="470"/>
      <c r="E108" s="40">
        <f t="shared" si="5"/>
        <v>0</v>
      </c>
      <c r="F108" s="35"/>
    </row>
    <row r="109" spans="1:6" ht="20.100000000000001" customHeight="1" thickBot="1">
      <c r="A109" s="467" t="str">
        <f>'F1 Forecast Combined'!A109</f>
        <v>Sub-Total 2030/2031</v>
      </c>
      <c r="B109" s="930">
        <f>SUM(B97:B108)</f>
        <v>0</v>
      </c>
      <c r="C109" s="931"/>
      <c r="D109" s="351"/>
      <c r="E109" s="42">
        <f>SUM(E97:E108)</f>
        <v>0</v>
      </c>
      <c r="F109" s="43">
        <f>SUM(F97:F108)</f>
        <v>0</v>
      </c>
    </row>
    <row r="110" spans="1:6" ht="20.100000000000001" customHeight="1" thickTop="1">
      <c r="A110" s="31">
        <f>'F1 Forecast Combined'!A110</f>
        <v>47939</v>
      </c>
      <c r="B110" s="926"/>
      <c r="C110" s="927"/>
      <c r="D110" s="470"/>
      <c r="E110" s="40">
        <f t="shared" ref="E110:E121" si="6">SUM(B110:C110)</f>
        <v>0</v>
      </c>
      <c r="F110" s="35"/>
    </row>
    <row r="111" spans="1:6" ht="20.100000000000001" customHeight="1">
      <c r="A111" s="31">
        <f>'F1 Forecast Combined'!A111</f>
        <v>47969</v>
      </c>
      <c r="B111" s="926"/>
      <c r="C111" s="927"/>
      <c r="D111" s="470"/>
      <c r="E111" s="40">
        <f t="shared" si="6"/>
        <v>0</v>
      </c>
      <c r="F111" s="35"/>
    </row>
    <row r="112" spans="1:6" ht="20.100000000000001" customHeight="1">
      <c r="A112" s="31">
        <f>'F1 Forecast Combined'!A112</f>
        <v>48000</v>
      </c>
      <c r="B112" s="926"/>
      <c r="C112" s="927"/>
      <c r="D112" s="470"/>
      <c r="E112" s="40">
        <f t="shared" si="6"/>
        <v>0</v>
      </c>
      <c r="F112" s="35"/>
    </row>
    <row r="113" spans="1:6" ht="20.100000000000001" customHeight="1">
      <c r="A113" s="31">
        <f>'F1 Forecast Combined'!A113</f>
        <v>48030</v>
      </c>
      <c r="B113" s="926"/>
      <c r="C113" s="927"/>
      <c r="D113" s="470"/>
      <c r="E113" s="40">
        <f t="shared" si="6"/>
        <v>0</v>
      </c>
      <c r="F113" s="35"/>
    </row>
    <row r="114" spans="1:6" ht="20.100000000000001" customHeight="1">
      <c r="A114" s="31">
        <f>'F1 Forecast Combined'!A114</f>
        <v>48061</v>
      </c>
      <c r="B114" s="926"/>
      <c r="C114" s="927"/>
      <c r="D114" s="470"/>
      <c r="E114" s="40">
        <f t="shared" si="6"/>
        <v>0</v>
      </c>
      <c r="F114" s="35"/>
    </row>
    <row r="115" spans="1:6" ht="20.100000000000001" customHeight="1">
      <c r="A115" s="31">
        <f>'F1 Forecast Combined'!A115</f>
        <v>48092</v>
      </c>
      <c r="B115" s="926"/>
      <c r="C115" s="927"/>
      <c r="D115" s="470"/>
      <c r="E115" s="40">
        <f t="shared" si="6"/>
        <v>0</v>
      </c>
      <c r="F115" s="35"/>
    </row>
    <row r="116" spans="1:6" ht="20.100000000000001" customHeight="1">
      <c r="A116" s="31">
        <f>'F1 Forecast Combined'!A116</f>
        <v>48122</v>
      </c>
      <c r="B116" s="926"/>
      <c r="C116" s="927"/>
      <c r="D116" s="470"/>
      <c r="E116" s="40">
        <f t="shared" si="6"/>
        <v>0</v>
      </c>
      <c r="F116" s="35"/>
    </row>
    <row r="117" spans="1:6" ht="20.100000000000001" customHeight="1" thickBot="1">
      <c r="A117" s="730">
        <f>'F1 Forecast Combined'!A117</f>
        <v>48153</v>
      </c>
      <c r="B117" s="934"/>
      <c r="C117" s="935"/>
      <c r="D117" s="731"/>
      <c r="E117" s="732">
        <f t="shared" si="6"/>
        <v>0</v>
      </c>
      <c r="F117" s="733"/>
    </row>
    <row r="118" spans="1:6" ht="20.100000000000001" customHeight="1">
      <c r="A118" s="31">
        <f>'F1 Forecast Combined'!A118</f>
        <v>48183</v>
      </c>
      <c r="B118" s="936"/>
      <c r="C118" s="937"/>
      <c r="D118" s="470"/>
      <c r="E118" s="40">
        <f t="shared" si="6"/>
        <v>0</v>
      </c>
      <c r="F118" s="35"/>
    </row>
    <row r="119" spans="1:6" ht="20.100000000000001" customHeight="1">
      <c r="A119" s="31">
        <f>'F1 Forecast Combined'!A119</f>
        <v>48214</v>
      </c>
      <c r="B119" s="926"/>
      <c r="C119" s="927"/>
      <c r="D119" s="470"/>
      <c r="E119" s="40">
        <f t="shared" si="6"/>
        <v>0</v>
      </c>
      <c r="F119" s="35"/>
    </row>
    <row r="120" spans="1:6" ht="20.100000000000001" customHeight="1">
      <c r="A120" s="31">
        <f>'F1 Forecast Combined'!A120</f>
        <v>48245</v>
      </c>
      <c r="B120" s="926"/>
      <c r="C120" s="927"/>
      <c r="D120" s="470"/>
      <c r="E120" s="40">
        <f t="shared" si="6"/>
        <v>0</v>
      </c>
      <c r="F120" s="35"/>
    </row>
    <row r="121" spans="1:6" ht="20.100000000000001" customHeight="1">
      <c r="A121" s="31">
        <f>'F1 Forecast Combined'!A121</f>
        <v>48274</v>
      </c>
      <c r="B121" s="926"/>
      <c r="C121" s="927"/>
      <c r="D121" s="470"/>
      <c r="E121" s="40">
        <f t="shared" si="6"/>
        <v>0</v>
      </c>
      <c r="F121" s="35"/>
    </row>
    <row r="122" spans="1:6" ht="20.100000000000001" customHeight="1" thickBot="1">
      <c r="A122" s="467" t="str">
        <f>'F1 Forecast Combined'!A122</f>
        <v>Sub-Total 2031/2032</v>
      </c>
      <c r="B122" s="930">
        <f>SUM(B110:B121)</f>
        <v>0</v>
      </c>
      <c r="C122" s="931"/>
      <c r="D122" s="351"/>
      <c r="E122" s="42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932">
        <f>B83+B96+B109+B122</f>
        <v>0</v>
      </c>
      <c r="C123" s="933"/>
      <c r="D123" s="352"/>
      <c r="E123" s="45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116">
    <mergeCell ref="B122:C122"/>
    <mergeCell ref="B123:C123"/>
    <mergeCell ref="B120:C120"/>
    <mergeCell ref="B121:C121"/>
    <mergeCell ref="B32:C32"/>
    <mergeCell ref="B45:C45"/>
    <mergeCell ref="B58:C58"/>
    <mergeCell ref="B59:C59"/>
    <mergeCell ref="B96:C96"/>
    <mergeCell ref="B109:C109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4:C104"/>
    <mergeCell ref="B105:C105"/>
    <mergeCell ref="B106:C106"/>
    <mergeCell ref="B107:C107"/>
    <mergeCell ref="B91:C91"/>
    <mergeCell ref="B92:C92"/>
    <mergeCell ref="B57:C57"/>
    <mergeCell ref="B84:C84"/>
    <mergeCell ref="B85:C85"/>
    <mergeCell ref="B86:C86"/>
    <mergeCell ref="B87:C87"/>
    <mergeCell ref="B83:C83"/>
    <mergeCell ref="B108:C108"/>
    <mergeCell ref="B99:C99"/>
    <mergeCell ref="B100:C100"/>
    <mergeCell ref="B101:C101"/>
    <mergeCell ref="B102:C102"/>
    <mergeCell ref="B103:C103"/>
    <mergeCell ref="B93:C93"/>
    <mergeCell ref="B94:C94"/>
    <mergeCell ref="B95:C95"/>
    <mergeCell ref="B97:C97"/>
    <mergeCell ref="B98:C98"/>
    <mergeCell ref="B56:C56"/>
    <mergeCell ref="B47:C47"/>
    <mergeCell ref="B48:C48"/>
    <mergeCell ref="B49:C49"/>
    <mergeCell ref="B50:C50"/>
    <mergeCell ref="B51:C51"/>
    <mergeCell ref="B88:C88"/>
    <mergeCell ref="B89:C89"/>
    <mergeCell ref="B90:C90"/>
    <mergeCell ref="B36:C36"/>
    <mergeCell ref="B37:C37"/>
    <mergeCell ref="B38:C38"/>
    <mergeCell ref="B39:C39"/>
    <mergeCell ref="B40:C40"/>
    <mergeCell ref="B52:C52"/>
    <mergeCell ref="B53:C53"/>
    <mergeCell ref="B54:C54"/>
    <mergeCell ref="B55:C55"/>
    <mergeCell ref="B20:C20"/>
    <mergeCell ref="B21:C21"/>
    <mergeCell ref="B22:C22"/>
    <mergeCell ref="B23:C23"/>
    <mergeCell ref="B24:C24"/>
    <mergeCell ref="B75:F75"/>
    <mergeCell ref="B77:D77"/>
    <mergeCell ref="B78:C78"/>
    <mergeCell ref="E78:F78"/>
    <mergeCell ref="B30:C30"/>
    <mergeCell ref="B31:C31"/>
    <mergeCell ref="B33:C33"/>
    <mergeCell ref="B34:C34"/>
    <mergeCell ref="B35:C35"/>
    <mergeCell ref="B25:C25"/>
    <mergeCell ref="B26:C26"/>
    <mergeCell ref="B27:C27"/>
    <mergeCell ref="B28:C28"/>
    <mergeCell ref="B29:C29"/>
    <mergeCell ref="B41:C41"/>
    <mergeCell ref="B42:C42"/>
    <mergeCell ref="B43:C43"/>
    <mergeCell ref="B44:C44"/>
    <mergeCell ref="B46:C46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19:C19"/>
  </mergeCells>
  <pageMargins left="0" right="0" top="0.35433070866141736" bottom="0" header="0.11811023622047245" footer="0.11811023622047245"/>
  <pageSetup paperSize="9" scale="68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tabColor rgb="FF0070C0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8" customWidth="1"/>
    <col min="2" max="2" width="27.109375" style="8" customWidth="1"/>
    <col min="3" max="3" width="21.5546875" style="8" customWidth="1"/>
    <col min="4" max="4" width="27.6640625" style="8" customWidth="1"/>
    <col min="5" max="5" width="19.88671875" style="8" customWidth="1"/>
    <col min="6" max="6" width="27" style="8" customWidth="1"/>
    <col min="7" max="9" width="9.109375" style="8"/>
    <col min="10" max="10" width="9.109375" style="8" customWidth="1"/>
    <col min="11" max="256" width="9.109375" style="8"/>
    <col min="257" max="257" width="30.6640625" style="8" customWidth="1"/>
    <col min="258" max="258" width="27.109375" style="8" customWidth="1"/>
    <col min="259" max="259" width="20" style="8" customWidth="1"/>
    <col min="260" max="260" width="27.6640625" style="8" customWidth="1"/>
    <col min="261" max="261" width="19.88671875" style="8" customWidth="1"/>
    <col min="262" max="262" width="28.44140625" style="8" customWidth="1"/>
    <col min="263" max="512" width="9.109375" style="8"/>
    <col min="513" max="513" width="30.6640625" style="8" customWidth="1"/>
    <col min="514" max="514" width="27.109375" style="8" customWidth="1"/>
    <col min="515" max="515" width="20" style="8" customWidth="1"/>
    <col min="516" max="516" width="27.6640625" style="8" customWidth="1"/>
    <col min="517" max="517" width="19.88671875" style="8" customWidth="1"/>
    <col min="518" max="518" width="28.44140625" style="8" customWidth="1"/>
    <col min="519" max="768" width="9.109375" style="8"/>
    <col min="769" max="769" width="30.6640625" style="8" customWidth="1"/>
    <col min="770" max="770" width="27.109375" style="8" customWidth="1"/>
    <col min="771" max="771" width="20" style="8" customWidth="1"/>
    <col min="772" max="772" width="27.6640625" style="8" customWidth="1"/>
    <col min="773" max="773" width="19.88671875" style="8" customWidth="1"/>
    <col min="774" max="774" width="28.44140625" style="8" customWidth="1"/>
    <col min="775" max="1024" width="9.109375" style="8"/>
    <col min="1025" max="1025" width="30.6640625" style="8" customWidth="1"/>
    <col min="1026" max="1026" width="27.109375" style="8" customWidth="1"/>
    <col min="1027" max="1027" width="20" style="8" customWidth="1"/>
    <col min="1028" max="1028" width="27.6640625" style="8" customWidth="1"/>
    <col min="1029" max="1029" width="19.88671875" style="8" customWidth="1"/>
    <col min="1030" max="1030" width="28.44140625" style="8" customWidth="1"/>
    <col min="1031" max="1280" width="9.109375" style="8"/>
    <col min="1281" max="1281" width="30.6640625" style="8" customWidth="1"/>
    <col min="1282" max="1282" width="27.109375" style="8" customWidth="1"/>
    <col min="1283" max="1283" width="20" style="8" customWidth="1"/>
    <col min="1284" max="1284" width="27.6640625" style="8" customWidth="1"/>
    <col min="1285" max="1285" width="19.88671875" style="8" customWidth="1"/>
    <col min="1286" max="1286" width="28.44140625" style="8" customWidth="1"/>
    <col min="1287" max="1536" width="9.109375" style="8"/>
    <col min="1537" max="1537" width="30.6640625" style="8" customWidth="1"/>
    <col min="1538" max="1538" width="27.109375" style="8" customWidth="1"/>
    <col min="1539" max="1539" width="20" style="8" customWidth="1"/>
    <col min="1540" max="1540" width="27.6640625" style="8" customWidth="1"/>
    <col min="1541" max="1541" width="19.88671875" style="8" customWidth="1"/>
    <col min="1542" max="1542" width="28.44140625" style="8" customWidth="1"/>
    <col min="1543" max="1792" width="9.109375" style="8"/>
    <col min="1793" max="1793" width="30.6640625" style="8" customWidth="1"/>
    <col min="1794" max="1794" width="27.109375" style="8" customWidth="1"/>
    <col min="1795" max="1795" width="20" style="8" customWidth="1"/>
    <col min="1796" max="1796" width="27.6640625" style="8" customWidth="1"/>
    <col min="1797" max="1797" width="19.88671875" style="8" customWidth="1"/>
    <col min="1798" max="1798" width="28.44140625" style="8" customWidth="1"/>
    <col min="1799" max="2048" width="9.109375" style="8"/>
    <col min="2049" max="2049" width="30.6640625" style="8" customWidth="1"/>
    <col min="2050" max="2050" width="27.109375" style="8" customWidth="1"/>
    <col min="2051" max="2051" width="20" style="8" customWidth="1"/>
    <col min="2052" max="2052" width="27.6640625" style="8" customWidth="1"/>
    <col min="2053" max="2053" width="19.88671875" style="8" customWidth="1"/>
    <col min="2054" max="2054" width="28.44140625" style="8" customWidth="1"/>
    <col min="2055" max="2304" width="9.109375" style="8"/>
    <col min="2305" max="2305" width="30.6640625" style="8" customWidth="1"/>
    <col min="2306" max="2306" width="27.109375" style="8" customWidth="1"/>
    <col min="2307" max="2307" width="20" style="8" customWidth="1"/>
    <col min="2308" max="2308" width="27.6640625" style="8" customWidth="1"/>
    <col min="2309" max="2309" width="19.88671875" style="8" customWidth="1"/>
    <col min="2310" max="2310" width="28.44140625" style="8" customWidth="1"/>
    <col min="2311" max="2560" width="9.109375" style="8"/>
    <col min="2561" max="2561" width="30.6640625" style="8" customWidth="1"/>
    <col min="2562" max="2562" width="27.109375" style="8" customWidth="1"/>
    <col min="2563" max="2563" width="20" style="8" customWidth="1"/>
    <col min="2564" max="2564" width="27.6640625" style="8" customWidth="1"/>
    <col min="2565" max="2565" width="19.88671875" style="8" customWidth="1"/>
    <col min="2566" max="2566" width="28.44140625" style="8" customWidth="1"/>
    <col min="2567" max="2816" width="9.109375" style="8"/>
    <col min="2817" max="2817" width="30.6640625" style="8" customWidth="1"/>
    <col min="2818" max="2818" width="27.109375" style="8" customWidth="1"/>
    <col min="2819" max="2819" width="20" style="8" customWidth="1"/>
    <col min="2820" max="2820" width="27.6640625" style="8" customWidth="1"/>
    <col min="2821" max="2821" width="19.88671875" style="8" customWidth="1"/>
    <col min="2822" max="2822" width="28.44140625" style="8" customWidth="1"/>
    <col min="2823" max="3072" width="9.109375" style="8"/>
    <col min="3073" max="3073" width="30.6640625" style="8" customWidth="1"/>
    <col min="3074" max="3074" width="27.109375" style="8" customWidth="1"/>
    <col min="3075" max="3075" width="20" style="8" customWidth="1"/>
    <col min="3076" max="3076" width="27.6640625" style="8" customWidth="1"/>
    <col min="3077" max="3077" width="19.88671875" style="8" customWidth="1"/>
    <col min="3078" max="3078" width="28.44140625" style="8" customWidth="1"/>
    <col min="3079" max="3328" width="9.109375" style="8"/>
    <col min="3329" max="3329" width="30.6640625" style="8" customWidth="1"/>
    <col min="3330" max="3330" width="27.109375" style="8" customWidth="1"/>
    <col min="3331" max="3331" width="20" style="8" customWidth="1"/>
    <col min="3332" max="3332" width="27.6640625" style="8" customWidth="1"/>
    <col min="3333" max="3333" width="19.88671875" style="8" customWidth="1"/>
    <col min="3334" max="3334" width="28.44140625" style="8" customWidth="1"/>
    <col min="3335" max="3584" width="9.109375" style="8"/>
    <col min="3585" max="3585" width="30.6640625" style="8" customWidth="1"/>
    <col min="3586" max="3586" width="27.109375" style="8" customWidth="1"/>
    <col min="3587" max="3587" width="20" style="8" customWidth="1"/>
    <col min="3588" max="3588" width="27.6640625" style="8" customWidth="1"/>
    <col min="3589" max="3589" width="19.88671875" style="8" customWidth="1"/>
    <col min="3590" max="3590" width="28.44140625" style="8" customWidth="1"/>
    <col min="3591" max="3840" width="9.109375" style="8"/>
    <col min="3841" max="3841" width="30.6640625" style="8" customWidth="1"/>
    <col min="3842" max="3842" width="27.109375" style="8" customWidth="1"/>
    <col min="3843" max="3843" width="20" style="8" customWidth="1"/>
    <col min="3844" max="3844" width="27.6640625" style="8" customWidth="1"/>
    <col min="3845" max="3845" width="19.88671875" style="8" customWidth="1"/>
    <col min="3846" max="3846" width="28.44140625" style="8" customWidth="1"/>
    <col min="3847" max="4096" width="9.109375" style="8"/>
    <col min="4097" max="4097" width="30.6640625" style="8" customWidth="1"/>
    <col min="4098" max="4098" width="27.109375" style="8" customWidth="1"/>
    <col min="4099" max="4099" width="20" style="8" customWidth="1"/>
    <col min="4100" max="4100" width="27.6640625" style="8" customWidth="1"/>
    <col min="4101" max="4101" width="19.88671875" style="8" customWidth="1"/>
    <col min="4102" max="4102" width="28.44140625" style="8" customWidth="1"/>
    <col min="4103" max="4352" width="9.109375" style="8"/>
    <col min="4353" max="4353" width="30.6640625" style="8" customWidth="1"/>
    <col min="4354" max="4354" width="27.109375" style="8" customWidth="1"/>
    <col min="4355" max="4355" width="20" style="8" customWidth="1"/>
    <col min="4356" max="4356" width="27.6640625" style="8" customWidth="1"/>
    <col min="4357" max="4357" width="19.88671875" style="8" customWidth="1"/>
    <col min="4358" max="4358" width="28.44140625" style="8" customWidth="1"/>
    <col min="4359" max="4608" width="9.109375" style="8"/>
    <col min="4609" max="4609" width="30.6640625" style="8" customWidth="1"/>
    <col min="4610" max="4610" width="27.109375" style="8" customWidth="1"/>
    <col min="4611" max="4611" width="20" style="8" customWidth="1"/>
    <col min="4612" max="4612" width="27.6640625" style="8" customWidth="1"/>
    <col min="4613" max="4613" width="19.88671875" style="8" customWidth="1"/>
    <col min="4614" max="4614" width="28.44140625" style="8" customWidth="1"/>
    <col min="4615" max="4864" width="9.109375" style="8"/>
    <col min="4865" max="4865" width="30.6640625" style="8" customWidth="1"/>
    <col min="4866" max="4866" width="27.109375" style="8" customWidth="1"/>
    <col min="4867" max="4867" width="20" style="8" customWidth="1"/>
    <col min="4868" max="4868" width="27.6640625" style="8" customWidth="1"/>
    <col min="4869" max="4869" width="19.88671875" style="8" customWidth="1"/>
    <col min="4870" max="4870" width="28.44140625" style="8" customWidth="1"/>
    <col min="4871" max="5120" width="9.109375" style="8"/>
    <col min="5121" max="5121" width="30.6640625" style="8" customWidth="1"/>
    <col min="5122" max="5122" width="27.109375" style="8" customWidth="1"/>
    <col min="5123" max="5123" width="20" style="8" customWidth="1"/>
    <col min="5124" max="5124" width="27.6640625" style="8" customWidth="1"/>
    <col min="5125" max="5125" width="19.88671875" style="8" customWidth="1"/>
    <col min="5126" max="5126" width="28.44140625" style="8" customWidth="1"/>
    <col min="5127" max="5376" width="9.109375" style="8"/>
    <col min="5377" max="5377" width="30.6640625" style="8" customWidth="1"/>
    <col min="5378" max="5378" width="27.109375" style="8" customWidth="1"/>
    <col min="5379" max="5379" width="20" style="8" customWidth="1"/>
    <col min="5380" max="5380" width="27.6640625" style="8" customWidth="1"/>
    <col min="5381" max="5381" width="19.88671875" style="8" customWidth="1"/>
    <col min="5382" max="5382" width="28.44140625" style="8" customWidth="1"/>
    <col min="5383" max="5632" width="9.109375" style="8"/>
    <col min="5633" max="5633" width="30.6640625" style="8" customWidth="1"/>
    <col min="5634" max="5634" width="27.109375" style="8" customWidth="1"/>
    <col min="5635" max="5635" width="20" style="8" customWidth="1"/>
    <col min="5636" max="5636" width="27.6640625" style="8" customWidth="1"/>
    <col min="5637" max="5637" width="19.88671875" style="8" customWidth="1"/>
    <col min="5638" max="5638" width="28.44140625" style="8" customWidth="1"/>
    <col min="5639" max="5888" width="9.109375" style="8"/>
    <col min="5889" max="5889" width="30.6640625" style="8" customWidth="1"/>
    <col min="5890" max="5890" width="27.109375" style="8" customWidth="1"/>
    <col min="5891" max="5891" width="20" style="8" customWidth="1"/>
    <col min="5892" max="5892" width="27.6640625" style="8" customWidth="1"/>
    <col min="5893" max="5893" width="19.88671875" style="8" customWidth="1"/>
    <col min="5894" max="5894" width="28.44140625" style="8" customWidth="1"/>
    <col min="5895" max="6144" width="9.109375" style="8"/>
    <col min="6145" max="6145" width="30.6640625" style="8" customWidth="1"/>
    <col min="6146" max="6146" width="27.109375" style="8" customWidth="1"/>
    <col min="6147" max="6147" width="20" style="8" customWidth="1"/>
    <col min="6148" max="6148" width="27.6640625" style="8" customWidth="1"/>
    <col min="6149" max="6149" width="19.88671875" style="8" customWidth="1"/>
    <col min="6150" max="6150" width="28.44140625" style="8" customWidth="1"/>
    <col min="6151" max="6400" width="9.109375" style="8"/>
    <col min="6401" max="6401" width="30.6640625" style="8" customWidth="1"/>
    <col min="6402" max="6402" width="27.109375" style="8" customWidth="1"/>
    <col min="6403" max="6403" width="20" style="8" customWidth="1"/>
    <col min="6404" max="6404" width="27.6640625" style="8" customWidth="1"/>
    <col min="6405" max="6405" width="19.88671875" style="8" customWidth="1"/>
    <col min="6406" max="6406" width="28.44140625" style="8" customWidth="1"/>
    <col min="6407" max="6656" width="9.109375" style="8"/>
    <col min="6657" max="6657" width="30.6640625" style="8" customWidth="1"/>
    <col min="6658" max="6658" width="27.109375" style="8" customWidth="1"/>
    <col min="6659" max="6659" width="20" style="8" customWidth="1"/>
    <col min="6660" max="6660" width="27.6640625" style="8" customWidth="1"/>
    <col min="6661" max="6661" width="19.88671875" style="8" customWidth="1"/>
    <col min="6662" max="6662" width="28.44140625" style="8" customWidth="1"/>
    <col min="6663" max="6912" width="9.109375" style="8"/>
    <col min="6913" max="6913" width="30.6640625" style="8" customWidth="1"/>
    <col min="6914" max="6914" width="27.109375" style="8" customWidth="1"/>
    <col min="6915" max="6915" width="20" style="8" customWidth="1"/>
    <col min="6916" max="6916" width="27.6640625" style="8" customWidth="1"/>
    <col min="6917" max="6917" width="19.88671875" style="8" customWidth="1"/>
    <col min="6918" max="6918" width="28.44140625" style="8" customWidth="1"/>
    <col min="6919" max="7168" width="9.109375" style="8"/>
    <col min="7169" max="7169" width="30.6640625" style="8" customWidth="1"/>
    <col min="7170" max="7170" width="27.109375" style="8" customWidth="1"/>
    <col min="7171" max="7171" width="20" style="8" customWidth="1"/>
    <col min="7172" max="7172" width="27.6640625" style="8" customWidth="1"/>
    <col min="7173" max="7173" width="19.88671875" style="8" customWidth="1"/>
    <col min="7174" max="7174" width="28.44140625" style="8" customWidth="1"/>
    <col min="7175" max="7424" width="9.109375" style="8"/>
    <col min="7425" max="7425" width="30.6640625" style="8" customWidth="1"/>
    <col min="7426" max="7426" width="27.109375" style="8" customWidth="1"/>
    <col min="7427" max="7427" width="20" style="8" customWidth="1"/>
    <col min="7428" max="7428" width="27.6640625" style="8" customWidth="1"/>
    <col min="7429" max="7429" width="19.88671875" style="8" customWidth="1"/>
    <col min="7430" max="7430" width="28.44140625" style="8" customWidth="1"/>
    <col min="7431" max="7680" width="9.109375" style="8"/>
    <col min="7681" max="7681" width="30.6640625" style="8" customWidth="1"/>
    <col min="7682" max="7682" width="27.109375" style="8" customWidth="1"/>
    <col min="7683" max="7683" width="20" style="8" customWidth="1"/>
    <col min="7684" max="7684" width="27.6640625" style="8" customWidth="1"/>
    <col min="7685" max="7685" width="19.88671875" style="8" customWidth="1"/>
    <col min="7686" max="7686" width="28.44140625" style="8" customWidth="1"/>
    <col min="7687" max="7936" width="9.109375" style="8"/>
    <col min="7937" max="7937" width="30.6640625" style="8" customWidth="1"/>
    <col min="7938" max="7938" width="27.109375" style="8" customWidth="1"/>
    <col min="7939" max="7939" width="20" style="8" customWidth="1"/>
    <col min="7940" max="7940" width="27.6640625" style="8" customWidth="1"/>
    <col min="7941" max="7941" width="19.88671875" style="8" customWidth="1"/>
    <col min="7942" max="7942" width="28.44140625" style="8" customWidth="1"/>
    <col min="7943" max="8192" width="9.109375" style="8"/>
    <col min="8193" max="8193" width="30.6640625" style="8" customWidth="1"/>
    <col min="8194" max="8194" width="27.109375" style="8" customWidth="1"/>
    <col min="8195" max="8195" width="20" style="8" customWidth="1"/>
    <col min="8196" max="8196" width="27.6640625" style="8" customWidth="1"/>
    <col min="8197" max="8197" width="19.88671875" style="8" customWidth="1"/>
    <col min="8198" max="8198" width="28.44140625" style="8" customWidth="1"/>
    <col min="8199" max="8448" width="9.109375" style="8"/>
    <col min="8449" max="8449" width="30.6640625" style="8" customWidth="1"/>
    <col min="8450" max="8450" width="27.109375" style="8" customWidth="1"/>
    <col min="8451" max="8451" width="20" style="8" customWidth="1"/>
    <col min="8452" max="8452" width="27.6640625" style="8" customWidth="1"/>
    <col min="8453" max="8453" width="19.88671875" style="8" customWidth="1"/>
    <col min="8454" max="8454" width="28.44140625" style="8" customWidth="1"/>
    <col min="8455" max="8704" width="9.109375" style="8"/>
    <col min="8705" max="8705" width="30.6640625" style="8" customWidth="1"/>
    <col min="8706" max="8706" width="27.109375" style="8" customWidth="1"/>
    <col min="8707" max="8707" width="20" style="8" customWidth="1"/>
    <col min="8708" max="8708" width="27.6640625" style="8" customWidth="1"/>
    <col min="8709" max="8709" width="19.88671875" style="8" customWidth="1"/>
    <col min="8710" max="8710" width="28.44140625" style="8" customWidth="1"/>
    <col min="8711" max="8960" width="9.109375" style="8"/>
    <col min="8961" max="8961" width="30.6640625" style="8" customWidth="1"/>
    <col min="8962" max="8962" width="27.109375" style="8" customWidth="1"/>
    <col min="8963" max="8963" width="20" style="8" customWidth="1"/>
    <col min="8964" max="8964" width="27.6640625" style="8" customWidth="1"/>
    <col min="8965" max="8965" width="19.88671875" style="8" customWidth="1"/>
    <col min="8966" max="8966" width="28.44140625" style="8" customWidth="1"/>
    <col min="8967" max="9216" width="9.109375" style="8"/>
    <col min="9217" max="9217" width="30.6640625" style="8" customWidth="1"/>
    <col min="9218" max="9218" width="27.109375" style="8" customWidth="1"/>
    <col min="9219" max="9219" width="20" style="8" customWidth="1"/>
    <col min="9220" max="9220" width="27.6640625" style="8" customWidth="1"/>
    <col min="9221" max="9221" width="19.88671875" style="8" customWidth="1"/>
    <col min="9222" max="9222" width="28.44140625" style="8" customWidth="1"/>
    <col min="9223" max="9472" width="9.109375" style="8"/>
    <col min="9473" max="9473" width="30.6640625" style="8" customWidth="1"/>
    <col min="9474" max="9474" width="27.109375" style="8" customWidth="1"/>
    <col min="9475" max="9475" width="20" style="8" customWidth="1"/>
    <col min="9476" max="9476" width="27.6640625" style="8" customWidth="1"/>
    <col min="9477" max="9477" width="19.88671875" style="8" customWidth="1"/>
    <col min="9478" max="9478" width="28.44140625" style="8" customWidth="1"/>
    <col min="9479" max="9728" width="9.109375" style="8"/>
    <col min="9729" max="9729" width="30.6640625" style="8" customWidth="1"/>
    <col min="9730" max="9730" width="27.109375" style="8" customWidth="1"/>
    <col min="9731" max="9731" width="20" style="8" customWidth="1"/>
    <col min="9732" max="9732" width="27.6640625" style="8" customWidth="1"/>
    <col min="9733" max="9733" width="19.88671875" style="8" customWidth="1"/>
    <col min="9734" max="9734" width="28.44140625" style="8" customWidth="1"/>
    <col min="9735" max="9984" width="9.109375" style="8"/>
    <col min="9985" max="9985" width="30.6640625" style="8" customWidth="1"/>
    <col min="9986" max="9986" width="27.109375" style="8" customWidth="1"/>
    <col min="9987" max="9987" width="20" style="8" customWidth="1"/>
    <col min="9988" max="9988" width="27.6640625" style="8" customWidth="1"/>
    <col min="9989" max="9989" width="19.88671875" style="8" customWidth="1"/>
    <col min="9990" max="9990" width="28.44140625" style="8" customWidth="1"/>
    <col min="9991" max="10240" width="9.109375" style="8"/>
    <col min="10241" max="10241" width="30.6640625" style="8" customWidth="1"/>
    <col min="10242" max="10242" width="27.109375" style="8" customWidth="1"/>
    <col min="10243" max="10243" width="20" style="8" customWidth="1"/>
    <col min="10244" max="10244" width="27.6640625" style="8" customWidth="1"/>
    <col min="10245" max="10245" width="19.88671875" style="8" customWidth="1"/>
    <col min="10246" max="10246" width="28.44140625" style="8" customWidth="1"/>
    <col min="10247" max="10496" width="9.109375" style="8"/>
    <col min="10497" max="10497" width="30.6640625" style="8" customWidth="1"/>
    <col min="10498" max="10498" width="27.109375" style="8" customWidth="1"/>
    <col min="10499" max="10499" width="20" style="8" customWidth="1"/>
    <col min="10500" max="10500" width="27.6640625" style="8" customWidth="1"/>
    <col min="10501" max="10501" width="19.88671875" style="8" customWidth="1"/>
    <col min="10502" max="10502" width="28.44140625" style="8" customWidth="1"/>
    <col min="10503" max="10752" width="9.109375" style="8"/>
    <col min="10753" max="10753" width="30.6640625" style="8" customWidth="1"/>
    <col min="10754" max="10754" width="27.109375" style="8" customWidth="1"/>
    <col min="10755" max="10755" width="20" style="8" customWidth="1"/>
    <col min="10756" max="10756" width="27.6640625" style="8" customWidth="1"/>
    <col min="10757" max="10757" width="19.88671875" style="8" customWidth="1"/>
    <col min="10758" max="10758" width="28.44140625" style="8" customWidth="1"/>
    <col min="10759" max="11008" width="9.109375" style="8"/>
    <col min="11009" max="11009" width="30.6640625" style="8" customWidth="1"/>
    <col min="11010" max="11010" width="27.109375" style="8" customWidth="1"/>
    <col min="11011" max="11011" width="20" style="8" customWidth="1"/>
    <col min="11012" max="11012" width="27.6640625" style="8" customWidth="1"/>
    <col min="11013" max="11013" width="19.88671875" style="8" customWidth="1"/>
    <col min="11014" max="11014" width="28.44140625" style="8" customWidth="1"/>
    <col min="11015" max="11264" width="9.109375" style="8"/>
    <col min="11265" max="11265" width="30.6640625" style="8" customWidth="1"/>
    <col min="11266" max="11266" width="27.109375" style="8" customWidth="1"/>
    <col min="11267" max="11267" width="20" style="8" customWidth="1"/>
    <col min="11268" max="11268" width="27.6640625" style="8" customWidth="1"/>
    <col min="11269" max="11269" width="19.88671875" style="8" customWidth="1"/>
    <col min="11270" max="11270" width="28.44140625" style="8" customWidth="1"/>
    <col min="11271" max="11520" width="9.109375" style="8"/>
    <col min="11521" max="11521" width="30.6640625" style="8" customWidth="1"/>
    <col min="11522" max="11522" width="27.109375" style="8" customWidth="1"/>
    <col min="11523" max="11523" width="20" style="8" customWidth="1"/>
    <col min="11524" max="11524" width="27.6640625" style="8" customWidth="1"/>
    <col min="11525" max="11525" width="19.88671875" style="8" customWidth="1"/>
    <col min="11526" max="11526" width="28.44140625" style="8" customWidth="1"/>
    <col min="11527" max="11776" width="9.109375" style="8"/>
    <col min="11777" max="11777" width="30.6640625" style="8" customWidth="1"/>
    <col min="11778" max="11778" width="27.109375" style="8" customWidth="1"/>
    <col min="11779" max="11779" width="20" style="8" customWidth="1"/>
    <col min="11780" max="11780" width="27.6640625" style="8" customWidth="1"/>
    <col min="11781" max="11781" width="19.88671875" style="8" customWidth="1"/>
    <col min="11782" max="11782" width="28.44140625" style="8" customWidth="1"/>
    <col min="11783" max="12032" width="9.109375" style="8"/>
    <col min="12033" max="12033" width="30.6640625" style="8" customWidth="1"/>
    <col min="12034" max="12034" width="27.109375" style="8" customWidth="1"/>
    <col min="12035" max="12035" width="20" style="8" customWidth="1"/>
    <col min="12036" max="12036" width="27.6640625" style="8" customWidth="1"/>
    <col min="12037" max="12037" width="19.88671875" style="8" customWidth="1"/>
    <col min="12038" max="12038" width="28.44140625" style="8" customWidth="1"/>
    <col min="12039" max="12288" width="9.109375" style="8"/>
    <col min="12289" max="12289" width="30.6640625" style="8" customWidth="1"/>
    <col min="12290" max="12290" width="27.109375" style="8" customWidth="1"/>
    <col min="12291" max="12291" width="20" style="8" customWidth="1"/>
    <col min="12292" max="12292" width="27.6640625" style="8" customWidth="1"/>
    <col min="12293" max="12293" width="19.88671875" style="8" customWidth="1"/>
    <col min="12294" max="12294" width="28.44140625" style="8" customWidth="1"/>
    <col min="12295" max="12544" width="9.109375" style="8"/>
    <col min="12545" max="12545" width="30.6640625" style="8" customWidth="1"/>
    <col min="12546" max="12546" width="27.109375" style="8" customWidth="1"/>
    <col min="12547" max="12547" width="20" style="8" customWidth="1"/>
    <col min="12548" max="12548" width="27.6640625" style="8" customWidth="1"/>
    <col min="12549" max="12549" width="19.88671875" style="8" customWidth="1"/>
    <col min="12550" max="12550" width="28.44140625" style="8" customWidth="1"/>
    <col min="12551" max="12800" width="9.109375" style="8"/>
    <col min="12801" max="12801" width="30.6640625" style="8" customWidth="1"/>
    <col min="12802" max="12802" width="27.109375" style="8" customWidth="1"/>
    <col min="12803" max="12803" width="20" style="8" customWidth="1"/>
    <col min="12804" max="12804" width="27.6640625" style="8" customWidth="1"/>
    <col min="12805" max="12805" width="19.88671875" style="8" customWidth="1"/>
    <col min="12806" max="12806" width="28.44140625" style="8" customWidth="1"/>
    <col min="12807" max="13056" width="9.109375" style="8"/>
    <col min="13057" max="13057" width="30.6640625" style="8" customWidth="1"/>
    <col min="13058" max="13058" width="27.109375" style="8" customWidth="1"/>
    <col min="13059" max="13059" width="20" style="8" customWidth="1"/>
    <col min="13060" max="13060" width="27.6640625" style="8" customWidth="1"/>
    <col min="13061" max="13061" width="19.88671875" style="8" customWidth="1"/>
    <col min="13062" max="13062" width="28.44140625" style="8" customWidth="1"/>
    <col min="13063" max="13312" width="9.109375" style="8"/>
    <col min="13313" max="13313" width="30.6640625" style="8" customWidth="1"/>
    <col min="13314" max="13314" width="27.109375" style="8" customWidth="1"/>
    <col min="13315" max="13315" width="20" style="8" customWidth="1"/>
    <col min="13316" max="13316" width="27.6640625" style="8" customWidth="1"/>
    <col min="13317" max="13317" width="19.88671875" style="8" customWidth="1"/>
    <col min="13318" max="13318" width="28.44140625" style="8" customWidth="1"/>
    <col min="13319" max="13568" width="9.109375" style="8"/>
    <col min="13569" max="13569" width="30.6640625" style="8" customWidth="1"/>
    <col min="13570" max="13570" width="27.109375" style="8" customWidth="1"/>
    <col min="13571" max="13571" width="20" style="8" customWidth="1"/>
    <col min="13572" max="13572" width="27.6640625" style="8" customWidth="1"/>
    <col min="13573" max="13573" width="19.88671875" style="8" customWidth="1"/>
    <col min="13574" max="13574" width="28.44140625" style="8" customWidth="1"/>
    <col min="13575" max="13824" width="9.109375" style="8"/>
    <col min="13825" max="13825" width="30.6640625" style="8" customWidth="1"/>
    <col min="13826" max="13826" width="27.109375" style="8" customWidth="1"/>
    <col min="13827" max="13827" width="20" style="8" customWidth="1"/>
    <col min="13828" max="13828" width="27.6640625" style="8" customWidth="1"/>
    <col min="13829" max="13829" width="19.88671875" style="8" customWidth="1"/>
    <col min="13830" max="13830" width="28.44140625" style="8" customWidth="1"/>
    <col min="13831" max="14080" width="9.109375" style="8"/>
    <col min="14081" max="14081" width="30.6640625" style="8" customWidth="1"/>
    <col min="14082" max="14082" width="27.109375" style="8" customWidth="1"/>
    <col min="14083" max="14083" width="20" style="8" customWidth="1"/>
    <col min="14084" max="14084" width="27.6640625" style="8" customWidth="1"/>
    <col min="14085" max="14085" width="19.88671875" style="8" customWidth="1"/>
    <col min="14086" max="14086" width="28.44140625" style="8" customWidth="1"/>
    <col min="14087" max="14336" width="9.109375" style="8"/>
    <col min="14337" max="14337" width="30.6640625" style="8" customWidth="1"/>
    <col min="14338" max="14338" width="27.109375" style="8" customWidth="1"/>
    <col min="14339" max="14339" width="20" style="8" customWidth="1"/>
    <col min="14340" max="14340" width="27.6640625" style="8" customWidth="1"/>
    <col min="14341" max="14341" width="19.88671875" style="8" customWidth="1"/>
    <col min="14342" max="14342" width="28.44140625" style="8" customWidth="1"/>
    <col min="14343" max="14592" width="9.109375" style="8"/>
    <col min="14593" max="14593" width="30.6640625" style="8" customWidth="1"/>
    <col min="14594" max="14594" width="27.109375" style="8" customWidth="1"/>
    <col min="14595" max="14595" width="20" style="8" customWidth="1"/>
    <col min="14596" max="14596" width="27.6640625" style="8" customWidth="1"/>
    <col min="14597" max="14597" width="19.88671875" style="8" customWidth="1"/>
    <col min="14598" max="14598" width="28.44140625" style="8" customWidth="1"/>
    <col min="14599" max="14848" width="9.109375" style="8"/>
    <col min="14849" max="14849" width="30.6640625" style="8" customWidth="1"/>
    <col min="14850" max="14850" width="27.109375" style="8" customWidth="1"/>
    <col min="14851" max="14851" width="20" style="8" customWidth="1"/>
    <col min="14852" max="14852" width="27.6640625" style="8" customWidth="1"/>
    <col min="14853" max="14853" width="19.88671875" style="8" customWidth="1"/>
    <col min="14854" max="14854" width="28.44140625" style="8" customWidth="1"/>
    <col min="14855" max="15104" width="9.109375" style="8"/>
    <col min="15105" max="15105" width="30.6640625" style="8" customWidth="1"/>
    <col min="15106" max="15106" width="27.109375" style="8" customWidth="1"/>
    <col min="15107" max="15107" width="20" style="8" customWidth="1"/>
    <col min="15108" max="15108" width="27.6640625" style="8" customWidth="1"/>
    <col min="15109" max="15109" width="19.88671875" style="8" customWidth="1"/>
    <col min="15110" max="15110" width="28.44140625" style="8" customWidth="1"/>
    <col min="15111" max="15360" width="9.109375" style="8"/>
    <col min="15361" max="15361" width="30.6640625" style="8" customWidth="1"/>
    <col min="15362" max="15362" width="27.109375" style="8" customWidth="1"/>
    <col min="15363" max="15363" width="20" style="8" customWidth="1"/>
    <col min="15364" max="15364" width="27.6640625" style="8" customWidth="1"/>
    <col min="15365" max="15365" width="19.88671875" style="8" customWidth="1"/>
    <col min="15366" max="15366" width="28.44140625" style="8" customWidth="1"/>
    <col min="15367" max="15616" width="9.109375" style="8"/>
    <col min="15617" max="15617" width="30.6640625" style="8" customWidth="1"/>
    <col min="15618" max="15618" width="27.109375" style="8" customWidth="1"/>
    <col min="15619" max="15619" width="20" style="8" customWidth="1"/>
    <col min="15620" max="15620" width="27.6640625" style="8" customWidth="1"/>
    <col min="15621" max="15621" width="19.88671875" style="8" customWidth="1"/>
    <col min="15622" max="15622" width="28.44140625" style="8" customWidth="1"/>
    <col min="15623" max="15872" width="9.109375" style="8"/>
    <col min="15873" max="15873" width="30.6640625" style="8" customWidth="1"/>
    <col min="15874" max="15874" width="27.109375" style="8" customWidth="1"/>
    <col min="15875" max="15875" width="20" style="8" customWidth="1"/>
    <col min="15876" max="15876" width="27.6640625" style="8" customWidth="1"/>
    <col min="15877" max="15877" width="19.88671875" style="8" customWidth="1"/>
    <col min="15878" max="15878" width="28.44140625" style="8" customWidth="1"/>
    <col min="15879" max="16128" width="9.109375" style="8"/>
    <col min="16129" max="16129" width="30.6640625" style="8" customWidth="1"/>
    <col min="16130" max="16130" width="27.109375" style="8" customWidth="1"/>
    <col min="16131" max="16131" width="20" style="8" customWidth="1"/>
    <col min="16132" max="16132" width="27.6640625" style="8" customWidth="1"/>
    <col min="16133" max="16133" width="19.88671875" style="8" customWidth="1"/>
    <col min="16134" max="16134" width="28.44140625" style="8" customWidth="1"/>
    <col min="16135" max="16384" width="9.109375" style="8"/>
  </cols>
  <sheetData>
    <row r="1" spans="1:10" ht="20.100000000000001" customHeight="1">
      <c r="A1" s="6"/>
      <c r="B1" s="865" t="s">
        <v>111</v>
      </c>
      <c r="C1" s="866"/>
      <c r="D1" s="869" t="s">
        <v>112</v>
      </c>
      <c r="E1" s="870"/>
      <c r="F1" s="7" t="s">
        <v>113</v>
      </c>
    </row>
    <row r="2" spans="1:10" ht="20.100000000000001" customHeight="1">
      <c r="A2" s="9"/>
      <c r="B2" s="867"/>
      <c r="C2" s="868"/>
      <c r="D2" s="871" t="str">
        <f>'F1 Forecast Serivce Provider'!D2:E2</f>
        <v>BUILDING FACILITIES MANAGEMENT</v>
      </c>
      <c r="E2" s="872"/>
      <c r="F2" s="10" t="s">
        <v>124</v>
      </c>
      <c r="H2" s="337"/>
    </row>
    <row r="3" spans="1:10" ht="20.100000000000001" customHeight="1">
      <c r="A3" s="9"/>
      <c r="B3" s="873" t="s">
        <v>114</v>
      </c>
      <c r="C3" s="875" t="str">
        <f>'F1 Forecast Serivce Provider'!C3</f>
        <v>WESTERN</v>
      </c>
      <c r="D3" s="11" t="s">
        <v>115</v>
      </c>
      <c r="E3" s="378" t="str">
        <f>'F1 Forecast Serivce Provider'!E3</f>
        <v>GP2026/001/68120/2004</v>
      </c>
      <c r="F3" s="49"/>
    </row>
    <row r="4" spans="1:10" ht="20.25" customHeight="1" thickBot="1">
      <c r="A4" s="12"/>
      <c r="B4" s="874"/>
      <c r="C4" s="876"/>
      <c r="D4" s="13" t="s">
        <v>116</v>
      </c>
      <c r="E4" s="14"/>
      <c r="F4" s="15"/>
    </row>
    <row r="5" spans="1:10" ht="20.100000000000001" customHeight="1">
      <c r="A5" s="856" t="s">
        <v>364</v>
      </c>
      <c r="B5" s="857"/>
      <c r="C5" s="857"/>
      <c r="D5" s="857"/>
      <c r="E5" s="857"/>
      <c r="F5" s="858"/>
    </row>
    <row r="6" spans="1:10" ht="20.100000000000001" customHeight="1">
      <c r="A6" s="859"/>
      <c r="B6" s="860"/>
      <c r="C6" s="860"/>
      <c r="D6" s="860"/>
      <c r="E6" s="860"/>
      <c r="F6" s="861"/>
    </row>
    <row r="7" spans="1:10" ht="20.100000000000001" customHeight="1" thickBot="1">
      <c r="A7" s="862"/>
      <c r="B7" s="863"/>
      <c r="C7" s="863"/>
      <c r="D7" s="863"/>
      <c r="E7" s="863"/>
      <c r="F7" s="864"/>
    </row>
    <row r="8" spans="1:10" ht="20.100000000000001" customHeight="1">
      <c r="A8" s="16" t="s">
        <v>117</v>
      </c>
      <c r="B8" s="346" t="str">
        <f>E3</f>
        <v>GP2026/001/68120/2004</v>
      </c>
      <c r="C8" s="347"/>
      <c r="D8" s="347"/>
      <c r="E8" s="347"/>
      <c r="F8" s="348"/>
    </row>
    <row r="9" spans="1:10" ht="20.100000000000001" customHeight="1">
      <c r="A9" s="888" t="s">
        <v>118</v>
      </c>
      <c r="B9" s="890" t="str">
        <f>'F1 Forecast Serivce Provider'!B9:F10</f>
        <v>OFFICE FACILITY MANAGEMENT FOR SANRAL GAUTENG PROVINCIAL OFFICE (38 IDA STREET, MENLO PARK, PRETORIA)</v>
      </c>
      <c r="C9" s="891"/>
      <c r="D9" s="891"/>
      <c r="E9" s="891"/>
      <c r="F9" s="892"/>
    </row>
    <row r="10" spans="1:10" ht="18.75" customHeight="1">
      <c r="A10" s="889"/>
      <c r="B10" s="893"/>
      <c r="C10" s="894"/>
      <c r="D10" s="894"/>
      <c r="E10" s="894"/>
      <c r="F10" s="895"/>
    </row>
    <row r="11" spans="1:10" ht="20.100000000000001" customHeight="1">
      <c r="A11" s="17" t="s">
        <v>119</v>
      </c>
      <c r="B11" s="896">
        <f>IF('F1 Forecast Serivce Provider'!B11:C11="","",'F1 Forecast Serivce Provider'!B11:C11)</f>
        <v>0</v>
      </c>
      <c r="C11" s="897"/>
      <c r="D11" s="19" t="s">
        <v>120</v>
      </c>
      <c r="E11" s="898" t="str">
        <f>IF('F1 Forecast Serivce Provider'!E11:F11="","",'F1 Forecast Serivce Provider'!E11:F11)</f>
        <v/>
      </c>
      <c r="F11" s="899"/>
    </row>
    <row r="12" spans="1:10" ht="20.100000000000001" customHeight="1">
      <c r="A12" s="18" t="s">
        <v>121</v>
      </c>
      <c r="B12" s="900">
        <f>'F1 Forecast Serivce Provider'!B12</f>
        <v>0</v>
      </c>
      <c r="C12" s="901"/>
      <c r="D12" s="901"/>
      <c r="E12" s="901"/>
      <c r="F12" s="902"/>
    </row>
    <row r="13" spans="1:10" ht="20.100000000000001" customHeight="1">
      <c r="A13" s="19" t="s">
        <v>122</v>
      </c>
      <c r="B13" s="340">
        <f>'F1 Forecast Serivce Provider'!B13</f>
        <v>86244250</v>
      </c>
      <c r="C13" s="345" t="s">
        <v>123</v>
      </c>
      <c r="D13" s="338"/>
      <c r="E13" s="338"/>
      <c r="F13" s="339"/>
    </row>
    <row r="14" spans="1:10" ht="20.100000000000001" customHeight="1">
      <c r="A14" s="18" t="s">
        <v>124</v>
      </c>
      <c r="B14" s="940"/>
      <c r="C14" s="941"/>
      <c r="D14" s="942"/>
      <c r="E14" s="20"/>
      <c r="F14" s="21"/>
    </row>
    <row r="15" spans="1:10" ht="20.100000000000001" customHeight="1">
      <c r="A15" s="17" t="s">
        <v>119</v>
      </c>
      <c r="B15" s="943"/>
      <c r="C15" s="944"/>
      <c r="D15" s="19" t="s">
        <v>120</v>
      </c>
      <c r="E15" s="938"/>
      <c r="F15" s="939"/>
    </row>
    <row r="16" spans="1:10" ht="36" customHeight="1" thickBot="1">
      <c r="A16" s="22" t="s">
        <v>125</v>
      </c>
      <c r="B16" s="23">
        <f>E16+E16*('SERVICE PROVIDER INPUT DATA'!D9/100)</f>
        <v>0</v>
      </c>
      <c r="C16" s="24" t="s">
        <v>123</v>
      </c>
      <c r="D16" s="521" t="s">
        <v>413</v>
      </c>
      <c r="E16" s="945">
        <f>'SERVICE PROVIDER INPUT DATA'!D15/(1+'SERVICE PROVIDER INPUT DATA'!D9/100)</f>
        <v>0</v>
      </c>
      <c r="F16" s="946"/>
      <c r="J16" s="530"/>
    </row>
    <row r="17" spans="1:6" ht="16.5" customHeight="1">
      <c r="A17" s="879" t="s">
        <v>126</v>
      </c>
      <c r="B17" s="882" t="s">
        <v>127</v>
      </c>
      <c r="C17" s="883"/>
      <c r="D17" s="883"/>
      <c r="E17" s="884"/>
      <c r="F17" s="25" t="s">
        <v>128</v>
      </c>
    </row>
    <row r="18" spans="1:6" ht="14.25" customHeight="1">
      <c r="A18" s="880"/>
      <c r="B18" s="885" t="s">
        <v>123</v>
      </c>
      <c r="C18" s="886"/>
      <c r="D18" s="886"/>
      <c r="E18" s="887"/>
      <c r="F18" s="26" t="s">
        <v>123</v>
      </c>
    </row>
    <row r="19" spans="1:6" ht="16.5" customHeight="1" thickBot="1">
      <c r="A19" s="881"/>
      <c r="B19" s="353" t="s">
        <v>129</v>
      </c>
      <c r="C19" s="354" t="s">
        <v>130</v>
      </c>
      <c r="D19" s="29" t="s">
        <v>131</v>
      </c>
      <c r="E19" s="28" t="s">
        <v>49</v>
      </c>
      <c r="F19" s="30"/>
    </row>
    <row r="20" spans="1:6" ht="20.100000000000001" customHeight="1">
      <c r="A20" s="31">
        <f>'F1 Forecast Combined'!A20</f>
        <v>46113</v>
      </c>
      <c r="B20" s="355"/>
      <c r="C20" s="356"/>
      <c r="D20" s="478"/>
      <c r="E20" s="33">
        <f t="shared" ref="E20:E31" si="0">SUM(D20:D20)</f>
        <v>0</v>
      </c>
      <c r="F20" s="35"/>
    </row>
    <row r="21" spans="1:6" ht="20.100000000000001" customHeight="1">
      <c r="A21" s="31">
        <f>'F1 Forecast Combined'!A21</f>
        <v>46143</v>
      </c>
      <c r="B21" s="355"/>
      <c r="C21" s="356"/>
      <c r="D21" s="478"/>
      <c r="E21" s="33">
        <f t="shared" si="0"/>
        <v>0</v>
      </c>
      <c r="F21" s="35"/>
    </row>
    <row r="22" spans="1:6" ht="20.100000000000001" customHeight="1">
      <c r="A22" s="31">
        <f>'F1 Forecast Combined'!A22</f>
        <v>46174</v>
      </c>
      <c r="B22" s="355"/>
      <c r="C22" s="356"/>
      <c r="D22" s="478"/>
      <c r="E22" s="33">
        <f t="shared" si="0"/>
        <v>0</v>
      </c>
      <c r="F22" s="35"/>
    </row>
    <row r="23" spans="1:6" ht="20.100000000000001" customHeight="1">
      <c r="A23" s="31">
        <f>'F1 Forecast Combined'!A23</f>
        <v>46204</v>
      </c>
      <c r="B23" s="355"/>
      <c r="C23" s="356"/>
      <c r="D23" s="478"/>
      <c r="E23" s="33">
        <f t="shared" si="0"/>
        <v>0</v>
      </c>
      <c r="F23" s="35"/>
    </row>
    <row r="24" spans="1:6" ht="20.100000000000001" customHeight="1">
      <c r="A24" s="31">
        <f>'F1 Forecast Combined'!A24</f>
        <v>46235</v>
      </c>
      <c r="B24" s="355"/>
      <c r="C24" s="356"/>
      <c r="D24" s="478"/>
      <c r="E24" s="33">
        <f t="shared" si="0"/>
        <v>0</v>
      </c>
      <c r="F24" s="35"/>
    </row>
    <row r="25" spans="1:6" ht="20.100000000000001" customHeight="1">
      <c r="A25" s="31">
        <f>'F1 Forecast Combined'!A25</f>
        <v>46266</v>
      </c>
      <c r="B25" s="355"/>
      <c r="C25" s="356"/>
      <c r="D25" s="478"/>
      <c r="E25" s="33">
        <f t="shared" si="0"/>
        <v>0</v>
      </c>
      <c r="F25" s="35"/>
    </row>
    <row r="26" spans="1:6" ht="20.100000000000001" customHeight="1">
      <c r="A26" s="31">
        <f>'F1 Forecast Combined'!A26</f>
        <v>46296</v>
      </c>
      <c r="B26" s="355"/>
      <c r="C26" s="356"/>
      <c r="D26" s="478"/>
      <c r="E26" s="33">
        <f t="shared" si="0"/>
        <v>0</v>
      </c>
      <c r="F26" s="35"/>
    </row>
    <row r="27" spans="1:6" ht="20.100000000000001" customHeight="1">
      <c r="A27" s="31">
        <f>'F1 Forecast Combined'!A27</f>
        <v>46327</v>
      </c>
      <c r="B27" s="357"/>
      <c r="C27" s="356"/>
      <c r="D27" s="478"/>
      <c r="E27" s="33">
        <f t="shared" si="0"/>
        <v>0</v>
      </c>
      <c r="F27" s="35"/>
    </row>
    <row r="28" spans="1:6" ht="20.100000000000001" customHeight="1">
      <c r="A28" s="31">
        <f>'F1 Forecast Combined'!A28</f>
        <v>46357</v>
      </c>
      <c r="B28" s="355"/>
      <c r="C28" s="356"/>
      <c r="D28" s="478"/>
      <c r="E28" s="33">
        <f t="shared" si="0"/>
        <v>0</v>
      </c>
      <c r="F28" s="35"/>
    </row>
    <row r="29" spans="1:6" ht="20.100000000000001" customHeight="1">
      <c r="A29" s="31">
        <f>'F1 Forecast Combined'!A29</f>
        <v>46388</v>
      </c>
      <c r="B29" s="355"/>
      <c r="C29" s="356"/>
      <c r="D29" s="478"/>
      <c r="E29" s="33">
        <f t="shared" si="0"/>
        <v>0</v>
      </c>
      <c r="F29" s="35"/>
    </row>
    <row r="30" spans="1:6" ht="20.100000000000001" customHeight="1">
      <c r="A30" s="31">
        <f>'F1 Forecast Combined'!A30</f>
        <v>46419</v>
      </c>
      <c r="B30" s="355"/>
      <c r="C30" s="356"/>
      <c r="D30" s="478"/>
      <c r="E30" s="33">
        <f t="shared" si="0"/>
        <v>0</v>
      </c>
      <c r="F30" s="35"/>
    </row>
    <row r="31" spans="1:6" ht="20.100000000000001" customHeight="1">
      <c r="A31" s="31">
        <f>'F1 Forecast Combined'!A31</f>
        <v>46447</v>
      </c>
      <c r="B31" s="355"/>
      <c r="C31" s="358"/>
      <c r="D31" s="478"/>
      <c r="E31" s="36">
        <f t="shared" si="0"/>
        <v>0</v>
      </c>
      <c r="F31" s="35"/>
    </row>
    <row r="32" spans="1:6" ht="20.100000000000001" customHeight="1" thickBot="1">
      <c r="A32" s="37" t="str">
        <f>'F1 Forecast Combined'!A32</f>
        <v>Sub-Total 2026/2027</v>
      </c>
      <c r="B32" s="350"/>
      <c r="C32" s="350"/>
      <c r="D32" s="38">
        <f>SUM(D20:D31)</f>
        <v>0</v>
      </c>
      <c r="E32" s="38">
        <f>SUM(E20:E31)</f>
        <v>0</v>
      </c>
      <c r="F32" s="39">
        <f>SUM(F20:F31)</f>
        <v>0</v>
      </c>
    </row>
    <row r="33" spans="1:6" ht="20.100000000000001" customHeight="1" thickTop="1">
      <c r="A33" s="31">
        <f>'F1 Forecast Combined'!A33</f>
        <v>46478</v>
      </c>
      <c r="B33" s="359"/>
      <c r="C33" s="360"/>
      <c r="D33" s="479"/>
      <c r="E33" s="40">
        <f t="shared" ref="E33:E44" si="1">SUM(D33:D33)</f>
        <v>0</v>
      </c>
      <c r="F33" s="35"/>
    </row>
    <row r="34" spans="1:6" ht="20.100000000000001" customHeight="1">
      <c r="A34" s="31">
        <f>'F1 Forecast Combined'!A34</f>
        <v>46508</v>
      </c>
      <c r="B34" s="359"/>
      <c r="C34" s="356"/>
      <c r="D34" s="479"/>
      <c r="E34" s="40">
        <f t="shared" si="1"/>
        <v>0</v>
      </c>
      <c r="F34" s="35"/>
    </row>
    <row r="35" spans="1:6" ht="20.100000000000001" customHeight="1">
      <c r="A35" s="31">
        <f>'F1 Forecast Combined'!A35</f>
        <v>46539</v>
      </c>
      <c r="B35" s="359"/>
      <c r="C35" s="360"/>
      <c r="D35" s="479"/>
      <c r="E35" s="40">
        <f t="shared" si="1"/>
        <v>0</v>
      </c>
      <c r="F35" s="35"/>
    </row>
    <row r="36" spans="1:6" ht="20.100000000000001" customHeight="1">
      <c r="A36" s="31">
        <f>'F1 Forecast Combined'!A36</f>
        <v>46569</v>
      </c>
      <c r="B36" s="359"/>
      <c r="C36" s="356"/>
      <c r="D36" s="479"/>
      <c r="E36" s="40">
        <f t="shared" si="1"/>
        <v>0</v>
      </c>
      <c r="F36" s="35"/>
    </row>
    <row r="37" spans="1:6" ht="20.100000000000001" customHeight="1">
      <c r="A37" s="31">
        <f>'F1 Forecast Combined'!A37</f>
        <v>46600</v>
      </c>
      <c r="B37" s="359"/>
      <c r="C37" s="356"/>
      <c r="D37" s="479"/>
      <c r="E37" s="40">
        <f t="shared" si="1"/>
        <v>0</v>
      </c>
      <c r="F37" s="35"/>
    </row>
    <row r="38" spans="1:6" ht="20.100000000000001" customHeight="1">
      <c r="A38" s="31">
        <f>'F1 Forecast Combined'!A38</f>
        <v>46631</v>
      </c>
      <c r="B38" s="359"/>
      <c r="C38" s="356"/>
      <c r="D38" s="479"/>
      <c r="E38" s="40">
        <f t="shared" si="1"/>
        <v>0</v>
      </c>
      <c r="F38" s="35"/>
    </row>
    <row r="39" spans="1:6" ht="20.100000000000001" customHeight="1">
      <c r="A39" s="31">
        <f>'F1 Forecast Combined'!A39</f>
        <v>46661</v>
      </c>
      <c r="B39" s="359"/>
      <c r="C39" s="356"/>
      <c r="D39" s="479"/>
      <c r="E39" s="40">
        <f t="shared" si="1"/>
        <v>0</v>
      </c>
      <c r="F39" s="35"/>
    </row>
    <row r="40" spans="1:6" ht="20.100000000000001" customHeight="1">
      <c r="A40" s="31">
        <f>'F1 Forecast Combined'!A40</f>
        <v>46692</v>
      </c>
      <c r="B40" s="359"/>
      <c r="C40" s="356"/>
      <c r="D40" s="479"/>
      <c r="E40" s="40">
        <f t="shared" si="1"/>
        <v>0</v>
      </c>
      <c r="F40" s="35"/>
    </row>
    <row r="41" spans="1:6" ht="20.100000000000001" customHeight="1">
      <c r="A41" s="31">
        <f>'F1 Forecast Combined'!A41</f>
        <v>46722</v>
      </c>
      <c r="B41" s="359"/>
      <c r="C41" s="356"/>
      <c r="D41" s="479"/>
      <c r="E41" s="40">
        <f t="shared" si="1"/>
        <v>0</v>
      </c>
      <c r="F41" s="35"/>
    </row>
    <row r="42" spans="1:6" ht="20.100000000000001" customHeight="1">
      <c r="A42" s="31">
        <f>'F1 Forecast Combined'!A42</f>
        <v>46753</v>
      </c>
      <c r="B42" s="359"/>
      <c r="C42" s="356"/>
      <c r="D42" s="479"/>
      <c r="E42" s="40">
        <f t="shared" si="1"/>
        <v>0</v>
      </c>
      <c r="F42" s="35"/>
    </row>
    <row r="43" spans="1:6" ht="20.100000000000001" customHeight="1">
      <c r="A43" s="31">
        <f>'F1 Forecast Combined'!A43</f>
        <v>46784</v>
      </c>
      <c r="B43" s="359"/>
      <c r="C43" s="356"/>
      <c r="D43" s="479"/>
      <c r="E43" s="40">
        <f t="shared" si="1"/>
        <v>0</v>
      </c>
      <c r="F43" s="35"/>
    </row>
    <row r="44" spans="1:6" ht="20.100000000000001" customHeight="1">
      <c r="A44" s="31">
        <f>'F1 Forecast Combined'!A44</f>
        <v>46813</v>
      </c>
      <c r="B44" s="359"/>
      <c r="C44" s="356"/>
      <c r="D44" s="479"/>
      <c r="E44" s="40">
        <f t="shared" si="1"/>
        <v>0</v>
      </c>
      <c r="F44" s="35"/>
    </row>
    <row r="45" spans="1:6" ht="20.100000000000001" customHeight="1" thickBot="1">
      <c r="A45" s="41" t="str">
        <f>'F1 Forecast Combined'!A45</f>
        <v>Sub-Total 2027/2028</v>
      </c>
      <c r="B45" s="351"/>
      <c r="C45" s="351"/>
      <c r="D45" s="42">
        <f>SUM(D33:D44)</f>
        <v>0</v>
      </c>
      <c r="E45" s="42">
        <f>SUM(E33:E44)</f>
        <v>0</v>
      </c>
      <c r="F45" s="43">
        <f>SUM(F33:F44)</f>
        <v>0</v>
      </c>
    </row>
    <row r="46" spans="1:6" ht="20.100000000000001" customHeight="1" thickTop="1">
      <c r="A46" s="31">
        <f>'F1 Forecast Combined'!A46</f>
        <v>46844</v>
      </c>
      <c r="B46" s="359"/>
      <c r="C46" s="356"/>
      <c r="D46" s="479"/>
      <c r="E46" s="40">
        <f t="shared" ref="E46:E57" si="2">SUM(D46:D46)</f>
        <v>0</v>
      </c>
      <c r="F46" s="35"/>
    </row>
    <row r="47" spans="1:6" ht="20.100000000000001" customHeight="1">
      <c r="A47" s="31">
        <f>'F1 Forecast Combined'!A47</f>
        <v>46874</v>
      </c>
      <c r="B47" s="359"/>
      <c r="C47" s="356"/>
      <c r="D47" s="479"/>
      <c r="E47" s="40">
        <f t="shared" si="2"/>
        <v>0</v>
      </c>
      <c r="F47" s="35"/>
    </row>
    <row r="48" spans="1:6" ht="20.100000000000001" customHeight="1">
      <c r="A48" s="31">
        <f>'F1 Forecast Combined'!A48</f>
        <v>46905</v>
      </c>
      <c r="B48" s="359"/>
      <c r="C48" s="360"/>
      <c r="D48" s="479"/>
      <c r="E48" s="40">
        <f t="shared" si="2"/>
        <v>0</v>
      </c>
      <c r="F48" s="35"/>
    </row>
    <row r="49" spans="1:6" ht="20.100000000000001" customHeight="1">
      <c r="A49" s="31">
        <f>'F1 Forecast Combined'!A49</f>
        <v>46935</v>
      </c>
      <c r="B49" s="359"/>
      <c r="C49" s="360"/>
      <c r="D49" s="479"/>
      <c r="E49" s="40">
        <f t="shared" si="2"/>
        <v>0</v>
      </c>
      <c r="F49" s="35"/>
    </row>
    <row r="50" spans="1:6" ht="20.100000000000001" customHeight="1">
      <c r="A50" s="31">
        <f>'F1 Forecast Combined'!A50</f>
        <v>46966</v>
      </c>
      <c r="B50" s="359"/>
      <c r="C50" s="360"/>
      <c r="D50" s="479"/>
      <c r="E50" s="40">
        <f t="shared" si="2"/>
        <v>0</v>
      </c>
      <c r="F50" s="35"/>
    </row>
    <row r="51" spans="1:6" ht="20.100000000000001" customHeight="1">
      <c r="A51" s="31">
        <f>'F1 Forecast Combined'!A51</f>
        <v>46997</v>
      </c>
      <c r="B51" s="359"/>
      <c r="C51" s="360"/>
      <c r="D51" s="479"/>
      <c r="E51" s="40">
        <f t="shared" si="2"/>
        <v>0</v>
      </c>
      <c r="F51" s="35"/>
    </row>
    <row r="52" spans="1:6" ht="20.100000000000001" customHeight="1">
      <c r="A52" s="31">
        <f>'F1 Forecast Combined'!A52</f>
        <v>47027</v>
      </c>
      <c r="B52" s="359"/>
      <c r="C52" s="360"/>
      <c r="D52" s="479"/>
      <c r="E52" s="40">
        <f t="shared" si="2"/>
        <v>0</v>
      </c>
      <c r="F52" s="35"/>
    </row>
    <row r="53" spans="1:6" ht="20.100000000000001" customHeight="1">
      <c r="A53" s="31">
        <f>'F1 Forecast Combined'!A53</f>
        <v>47058</v>
      </c>
      <c r="B53" s="359"/>
      <c r="C53" s="360"/>
      <c r="D53" s="479"/>
      <c r="E53" s="40">
        <f t="shared" si="2"/>
        <v>0</v>
      </c>
      <c r="F53" s="35"/>
    </row>
    <row r="54" spans="1:6" ht="20.100000000000001" customHeight="1">
      <c r="A54" s="31">
        <f>'F1 Forecast Combined'!A54</f>
        <v>47088</v>
      </c>
      <c r="B54" s="359"/>
      <c r="C54" s="360"/>
      <c r="D54" s="479"/>
      <c r="E54" s="40">
        <f t="shared" si="2"/>
        <v>0</v>
      </c>
      <c r="F54" s="35"/>
    </row>
    <row r="55" spans="1:6" ht="20.100000000000001" customHeight="1">
      <c r="A55" s="31">
        <f>'F1 Forecast Combined'!A55</f>
        <v>47119</v>
      </c>
      <c r="B55" s="359"/>
      <c r="C55" s="360"/>
      <c r="D55" s="479"/>
      <c r="E55" s="40">
        <f t="shared" si="2"/>
        <v>0</v>
      </c>
      <c r="F55" s="35"/>
    </row>
    <row r="56" spans="1:6" ht="20.100000000000001" customHeight="1">
      <c r="A56" s="31">
        <f>'F1 Forecast Combined'!A56</f>
        <v>47150</v>
      </c>
      <c r="B56" s="359"/>
      <c r="C56" s="360"/>
      <c r="D56" s="479"/>
      <c r="E56" s="40">
        <f t="shared" si="2"/>
        <v>0</v>
      </c>
      <c r="F56" s="35"/>
    </row>
    <row r="57" spans="1:6" ht="20.100000000000001" customHeight="1">
      <c r="A57" s="31">
        <f>'F1 Forecast Combined'!A57</f>
        <v>47178</v>
      </c>
      <c r="B57" s="359"/>
      <c r="C57" s="360"/>
      <c r="D57" s="479"/>
      <c r="E57" s="40">
        <f t="shared" si="2"/>
        <v>0</v>
      </c>
      <c r="F57" s="35"/>
    </row>
    <row r="58" spans="1:6" ht="20.100000000000001" customHeight="1" thickBot="1">
      <c r="A58" s="41" t="str">
        <f>'F1 Forecast Combined'!A58</f>
        <v>Sub-Total 2028/2029</v>
      </c>
      <c r="B58" s="351"/>
      <c r="C58" s="351"/>
      <c r="D58" s="42">
        <f>SUM(D46:D57)</f>
        <v>0</v>
      </c>
      <c r="E58" s="42">
        <f>SUM(E46:E57)</f>
        <v>0</v>
      </c>
      <c r="F58" s="43">
        <f>SUM(F46:F57)</f>
        <v>0</v>
      </c>
    </row>
    <row r="59" spans="1:6" ht="20.100000000000001" customHeight="1" thickTop="1" thickBot="1">
      <c r="A59" s="44" t="s">
        <v>135</v>
      </c>
      <c r="B59" s="352"/>
      <c r="C59" s="352"/>
      <c r="D59" s="45">
        <f>+D32+D45+D58</f>
        <v>0</v>
      </c>
      <c r="E59" s="45">
        <f>+E32+E45+E58</f>
        <v>0</v>
      </c>
      <c r="F59" s="46">
        <f>+F32+F45+F58</f>
        <v>0</v>
      </c>
    </row>
    <row r="60" spans="1:6" ht="20.100000000000001" customHeight="1">
      <c r="A60" s="47" t="s">
        <v>136</v>
      </c>
      <c r="B60" s="47" t="s">
        <v>137</v>
      </c>
    </row>
    <row r="62" spans="1:6" ht="20.100000000000001" customHeight="1">
      <c r="C62" s="48"/>
    </row>
    <row r="63" spans="1:6" ht="20.100000000000001" customHeight="1" thickBot="1"/>
    <row r="64" spans="1:6" ht="20.100000000000001" customHeight="1">
      <c r="A64" s="6"/>
      <c r="B64" s="865" t="s">
        <v>111</v>
      </c>
      <c r="C64" s="866"/>
      <c r="D64" s="869" t="s">
        <v>112</v>
      </c>
      <c r="E64" s="870"/>
      <c r="F64" s="7" t="s">
        <v>113</v>
      </c>
    </row>
    <row r="65" spans="1:6" ht="20.100000000000001" customHeight="1">
      <c r="A65" s="9"/>
      <c r="B65" s="867"/>
      <c r="C65" s="868"/>
      <c r="D65" s="871" t="str">
        <f>D2</f>
        <v>BUILDING FACILITIES MANAGEMENT</v>
      </c>
      <c r="E65" s="872"/>
      <c r="F65" s="10" t="s">
        <v>124</v>
      </c>
    </row>
    <row r="66" spans="1:6" ht="20.100000000000001" customHeight="1">
      <c r="A66" s="9"/>
      <c r="B66" s="873" t="s">
        <v>114</v>
      </c>
      <c r="C66" s="875" t="str">
        <f>C3</f>
        <v>WESTERN</v>
      </c>
      <c r="D66" s="11" t="s">
        <v>115</v>
      </c>
      <c r="E66" s="378" t="str">
        <f>E3</f>
        <v>GP2026/001/68120/2004</v>
      </c>
      <c r="F66" s="49"/>
    </row>
    <row r="67" spans="1:6" ht="20.100000000000001" customHeight="1" thickBot="1">
      <c r="A67" s="12"/>
      <c r="B67" s="874"/>
      <c r="C67" s="876"/>
      <c r="D67" s="13" t="s">
        <v>116</v>
      </c>
      <c r="E67" s="480">
        <f>E4</f>
        <v>0</v>
      </c>
      <c r="F67" s="15"/>
    </row>
    <row r="68" spans="1:6" ht="20.100000000000001" customHeight="1">
      <c r="A68" s="856" t="s">
        <v>363</v>
      </c>
      <c r="B68" s="857"/>
      <c r="C68" s="857"/>
      <c r="D68" s="857"/>
      <c r="E68" s="857"/>
      <c r="F68" s="858"/>
    </row>
    <row r="69" spans="1:6" ht="20.100000000000001" customHeight="1">
      <c r="A69" s="859"/>
      <c r="B69" s="860"/>
      <c r="C69" s="860"/>
      <c r="D69" s="860"/>
      <c r="E69" s="860"/>
      <c r="F69" s="861"/>
    </row>
    <row r="70" spans="1:6" ht="20.100000000000001" customHeight="1" thickBot="1">
      <c r="A70" s="862"/>
      <c r="B70" s="863"/>
      <c r="C70" s="863"/>
      <c r="D70" s="863"/>
      <c r="E70" s="863"/>
      <c r="F70" s="864"/>
    </row>
    <row r="71" spans="1:6" ht="20.100000000000001" customHeight="1">
      <c r="A71" s="16" t="s">
        <v>117</v>
      </c>
      <c r="B71" s="346" t="str">
        <f>E66</f>
        <v>GP2026/001/68120/2004</v>
      </c>
      <c r="C71" s="347"/>
      <c r="D71" s="347"/>
      <c r="E71" s="347"/>
      <c r="F71" s="348"/>
    </row>
    <row r="72" spans="1:6" ht="20.100000000000001" customHeight="1">
      <c r="A72" s="888" t="s">
        <v>118</v>
      </c>
      <c r="B72" s="890" t="str">
        <f>B9</f>
        <v>OFFICE FACILITY MANAGEMENT FOR SANRAL GAUTENG PROVINCIAL OFFICE (38 IDA STREET, MENLO PARK, PRETORIA)</v>
      </c>
      <c r="C72" s="891"/>
      <c r="D72" s="891"/>
      <c r="E72" s="891"/>
      <c r="F72" s="892"/>
    </row>
    <row r="73" spans="1:6" ht="20.100000000000001" customHeight="1">
      <c r="A73" s="889"/>
      <c r="B73" s="893"/>
      <c r="C73" s="894"/>
      <c r="D73" s="894"/>
      <c r="E73" s="894"/>
      <c r="F73" s="895"/>
    </row>
    <row r="74" spans="1:6" ht="20.100000000000001" customHeight="1">
      <c r="A74" s="17" t="s">
        <v>119</v>
      </c>
      <c r="B74" s="896">
        <f t="shared" ref="B74:B79" si="3">B11</f>
        <v>0</v>
      </c>
      <c r="C74" s="897"/>
      <c r="D74" s="19" t="s">
        <v>120</v>
      </c>
      <c r="E74" s="898" t="str">
        <f>E11</f>
        <v/>
      </c>
      <c r="F74" s="899"/>
    </row>
    <row r="75" spans="1:6" ht="20.100000000000001" customHeight="1">
      <c r="A75" s="18" t="s">
        <v>121</v>
      </c>
      <c r="B75" s="900">
        <f t="shared" si="3"/>
        <v>0</v>
      </c>
      <c r="C75" s="901"/>
      <c r="D75" s="901"/>
      <c r="E75" s="901"/>
      <c r="F75" s="902"/>
    </row>
    <row r="76" spans="1:6" ht="20.100000000000001" customHeight="1">
      <c r="A76" s="19" t="s">
        <v>122</v>
      </c>
      <c r="B76" s="340">
        <f t="shared" si="3"/>
        <v>86244250</v>
      </c>
      <c r="C76" s="345" t="s">
        <v>123</v>
      </c>
      <c r="D76" s="338"/>
      <c r="E76" s="338"/>
      <c r="F76" s="339"/>
    </row>
    <row r="77" spans="1:6" ht="20.100000000000001" customHeight="1">
      <c r="A77" s="18" t="s">
        <v>124</v>
      </c>
      <c r="B77" s="903">
        <f t="shared" si="3"/>
        <v>0</v>
      </c>
      <c r="C77" s="904"/>
      <c r="D77" s="905"/>
      <c r="E77" s="338"/>
      <c r="F77" s="339"/>
    </row>
    <row r="78" spans="1:6" ht="20.100000000000001" customHeight="1">
      <c r="A78" s="17" t="s">
        <v>119</v>
      </c>
      <c r="B78" s="914">
        <f t="shared" si="3"/>
        <v>0</v>
      </c>
      <c r="C78" s="915"/>
      <c r="D78" s="19" t="s">
        <v>120</v>
      </c>
      <c r="E78" s="877">
        <f>E15</f>
        <v>0</v>
      </c>
      <c r="F78" s="878"/>
    </row>
    <row r="79" spans="1:6" ht="36.75" customHeight="1" thickBot="1">
      <c r="A79" s="22" t="s">
        <v>125</v>
      </c>
      <c r="B79" s="341">
        <f t="shared" si="3"/>
        <v>0</v>
      </c>
      <c r="C79" s="342" t="s">
        <v>123</v>
      </c>
      <c r="D79" s="338"/>
      <c r="E79" s="343"/>
      <c r="F79" s="344"/>
    </row>
    <row r="80" spans="1:6" ht="20.100000000000001" customHeight="1">
      <c r="A80" s="879" t="s">
        <v>126</v>
      </c>
      <c r="B80" s="882" t="s">
        <v>127</v>
      </c>
      <c r="C80" s="883"/>
      <c r="D80" s="883"/>
      <c r="E80" s="884"/>
      <c r="F80" s="25" t="s">
        <v>128</v>
      </c>
    </row>
    <row r="81" spans="1:6" ht="20.100000000000001" customHeight="1">
      <c r="A81" s="880"/>
      <c r="B81" s="885" t="s">
        <v>123</v>
      </c>
      <c r="C81" s="886"/>
      <c r="D81" s="886"/>
      <c r="E81" s="887"/>
      <c r="F81" s="26" t="s">
        <v>123</v>
      </c>
    </row>
    <row r="82" spans="1:6" ht="20.100000000000001" customHeight="1" thickBot="1">
      <c r="A82" s="881"/>
      <c r="B82" s="353" t="s">
        <v>129</v>
      </c>
      <c r="C82" s="354" t="s">
        <v>130</v>
      </c>
      <c r="D82" s="29" t="s">
        <v>131</v>
      </c>
      <c r="E82" s="28" t="s">
        <v>49</v>
      </c>
      <c r="F82" s="30"/>
    </row>
    <row r="83" spans="1:6" ht="20.100000000000001" customHeight="1" thickBot="1">
      <c r="A83" s="481" t="str">
        <f>'F1 Forecast Combined'!A83</f>
        <v>Brought Forward</v>
      </c>
      <c r="B83" s="482"/>
      <c r="C83" s="483"/>
      <c r="D83" s="484">
        <f>D59</f>
        <v>0</v>
      </c>
      <c r="E83" s="485">
        <f>E59</f>
        <v>0</v>
      </c>
      <c r="F83" s="39">
        <f>F59</f>
        <v>0</v>
      </c>
    </row>
    <row r="84" spans="1:6" ht="20.100000000000001" customHeight="1" thickTop="1">
      <c r="A84" s="31">
        <f>'F1 Forecast Combined'!A84</f>
        <v>47209</v>
      </c>
      <c r="B84" s="355"/>
      <c r="C84" s="356"/>
      <c r="D84" s="478"/>
      <c r="E84" s="33">
        <f t="shared" ref="E84:E95" si="4">SUM(D84:D84)</f>
        <v>0</v>
      </c>
      <c r="F84" s="35"/>
    </row>
    <row r="85" spans="1:6" ht="20.100000000000001" customHeight="1">
      <c r="A85" s="31">
        <f>'F1 Forecast Combined'!A85</f>
        <v>47239</v>
      </c>
      <c r="B85" s="355"/>
      <c r="C85" s="356"/>
      <c r="D85" s="478"/>
      <c r="E85" s="33">
        <f t="shared" si="4"/>
        <v>0</v>
      </c>
      <c r="F85" s="35"/>
    </row>
    <row r="86" spans="1:6" ht="20.100000000000001" customHeight="1">
      <c r="A86" s="31">
        <f>'F1 Forecast Combined'!A86</f>
        <v>47270</v>
      </c>
      <c r="B86" s="355"/>
      <c r="C86" s="356"/>
      <c r="D86" s="478"/>
      <c r="E86" s="33">
        <f t="shared" si="4"/>
        <v>0</v>
      </c>
      <c r="F86" s="35"/>
    </row>
    <row r="87" spans="1:6" ht="20.100000000000001" customHeight="1">
      <c r="A87" s="31">
        <f>'F1 Forecast Combined'!A87</f>
        <v>47300</v>
      </c>
      <c r="B87" s="355"/>
      <c r="C87" s="356"/>
      <c r="D87" s="478"/>
      <c r="E87" s="33">
        <f t="shared" si="4"/>
        <v>0</v>
      </c>
      <c r="F87" s="35"/>
    </row>
    <row r="88" spans="1:6" ht="20.100000000000001" customHeight="1">
      <c r="A88" s="31">
        <f>'F1 Forecast Combined'!A88</f>
        <v>47331</v>
      </c>
      <c r="B88" s="355"/>
      <c r="C88" s="356"/>
      <c r="D88" s="478"/>
      <c r="E88" s="33">
        <f t="shared" si="4"/>
        <v>0</v>
      </c>
      <c r="F88" s="35"/>
    </row>
    <row r="89" spans="1:6" ht="20.100000000000001" customHeight="1">
      <c r="A89" s="31">
        <f>'F1 Forecast Combined'!A89</f>
        <v>47362</v>
      </c>
      <c r="B89" s="355"/>
      <c r="C89" s="356"/>
      <c r="D89" s="478"/>
      <c r="E89" s="33">
        <f t="shared" si="4"/>
        <v>0</v>
      </c>
      <c r="F89" s="35"/>
    </row>
    <row r="90" spans="1:6" ht="20.100000000000001" customHeight="1">
      <c r="A90" s="31">
        <f>'F1 Forecast Combined'!A90</f>
        <v>47392</v>
      </c>
      <c r="B90" s="355"/>
      <c r="C90" s="356"/>
      <c r="D90" s="478"/>
      <c r="E90" s="33">
        <f t="shared" si="4"/>
        <v>0</v>
      </c>
      <c r="F90" s="35"/>
    </row>
    <row r="91" spans="1:6" ht="20.100000000000001" customHeight="1">
      <c r="A91" s="31">
        <f>'F1 Forecast Combined'!A91</f>
        <v>47423</v>
      </c>
      <c r="B91" s="357"/>
      <c r="C91" s="356"/>
      <c r="D91" s="478"/>
      <c r="E91" s="33">
        <f t="shared" si="4"/>
        <v>0</v>
      </c>
      <c r="F91" s="35"/>
    </row>
    <row r="92" spans="1:6" ht="20.100000000000001" customHeight="1">
      <c r="A92" s="31">
        <f>'F1 Forecast Combined'!A92</f>
        <v>47453</v>
      </c>
      <c r="B92" s="355"/>
      <c r="C92" s="356"/>
      <c r="D92" s="478"/>
      <c r="E92" s="33">
        <f t="shared" si="4"/>
        <v>0</v>
      </c>
      <c r="F92" s="35"/>
    </row>
    <row r="93" spans="1:6" ht="20.100000000000001" customHeight="1">
      <c r="A93" s="31">
        <f>'F1 Forecast Combined'!A93</f>
        <v>47484</v>
      </c>
      <c r="B93" s="355"/>
      <c r="C93" s="356"/>
      <c r="D93" s="478"/>
      <c r="E93" s="33">
        <f t="shared" si="4"/>
        <v>0</v>
      </c>
      <c r="F93" s="35"/>
    </row>
    <row r="94" spans="1:6" ht="20.100000000000001" customHeight="1">
      <c r="A94" s="31">
        <f>'F1 Forecast Combined'!A94</f>
        <v>47515</v>
      </c>
      <c r="B94" s="355"/>
      <c r="C94" s="356"/>
      <c r="D94" s="478"/>
      <c r="E94" s="33">
        <f t="shared" si="4"/>
        <v>0</v>
      </c>
      <c r="F94" s="35"/>
    </row>
    <row r="95" spans="1:6" ht="20.100000000000001" customHeight="1">
      <c r="A95" s="31">
        <f>'F1 Forecast Combined'!A95</f>
        <v>47543</v>
      </c>
      <c r="B95" s="355"/>
      <c r="C95" s="358"/>
      <c r="D95" s="478"/>
      <c r="E95" s="36">
        <f t="shared" si="4"/>
        <v>0</v>
      </c>
      <c r="F95" s="35"/>
    </row>
    <row r="96" spans="1:6" ht="20.100000000000001" customHeight="1" thickBot="1">
      <c r="A96" s="467" t="str">
        <f>'F1 Forecast Combined'!A96</f>
        <v>Sub-Total 2029/2030</v>
      </c>
      <c r="B96" s="350"/>
      <c r="C96" s="350"/>
      <c r="D96" s="38">
        <f>SUM(D84:D95)</f>
        <v>0</v>
      </c>
      <c r="E96" s="38">
        <f>SUM(E84:E95)</f>
        <v>0</v>
      </c>
      <c r="F96" s="39">
        <f>SUM(F84:F95)</f>
        <v>0</v>
      </c>
    </row>
    <row r="97" spans="1:6" ht="20.100000000000001" customHeight="1" thickTop="1">
      <c r="A97" s="31">
        <f>'F1 Forecast Combined'!A97</f>
        <v>47574</v>
      </c>
      <c r="B97" s="359"/>
      <c r="C97" s="360"/>
      <c r="D97" s="479"/>
      <c r="E97" s="40">
        <f t="shared" ref="E97:E108" si="5">SUM(D97:D97)</f>
        <v>0</v>
      </c>
      <c r="F97" s="35"/>
    </row>
    <row r="98" spans="1:6" ht="20.100000000000001" customHeight="1">
      <c r="A98" s="31">
        <f>'F1 Forecast Combined'!A98</f>
        <v>47604</v>
      </c>
      <c r="B98" s="359"/>
      <c r="C98" s="356"/>
      <c r="D98" s="479"/>
      <c r="E98" s="40">
        <f t="shared" si="5"/>
        <v>0</v>
      </c>
      <c r="F98" s="35"/>
    </row>
    <row r="99" spans="1:6" ht="20.100000000000001" customHeight="1">
      <c r="A99" s="31">
        <f>'F1 Forecast Combined'!A99</f>
        <v>47635</v>
      </c>
      <c r="B99" s="359"/>
      <c r="C99" s="360"/>
      <c r="D99" s="479"/>
      <c r="E99" s="40">
        <f t="shared" si="5"/>
        <v>0</v>
      </c>
      <c r="F99" s="35"/>
    </row>
    <row r="100" spans="1:6" ht="20.100000000000001" customHeight="1">
      <c r="A100" s="31">
        <f>'F1 Forecast Combined'!A100</f>
        <v>47665</v>
      </c>
      <c r="B100" s="359"/>
      <c r="C100" s="356"/>
      <c r="D100" s="479"/>
      <c r="E100" s="40">
        <f t="shared" si="5"/>
        <v>0</v>
      </c>
      <c r="F100" s="35"/>
    </row>
    <row r="101" spans="1:6" ht="20.100000000000001" customHeight="1">
      <c r="A101" s="31">
        <f>'F1 Forecast Combined'!A101</f>
        <v>47696</v>
      </c>
      <c r="B101" s="359"/>
      <c r="C101" s="356"/>
      <c r="D101" s="479"/>
      <c r="E101" s="40">
        <f t="shared" si="5"/>
        <v>0</v>
      </c>
      <c r="F101" s="35"/>
    </row>
    <row r="102" spans="1:6" ht="20.100000000000001" customHeight="1">
      <c r="A102" s="31">
        <f>'F1 Forecast Combined'!A102</f>
        <v>47727</v>
      </c>
      <c r="B102" s="359"/>
      <c r="C102" s="356"/>
      <c r="D102" s="479"/>
      <c r="E102" s="40">
        <f t="shared" si="5"/>
        <v>0</v>
      </c>
      <c r="F102" s="35"/>
    </row>
    <row r="103" spans="1:6" ht="20.100000000000001" customHeight="1">
      <c r="A103" s="31">
        <f>'F1 Forecast Combined'!A103</f>
        <v>47757</v>
      </c>
      <c r="B103" s="359"/>
      <c r="C103" s="356"/>
      <c r="D103" s="479"/>
      <c r="E103" s="40">
        <f t="shared" si="5"/>
        <v>0</v>
      </c>
      <c r="F103" s="35"/>
    </row>
    <row r="104" spans="1:6" ht="20.100000000000001" customHeight="1">
      <c r="A104" s="31">
        <f>'F1 Forecast Combined'!A104</f>
        <v>47788</v>
      </c>
      <c r="B104" s="359"/>
      <c r="C104" s="356"/>
      <c r="D104" s="479"/>
      <c r="E104" s="40">
        <f t="shared" si="5"/>
        <v>0</v>
      </c>
      <c r="F104" s="35"/>
    </row>
    <row r="105" spans="1:6" ht="20.100000000000001" customHeight="1">
      <c r="A105" s="31">
        <f>'F1 Forecast Combined'!A105</f>
        <v>47818</v>
      </c>
      <c r="B105" s="359"/>
      <c r="C105" s="356"/>
      <c r="D105" s="479"/>
      <c r="E105" s="40">
        <f t="shared" si="5"/>
        <v>0</v>
      </c>
      <c r="F105" s="35"/>
    </row>
    <row r="106" spans="1:6" ht="20.100000000000001" customHeight="1">
      <c r="A106" s="31">
        <f>'F1 Forecast Combined'!A106</f>
        <v>47849</v>
      </c>
      <c r="B106" s="359"/>
      <c r="C106" s="356"/>
      <c r="D106" s="479"/>
      <c r="E106" s="40">
        <f t="shared" si="5"/>
        <v>0</v>
      </c>
      <c r="F106" s="35"/>
    </row>
    <row r="107" spans="1:6" ht="20.100000000000001" customHeight="1">
      <c r="A107" s="31">
        <f>'F1 Forecast Combined'!A107</f>
        <v>47880</v>
      </c>
      <c r="B107" s="359"/>
      <c r="C107" s="356"/>
      <c r="D107" s="479"/>
      <c r="E107" s="40">
        <f t="shared" si="5"/>
        <v>0</v>
      </c>
      <c r="F107" s="35"/>
    </row>
    <row r="108" spans="1:6" ht="20.100000000000001" customHeight="1">
      <c r="A108" s="31">
        <f>'F1 Forecast Combined'!A108</f>
        <v>47908</v>
      </c>
      <c r="B108" s="359"/>
      <c r="C108" s="356"/>
      <c r="D108" s="479"/>
      <c r="E108" s="40">
        <f t="shared" si="5"/>
        <v>0</v>
      </c>
      <c r="F108" s="35"/>
    </row>
    <row r="109" spans="1:6" ht="20.100000000000001" customHeight="1" thickBot="1">
      <c r="A109" s="467" t="str">
        <f>'F1 Forecast Combined'!A109</f>
        <v>Sub-Total 2030/2031</v>
      </c>
      <c r="B109" s="351"/>
      <c r="C109" s="351"/>
      <c r="D109" s="42">
        <f>SUM(D97:D108)</f>
        <v>0</v>
      </c>
      <c r="E109" s="42">
        <f>SUM(E97:E108)</f>
        <v>0</v>
      </c>
      <c r="F109" s="43">
        <f>SUM(F97:F108)</f>
        <v>0</v>
      </c>
    </row>
    <row r="110" spans="1:6" ht="20.100000000000001" customHeight="1" thickTop="1">
      <c r="A110" s="31">
        <f>'F1 Forecast Combined'!A110</f>
        <v>47939</v>
      </c>
      <c r="B110" s="359"/>
      <c r="C110" s="356"/>
      <c r="D110" s="479"/>
      <c r="E110" s="40">
        <f t="shared" ref="E110:E121" si="6">SUM(D110:D110)</f>
        <v>0</v>
      </c>
      <c r="F110" s="35"/>
    </row>
    <row r="111" spans="1:6" ht="20.100000000000001" customHeight="1">
      <c r="A111" s="31">
        <f>'F1 Forecast Combined'!A111</f>
        <v>47969</v>
      </c>
      <c r="B111" s="359"/>
      <c r="C111" s="356"/>
      <c r="D111" s="479"/>
      <c r="E111" s="40">
        <f t="shared" si="6"/>
        <v>0</v>
      </c>
      <c r="F111" s="35"/>
    </row>
    <row r="112" spans="1:6" ht="20.100000000000001" customHeight="1">
      <c r="A112" s="31">
        <f>'F1 Forecast Combined'!A112</f>
        <v>48000</v>
      </c>
      <c r="B112" s="359"/>
      <c r="C112" s="360"/>
      <c r="D112" s="479"/>
      <c r="E112" s="40">
        <f t="shared" si="6"/>
        <v>0</v>
      </c>
      <c r="F112" s="35"/>
    </row>
    <row r="113" spans="1:6" ht="20.100000000000001" customHeight="1">
      <c r="A113" s="31">
        <f>'F1 Forecast Combined'!A113</f>
        <v>48030</v>
      </c>
      <c r="B113" s="359"/>
      <c r="C113" s="360"/>
      <c r="D113" s="479"/>
      <c r="E113" s="40">
        <f t="shared" si="6"/>
        <v>0</v>
      </c>
      <c r="F113" s="35"/>
    </row>
    <row r="114" spans="1:6" ht="20.100000000000001" customHeight="1">
      <c r="A114" s="31">
        <f>'F1 Forecast Combined'!A114</f>
        <v>48061</v>
      </c>
      <c r="B114" s="359"/>
      <c r="C114" s="360"/>
      <c r="D114" s="479"/>
      <c r="E114" s="40">
        <f t="shared" si="6"/>
        <v>0</v>
      </c>
      <c r="F114" s="35"/>
    </row>
    <row r="115" spans="1:6" ht="20.100000000000001" customHeight="1">
      <c r="A115" s="31">
        <f>'F1 Forecast Combined'!A115</f>
        <v>48092</v>
      </c>
      <c r="B115" s="359"/>
      <c r="C115" s="360"/>
      <c r="D115" s="479"/>
      <c r="E115" s="40">
        <f t="shared" si="6"/>
        <v>0</v>
      </c>
      <c r="F115" s="35"/>
    </row>
    <row r="116" spans="1:6" ht="20.100000000000001" customHeight="1">
      <c r="A116" s="31">
        <f>'F1 Forecast Combined'!A116</f>
        <v>48122</v>
      </c>
      <c r="B116" s="359"/>
      <c r="C116" s="360"/>
      <c r="D116" s="479"/>
      <c r="E116" s="40">
        <f t="shared" si="6"/>
        <v>0</v>
      </c>
      <c r="F116" s="35"/>
    </row>
    <row r="117" spans="1:6" ht="20.100000000000001" customHeight="1">
      <c r="A117" s="31">
        <f>'F1 Forecast Combined'!A117</f>
        <v>48153</v>
      </c>
      <c r="B117" s="359"/>
      <c r="C117" s="360"/>
      <c r="D117" s="479"/>
      <c r="E117" s="40">
        <f t="shared" si="6"/>
        <v>0</v>
      </c>
      <c r="F117" s="35"/>
    </row>
    <row r="118" spans="1:6" ht="20.100000000000001" customHeight="1">
      <c r="A118" s="31">
        <f>'F1 Forecast Combined'!A118</f>
        <v>48183</v>
      </c>
      <c r="B118" s="359"/>
      <c r="C118" s="360"/>
      <c r="D118" s="479"/>
      <c r="E118" s="40">
        <f t="shared" si="6"/>
        <v>0</v>
      </c>
      <c r="F118" s="35"/>
    </row>
    <row r="119" spans="1:6" ht="20.100000000000001" customHeight="1">
      <c r="A119" s="31">
        <f>'F1 Forecast Combined'!A119</f>
        <v>48214</v>
      </c>
      <c r="B119" s="359"/>
      <c r="C119" s="360"/>
      <c r="D119" s="479"/>
      <c r="E119" s="40">
        <f t="shared" si="6"/>
        <v>0</v>
      </c>
      <c r="F119" s="35"/>
    </row>
    <row r="120" spans="1:6" ht="20.100000000000001" customHeight="1">
      <c r="A120" s="31">
        <f>'F1 Forecast Combined'!A120</f>
        <v>48245</v>
      </c>
      <c r="B120" s="359"/>
      <c r="C120" s="360"/>
      <c r="D120" s="479"/>
      <c r="E120" s="40">
        <f t="shared" si="6"/>
        <v>0</v>
      </c>
      <c r="F120" s="35"/>
    </row>
    <row r="121" spans="1:6" ht="20.100000000000001" customHeight="1">
      <c r="A121" s="31">
        <f>'F1 Forecast Combined'!A121</f>
        <v>48274</v>
      </c>
      <c r="B121" s="359"/>
      <c r="C121" s="360"/>
      <c r="D121" s="479"/>
      <c r="E121" s="40">
        <f t="shared" si="6"/>
        <v>0</v>
      </c>
      <c r="F121" s="35"/>
    </row>
    <row r="122" spans="1:6" ht="20.100000000000001" customHeight="1" thickBot="1">
      <c r="A122" s="467" t="str">
        <f>'F1 Forecast Combined'!A122</f>
        <v>Sub-Total 2031/2032</v>
      </c>
      <c r="B122" s="351"/>
      <c r="C122" s="351"/>
      <c r="D122" s="42">
        <f>SUM(D110:D121)</f>
        <v>0</v>
      </c>
      <c r="E122" s="42">
        <f>SUM(E110:E121)</f>
        <v>0</v>
      </c>
      <c r="F122" s="43">
        <f>SUM(F110:F121)</f>
        <v>0</v>
      </c>
    </row>
    <row r="123" spans="1:6" ht="20.100000000000001" customHeight="1" thickTop="1" thickBot="1">
      <c r="A123" s="44" t="s">
        <v>135</v>
      </c>
      <c r="B123" s="352"/>
      <c r="C123" s="352"/>
      <c r="D123" s="45">
        <f>D83+D96+D109+D122</f>
        <v>0</v>
      </c>
      <c r="E123" s="45">
        <f>E83+E96+E109+E122</f>
        <v>0</v>
      </c>
      <c r="F123" s="46">
        <f>F83+F96+F109+F122</f>
        <v>0</v>
      </c>
    </row>
    <row r="124" spans="1:6" ht="20.100000000000001" customHeight="1">
      <c r="A124" s="47" t="s">
        <v>136</v>
      </c>
      <c r="B124" s="47" t="s">
        <v>137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>
    <tabColor rgb="FF0070C0"/>
    <pageSetUpPr fitToPage="1"/>
  </sheetPr>
  <dimension ref="A1:T54"/>
  <sheetViews>
    <sheetView showGridLines="0" zoomScale="93" zoomScaleNormal="93" workbookViewId="0">
      <selection activeCell="M43" sqref="M43"/>
    </sheetView>
  </sheetViews>
  <sheetFormatPr defaultRowHeight="15" customHeight="1"/>
  <cols>
    <col min="1" max="1" width="9.109375" style="8"/>
    <col min="2" max="2" width="12" style="8" customWidth="1"/>
    <col min="3" max="3" width="9.5546875" style="8" customWidth="1"/>
    <col min="4" max="5" width="9.109375" style="8"/>
    <col min="6" max="6" width="14.88671875" style="8" customWidth="1"/>
    <col min="7" max="7" width="18.5546875" style="8" customWidth="1"/>
    <col min="8" max="8" width="21.33203125" style="8" bestFit="1" customWidth="1"/>
    <col min="9" max="9" width="9.109375" style="8"/>
    <col min="10" max="10" width="14.5546875" style="8" customWidth="1"/>
    <col min="11" max="11" width="20.21875" style="8" customWidth="1"/>
    <col min="12" max="12" width="7.109375" style="8" customWidth="1"/>
    <col min="13" max="13" width="15.5546875" style="8" customWidth="1"/>
    <col min="14" max="14" width="11.44140625" style="8" customWidth="1"/>
    <col min="15" max="15" width="11.5546875" style="8" bestFit="1" customWidth="1"/>
    <col min="16" max="16" width="10.44140625" style="8" customWidth="1"/>
    <col min="17" max="18" width="9.109375" style="8"/>
    <col min="19" max="19" width="10.5546875" style="8" customWidth="1"/>
    <col min="20" max="20" width="11.44140625" style="8" bestFit="1" customWidth="1"/>
    <col min="21" max="22" width="9.109375" style="8"/>
    <col min="23" max="23" width="13.88671875" style="8" customWidth="1"/>
    <col min="24" max="257" width="9.109375" style="8"/>
    <col min="258" max="258" width="12" style="8" customWidth="1"/>
    <col min="259" max="259" width="9.5546875" style="8" customWidth="1"/>
    <col min="260" max="261" width="9.109375" style="8"/>
    <col min="262" max="262" width="11.44140625" style="8" customWidth="1"/>
    <col min="263" max="263" width="18.5546875" style="8" customWidth="1"/>
    <col min="264" max="264" width="21.33203125" style="8" bestFit="1" customWidth="1"/>
    <col min="265" max="265" width="9.109375" style="8"/>
    <col min="266" max="266" width="14.5546875" style="8" customWidth="1"/>
    <col min="267" max="267" width="17.6640625" style="8" customWidth="1"/>
    <col min="268" max="268" width="7.109375" style="8" customWidth="1"/>
    <col min="269" max="269" width="15.5546875" style="8" customWidth="1"/>
    <col min="270" max="270" width="11.44140625" style="8" customWidth="1"/>
    <col min="271" max="271" width="9.109375" style="8"/>
    <col min="272" max="272" width="10.44140625" style="8" customWidth="1"/>
    <col min="273" max="513" width="9.109375" style="8"/>
    <col min="514" max="514" width="12" style="8" customWidth="1"/>
    <col min="515" max="515" width="9.5546875" style="8" customWidth="1"/>
    <col min="516" max="517" width="9.109375" style="8"/>
    <col min="518" max="518" width="11.44140625" style="8" customWidth="1"/>
    <col min="519" max="519" width="18.5546875" style="8" customWidth="1"/>
    <col min="520" max="520" width="21.33203125" style="8" bestFit="1" customWidth="1"/>
    <col min="521" max="521" width="9.109375" style="8"/>
    <col min="522" max="522" width="14.5546875" style="8" customWidth="1"/>
    <col min="523" max="523" width="17.6640625" style="8" customWidth="1"/>
    <col min="524" max="524" width="7.109375" style="8" customWidth="1"/>
    <col min="525" max="525" width="15.5546875" style="8" customWidth="1"/>
    <col min="526" max="526" width="11.44140625" style="8" customWidth="1"/>
    <col min="527" max="527" width="9.109375" style="8"/>
    <col min="528" max="528" width="10.44140625" style="8" customWidth="1"/>
    <col min="529" max="769" width="9.109375" style="8"/>
    <col min="770" max="770" width="12" style="8" customWidth="1"/>
    <col min="771" max="771" width="9.5546875" style="8" customWidth="1"/>
    <col min="772" max="773" width="9.109375" style="8"/>
    <col min="774" max="774" width="11.44140625" style="8" customWidth="1"/>
    <col min="775" max="775" width="18.5546875" style="8" customWidth="1"/>
    <col min="776" max="776" width="21.33203125" style="8" bestFit="1" customWidth="1"/>
    <col min="777" max="777" width="9.109375" style="8"/>
    <col min="778" max="778" width="14.5546875" style="8" customWidth="1"/>
    <col min="779" max="779" width="17.6640625" style="8" customWidth="1"/>
    <col min="780" max="780" width="7.109375" style="8" customWidth="1"/>
    <col min="781" max="781" width="15.5546875" style="8" customWidth="1"/>
    <col min="782" max="782" width="11.44140625" style="8" customWidth="1"/>
    <col min="783" max="783" width="9.109375" style="8"/>
    <col min="784" max="784" width="10.44140625" style="8" customWidth="1"/>
    <col min="785" max="1025" width="9.109375" style="8"/>
    <col min="1026" max="1026" width="12" style="8" customWidth="1"/>
    <col min="1027" max="1027" width="9.5546875" style="8" customWidth="1"/>
    <col min="1028" max="1029" width="9.109375" style="8"/>
    <col min="1030" max="1030" width="11.44140625" style="8" customWidth="1"/>
    <col min="1031" max="1031" width="18.5546875" style="8" customWidth="1"/>
    <col min="1032" max="1032" width="21.33203125" style="8" bestFit="1" customWidth="1"/>
    <col min="1033" max="1033" width="9.109375" style="8"/>
    <col min="1034" max="1034" width="14.5546875" style="8" customWidth="1"/>
    <col min="1035" max="1035" width="17.6640625" style="8" customWidth="1"/>
    <col min="1036" max="1036" width="7.109375" style="8" customWidth="1"/>
    <col min="1037" max="1037" width="15.5546875" style="8" customWidth="1"/>
    <col min="1038" max="1038" width="11.44140625" style="8" customWidth="1"/>
    <col min="1039" max="1039" width="9.109375" style="8"/>
    <col min="1040" max="1040" width="10.44140625" style="8" customWidth="1"/>
    <col min="1041" max="1281" width="9.109375" style="8"/>
    <col min="1282" max="1282" width="12" style="8" customWidth="1"/>
    <col min="1283" max="1283" width="9.5546875" style="8" customWidth="1"/>
    <col min="1284" max="1285" width="9.109375" style="8"/>
    <col min="1286" max="1286" width="11.44140625" style="8" customWidth="1"/>
    <col min="1287" max="1287" width="18.5546875" style="8" customWidth="1"/>
    <col min="1288" max="1288" width="21.33203125" style="8" bestFit="1" customWidth="1"/>
    <col min="1289" max="1289" width="9.109375" style="8"/>
    <col min="1290" max="1290" width="14.5546875" style="8" customWidth="1"/>
    <col min="1291" max="1291" width="17.6640625" style="8" customWidth="1"/>
    <col min="1292" max="1292" width="7.109375" style="8" customWidth="1"/>
    <col min="1293" max="1293" width="15.5546875" style="8" customWidth="1"/>
    <col min="1294" max="1294" width="11.44140625" style="8" customWidth="1"/>
    <col min="1295" max="1295" width="9.109375" style="8"/>
    <col min="1296" max="1296" width="10.44140625" style="8" customWidth="1"/>
    <col min="1297" max="1537" width="9.109375" style="8"/>
    <col min="1538" max="1538" width="12" style="8" customWidth="1"/>
    <col min="1539" max="1539" width="9.5546875" style="8" customWidth="1"/>
    <col min="1540" max="1541" width="9.109375" style="8"/>
    <col min="1542" max="1542" width="11.44140625" style="8" customWidth="1"/>
    <col min="1543" max="1543" width="18.5546875" style="8" customWidth="1"/>
    <col min="1544" max="1544" width="21.33203125" style="8" bestFit="1" customWidth="1"/>
    <col min="1545" max="1545" width="9.109375" style="8"/>
    <col min="1546" max="1546" width="14.5546875" style="8" customWidth="1"/>
    <col min="1547" max="1547" width="17.6640625" style="8" customWidth="1"/>
    <col min="1548" max="1548" width="7.109375" style="8" customWidth="1"/>
    <col min="1549" max="1549" width="15.5546875" style="8" customWidth="1"/>
    <col min="1550" max="1550" width="11.44140625" style="8" customWidth="1"/>
    <col min="1551" max="1551" width="9.109375" style="8"/>
    <col min="1552" max="1552" width="10.44140625" style="8" customWidth="1"/>
    <col min="1553" max="1793" width="9.109375" style="8"/>
    <col min="1794" max="1794" width="12" style="8" customWidth="1"/>
    <col min="1795" max="1795" width="9.5546875" style="8" customWidth="1"/>
    <col min="1796" max="1797" width="9.109375" style="8"/>
    <col min="1798" max="1798" width="11.44140625" style="8" customWidth="1"/>
    <col min="1799" max="1799" width="18.5546875" style="8" customWidth="1"/>
    <col min="1800" max="1800" width="21.33203125" style="8" bestFit="1" customWidth="1"/>
    <col min="1801" max="1801" width="9.109375" style="8"/>
    <col min="1802" max="1802" width="14.5546875" style="8" customWidth="1"/>
    <col min="1803" max="1803" width="17.6640625" style="8" customWidth="1"/>
    <col min="1804" max="1804" width="7.109375" style="8" customWidth="1"/>
    <col min="1805" max="1805" width="15.5546875" style="8" customWidth="1"/>
    <col min="1806" max="1806" width="11.44140625" style="8" customWidth="1"/>
    <col min="1807" max="1807" width="9.109375" style="8"/>
    <col min="1808" max="1808" width="10.44140625" style="8" customWidth="1"/>
    <col min="1809" max="2049" width="9.109375" style="8"/>
    <col min="2050" max="2050" width="12" style="8" customWidth="1"/>
    <col min="2051" max="2051" width="9.5546875" style="8" customWidth="1"/>
    <col min="2052" max="2053" width="9.109375" style="8"/>
    <col min="2054" max="2054" width="11.44140625" style="8" customWidth="1"/>
    <col min="2055" max="2055" width="18.5546875" style="8" customWidth="1"/>
    <col min="2056" max="2056" width="21.33203125" style="8" bestFit="1" customWidth="1"/>
    <col min="2057" max="2057" width="9.109375" style="8"/>
    <col min="2058" max="2058" width="14.5546875" style="8" customWidth="1"/>
    <col min="2059" max="2059" width="17.6640625" style="8" customWidth="1"/>
    <col min="2060" max="2060" width="7.109375" style="8" customWidth="1"/>
    <col min="2061" max="2061" width="15.5546875" style="8" customWidth="1"/>
    <col min="2062" max="2062" width="11.44140625" style="8" customWidth="1"/>
    <col min="2063" max="2063" width="9.109375" style="8"/>
    <col min="2064" max="2064" width="10.44140625" style="8" customWidth="1"/>
    <col min="2065" max="2305" width="9.109375" style="8"/>
    <col min="2306" max="2306" width="12" style="8" customWidth="1"/>
    <col min="2307" max="2307" width="9.5546875" style="8" customWidth="1"/>
    <col min="2308" max="2309" width="9.109375" style="8"/>
    <col min="2310" max="2310" width="11.44140625" style="8" customWidth="1"/>
    <col min="2311" max="2311" width="18.5546875" style="8" customWidth="1"/>
    <col min="2312" max="2312" width="21.33203125" style="8" bestFit="1" customWidth="1"/>
    <col min="2313" max="2313" width="9.109375" style="8"/>
    <col min="2314" max="2314" width="14.5546875" style="8" customWidth="1"/>
    <col min="2315" max="2315" width="17.6640625" style="8" customWidth="1"/>
    <col min="2316" max="2316" width="7.109375" style="8" customWidth="1"/>
    <col min="2317" max="2317" width="15.5546875" style="8" customWidth="1"/>
    <col min="2318" max="2318" width="11.44140625" style="8" customWidth="1"/>
    <col min="2319" max="2319" width="9.109375" style="8"/>
    <col min="2320" max="2320" width="10.44140625" style="8" customWidth="1"/>
    <col min="2321" max="2561" width="9.109375" style="8"/>
    <col min="2562" max="2562" width="12" style="8" customWidth="1"/>
    <col min="2563" max="2563" width="9.5546875" style="8" customWidth="1"/>
    <col min="2564" max="2565" width="9.109375" style="8"/>
    <col min="2566" max="2566" width="11.44140625" style="8" customWidth="1"/>
    <col min="2567" max="2567" width="18.5546875" style="8" customWidth="1"/>
    <col min="2568" max="2568" width="21.33203125" style="8" bestFit="1" customWidth="1"/>
    <col min="2569" max="2569" width="9.109375" style="8"/>
    <col min="2570" max="2570" width="14.5546875" style="8" customWidth="1"/>
    <col min="2571" max="2571" width="17.6640625" style="8" customWidth="1"/>
    <col min="2572" max="2572" width="7.109375" style="8" customWidth="1"/>
    <col min="2573" max="2573" width="15.5546875" style="8" customWidth="1"/>
    <col min="2574" max="2574" width="11.44140625" style="8" customWidth="1"/>
    <col min="2575" max="2575" width="9.109375" style="8"/>
    <col min="2576" max="2576" width="10.44140625" style="8" customWidth="1"/>
    <col min="2577" max="2817" width="9.109375" style="8"/>
    <col min="2818" max="2818" width="12" style="8" customWidth="1"/>
    <col min="2819" max="2819" width="9.5546875" style="8" customWidth="1"/>
    <col min="2820" max="2821" width="9.109375" style="8"/>
    <col min="2822" max="2822" width="11.44140625" style="8" customWidth="1"/>
    <col min="2823" max="2823" width="18.5546875" style="8" customWidth="1"/>
    <col min="2824" max="2824" width="21.33203125" style="8" bestFit="1" customWidth="1"/>
    <col min="2825" max="2825" width="9.109375" style="8"/>
    <col min="2826" max="2826" width="14.5546875" style="8" customWidth="1"/>
    <col min="2827" max="2827" width="17.6640625" style="8" customWidth="1"/>
    <col min="2828" max="2828" width="7.109375" style="8" customWidth="1"/>
    <col min="2829" max="2829" width="15.5546875" style="8" customWidth="1"/>
    <col min="2830" max="2830" width="11.44140625" style="8" customWidth="1"/>
    <col min="2831" max="2831" width="9.109375" style="8"/>
    <col min="2832" max="2832" width="10.44140625" style="8" customWidth="1"/>
    <col min="2833" max="3073" width="9.109375" style="8"/>
    <col min="3074" max="3074" width="12" style="8" customWidth="1"/>
    <col min="3075" max="3075" width="9.5546875" style="8" customWidth="1"/>
    <col min="3076" max="3077" width="9.109375" style="8"/>
    <col min="3078" max="3078" width="11.44140625" style="8" customWidth="1"/>
    <col min="3079" max="3079" width="18.5546875" style="8" customWidth="1"/>
    <col min="3080" max="3080" width="21.33203125" style="8" bestFit="1" customWidth="1"/>
    <col min="3081" max="3081" width="9.109375" style="8"/>
    <col min="3082" max="3082" width="14.5546875" style="8" customWidth="1"/>
    <col min="3083" max="3083" width="17.6640625" style="8" customWidth="1"/>
    <col min="3084" max="3084" width="7.109375" style="8" customWidth="1"/>
    <col min="3085" max="3085" width="15.5546875" style="8" customWidth="1"/>
    <col min="3086" max="3086" width="11.44140625" style="8" customWidth="1"/>
    <col min="3087" max="3087" width="9.109375" style="8"/>
    <col min="3088" max="3088" width="10.44140625" style="8" customWidth="1"/>
    <col min="3089" max="3329" width="9.109375" style="8"/>
    <col min="3330" max="3330" width="12" style="8" customWidth="1"/>
    <col min="3331" max="3331" width="9.5546875" style="8" customWidth="1"/>
    <col min="3332" max="3333" width="9.109375" style="8"/>
    <col min="3334" max="3334" width="11.44140625" style="8" customWidth="1"/>
    <col min="3335" max="3335" width="18.5546875" style="8" customWidth="1"/>
    <col min="3336" max="3336" width="21.33203125" style="8" bestFit="1" customWidth="1"/>
    <col min="3337" max="3337" width="9.109375" style="8"/>
    <col min="3338" max="3338" width="14.5546875" style="8" customWidth="1"/>
    <col min="3339" max="3339" width="17.6640625" style="8" customWidth="1"/>
    <col min="3340" max="3340" width="7.109375" style="8" customWidth="1"/>
    <col min="3341" max="3341" width="15.5546875" style="8" customWidth="1"/>
    <col min="3342" max="3342" width="11.44140625" style="8" customWidth="1"/>
    <col min="3343" max="3343" width="9.109375" style="8"/>
    <col min="3344" max="3344" width="10.44140625" style="8" customWidth="1"/>
    <col min="3345" max="3585" width="9.109375" style="8"/>
    <col min="3586" max="3586" width="12" style="8" customWidth="1"/>
    <col min="3587" max="3587" width="9.5546875" style="8" customWidth="1"/>
    <col min="3588" max="3589" width="9.109375" style="8"/>
    <col min="3590" max="3590" width="11.44140625" style="8" customWidth="1"/>
    <col min="3591" max="3591" width="18.5546875" style="8" customWidth="1"/>
    <col min="3592" max="3592" width="21.33203125" style="8" bestFit="1" customWidth="1"/>
    <col min="3593" max="3593" width="9.109375" style="8"/>
    <col min="3594" max="3594" width="14.5546875" style="8" customWidth="1"/>
    <col min="3595" max="3595" width="17.6640625" style="8" customWidth="1"/>
    <col min="3596" max="3596" width="7.109375" style="8" customWidth="1"/>
    <col min="3597" max="3597" width="15.5546875" style="8" customWidth="1"/>
    <col min="3598" max="3598" width="11.44140625" style="8" customWidth="1"/>
    <col min="3599" max="3599" width="9.109375" style="8"/>
    <col min="3600" max="3600" width="10.44140625" style="8" customWidth="1"/>
    <col min="3601" max="3841" width="9.109375" style="8"/>
    <col min="3842" max="3842" width="12" style="8" customWidth="1"/>
    <col min="3843" max="3843" width="9.5546875" style="8" customWidth="1"/>
    <col min="3844" max="3845" width="9.109375" style="8"/>
    <col min="3846" max="3846" width="11.44140625" style="8" customWidth="1"/>
    <col min="3847" max="3847" width="18.5546875" style="8" customWidth="1"/>
    <col min="3848" max="3848" width="21.33203125" style="8" bestFit="1" customWidth="1"/>
    <col min="3849" max="3849" width="9.109375" style="8"/>
    <col min="3850" max="3850" width="14.5546875" style="8" customWidth="1"/>
    <col min="3851" max="3851" width="17.6640625" style="8" customWidth="1"/>
    <col min="3852" max="3852" width="7.109375" style="8" customWidth="1"/>
    <col min="3853" max="3853" width="15.5546875" style="8" customWidth="1"/>
    <col min="3854" max="3854" width="11.44140625" style="8" customWidth="1"/>
    <col min="3855" max="3855" width="9.109375" style="8"/>
    <col min="3856" max="3856" width="10.44140625" style="8" customWidth="1"/>
    <col min="3857" max="4097" width="9.109375" style="8"/>
    <col min="4098" max="4098" width="12" style="8" customWidth="1"/>
    <col min="4099" max="4099" width="9.5546875" style="8" customWidth="1"/>
    <col min="4100" max="4101" width="9.109375" style="8"/>
    <col min="4102" max="4102" width="11.44140625" style="8" customWidth="1"/>
    <col min="4103" max="4103" width="18.5546875" style="8" customWidth="1"/>
    <col min="4104" max="4104" width="21.33203125" style="8" bestFit="1" customWidth="1"/>
    <col min="4105" max="4105" width="9.109375" style="8"/>
    <col min="4106" max="4106" width="14.5546875" style="8" customWidth="1"/>
    <col min="4107" max="4107" width="17.6640625" style="8" customWidth="1"/>
    <col min="4108" max="4108" width="7.109375" style="8" customWidth="1"/>
    <col min="4109" max="4109" width="15.5546875" style="8" customWidth="1"/>
    <col min="4110" max="4110" width="11.44140625" style="8" customWidth="1"/>
    <col min="4111" max="4111" width="9.109375" style="8"/>
    <col min="4112" max="4112" width="10.44140625" style="8" customWidth="1"/>
    <col min="4113" max="4353" width="9.109375" style="8"/>
    <col min="4354" max="4354" width="12" style="8" customWidth="1"/>
    <col min="4355" max="4355" width="9.5546875" style="8" customWidth="1"/>
    <col min="4356" max="4357" width="9.109375" style="8"/>
    <col min="4358" max="4358" width="11.44140625" style="8" customWidth="1"/>
    <col min="4359" max="4359" width="18.5546875" style="8" customWidth="1"/>
    <col min="4360" max="4360" width="21.33203125" style="8" bestFit="1" customWidth="1"/>
    <col min="4361" max="4361" width="9.109375" style="8"/>
    <col min="4362" max="4362" width="14.5546875" style="8" customWidth="1"/>
    <col min="4363" max="4363" width="17.6640625" style="8" customWidth="1"/>
    <col min="4364" max="4364" width="7.109375" style="8" customWidth="1"/>
    <col min="4365" max="4365" width="15.5546875" style="8" customWidth="1"/>
    <col min="4366" max="4366" width="11.44140625" style="8" customWidth="1"/>
    <col min="4367" max="4367" width="9.109375" style="8"/>
    <col min="4368" max="4368" width="10.44140625" style="8" customWidth="1"/>
    <col min="4369" max="4609" width="9.109375" style="8"/>
    <col min="4610" max="4610" width="12" style="8" customWidth="1"/>
    <col min="4611" max="4611" width="9.5546875" style="8" customWidth="1"/>
    <col min="4612" max="4613" width="9.109375" style="8"/>
    <col min="4614" max="4614" width="11.44140625" style="8" customWidth="1"/>
    <col min="4615" max="4615" width="18.5546875" style="8" customWidth="1"/>
    <col min="4616" max="4616" width="21.33203125" style="8" bestFit="1" customWidth="1"/>
    <col min="4617" max="4617" width="9.109375" style="8"/>
    <col min="4618" max="4618" width="14.5546875" style="8" customWidth="1"/>
    <col min="4619" max="4619" width="17.6640625" style="8" customWidth="1"/>
    <col min="4620" max="4620" width="7.109375" style="8" customWidth="1"/>
    <col min="4621" max="4621" width="15.5546875" style="8" customWidth="1"/>
    <col min="4622" max="4622" width="11.44140625" style="8" customWidth="1"/>
    <col min="4623" max="4623" width="9.109375" style="8"/>
    <col min="4624" max="4624" width="10.44140625" style="8" customWidth="1"/>
    <col min="4625" max="4865" width="9.109375" style="8"/>
    <col min="4866" max="4866" width="12" style="8" customWidth="1"/>
    <col min="4867" max="4867" width="9.5546875" style="8" customWidth="1"/>
    <col min="4868" max="4869" width="9.109375" style="8"/>
    <col min="4870" max="4870" width="11.44140625" style="8" customWidth="1"/>
    <col min="4871" max="4871" width="18.5546875" style="8" customWidth="1"/>
    <col min="4872" max="4872" width="21.33203125" style="8" bestFit="1" customWidth="1"/>
    <col min="4873" max="4873" width="9.109375" style="8"/>
    <col min="4874" max="4874" width="14.5546875" style="8" customWidth="1"/>
    <col min="4875" max="4875" width="17.6640625" style="8" customWidth="1"/>
    <col min="4876" max="4876" width="7.109375" style="8" customWidth="1"/>
    <col min="4877" max="4877" width="15.5546875" style="8" customWidth="1"/>
    <col min="4878" max="4878" width="11.44140625" style="8" customWidth="1"/>
    <col min="4879" max="4879" width="9.109375" style="8"/>
    <col min="4880" max="4880" width="10.44140625" style="8" customWidth="1"/>
    <col min="4881" max="5121" width="9.109375" style="8"/>
    <col min="5122" max="5122" width="12" style="8" customWidth="1"/>
    <col min="5123" max="5123" width="9.5546875" style="8" customWidth="1"/>
    <col min="5124" max="5125" width="9.109375" style="8"/>
    <col min="5126" max="5126" width="11.44140625" style="8" customWidth="1"/>
    <col min="5127" max="5127" width="18.5546875" style="8" customWidth="1"/>
    <col min="5128" max="5128" width="21.33203125" style="8" bestFit="1" customWidth="1"/>
    <col min="5129" max="5129" width="9.109375" style="8"/>
    <col min="5130" max="5130" width="14.5546875" style="8" customWidth="1"/>
    <col min="5131" max="5131" width="17.6640625" style="8" customWidth="1"/>
    <col min="5132" max="5132" width="7.109375" style="8" customWidth="1"/>
    <col min="5133" max="5133" width="15.5546875" style="8" customWidth="1"/>
    <col min="5134" max="5134" width="11.44140625" style="8" customWidth="1"/>
    <col min="5135" max="5135" width="9.109375" style="8"/>
    <col min="5136" max="5136" width="10.44140625" style="8" customWidth="1"/>
    <col min="5137" max="5377" width="9.109375" style="8"/>
    <col min="5378" max="5378" width="12" style="8" customWidth="1"/>
    <col min="5379" max="5379" width="9.5546875" style="8" customWidth="1"/>
    <col min="5380" max="5381" width="9.109375" style="8"/>
    <col min="5382" max="5382" width="11.44140625" style="8" customWidth="1"/>
    <col min="5383" max="5383" width="18.5546875" style="8" customWidth="1"/>
    <col min="5384" max="5384" width="21.33203125" style="8" bestFit="1" customWidth="1"/>
    <col min="5385" max="5385" width="9.109375" style="8"/>
    <col min="5386" max="5386" width="14.5546875" style="8" customWidth="1"/>
    <col min="5387" max="5387" width="17.6640625" style="8" customWidth="1"/>
    <col min="5388" max="5388" width="7.109375" style="8" customWidth="1"/>
    <col min="5389" max="5389" width="15.5546875" style="8" customWidth="1"/>
    <col min="5390" max="5390" width="11.44140625" style="8" customWidth="1"/>
    <col min="5391" max="5391" width="9.109375" style="8"/>
    <col min="5392" max="5392" width="10.44140625" style="8" customWidth="1"/>
    <col min="5393" max="5633" width="9.109375" style="8"/>
    <col min="5634" max="5634" width="12" style="8" customWidth="1"/>
    <col min="5635" max="5635" width="9.5546875" style="8" customWidth="1"/>
    <col min="5636" max="5637" width="9.109375" style="8"/>
    <col min="5638" max="5638" width="11.44140625" style="8" customWidth="1"/>
    <col min="5639" max="5639" width="18.5546875" style="8" customWidth="1"/>
    <col min="5640" max="5640" width="21.33203125" style="8" bestFit="1" customWidth="1"/>
    <col min="5641" max="5641" width="9.109375" style="8"/>
    <col min="5642" max="5642" width="14.5546875" style="8" customWidth="1"/>
    <col min="5643" max="5643" width="17.6640625" style="8" customWidth="1"/>
    <col min="5644" max="5644" width="7.109375" style="8" customWidth="1"/>
    <col min="5645" max="5645" width="15.5546875" style="8" customWidth="1"/>
    <col min="5646" max="5646" width="11.44140625" style="8" customWidth="1"/>
    <col min="5647" max="5647" width="9.109375" style="8"/>
    <col min="5648" max="5648" width="10.44140625" style="8" customWidth="1"/>
    <col min="5649" max="5889" width="9.109375" style="8"/>
    <col min="5890" max="5890" width="12" style="8" customWidth="1"/>
    <col min="5891" max="5891" width="9.5546875" style="8" customWidth="1"/>
    <col min="5892" max="5893" width="9.109375" style="8"/>
    <col min="5894" max="5894" width="11.44140625" style="8" customWidth="1"/>
    <col min="5895" max="5895" width="18.5546875" style="8" customWidth="1"/>
    <col min="5896" max="5896" width="21.33203125" style="8" bestFit="1" customWidth="1"/>
    <col min="5897" max="5897" width="9.109375" style="8"/>
    <col min="5898" max="5898" width="14.5546875" style="8" customWidth="1"/>
    <col min="5899" max="5899" width="17.6640625" style="8" customWidth="1"/>
    <col min="5900" max="5900" width="7.109375" style="8" customWidth="1"/>
    <col min="5901" max="5901" width="15.5546875" style="8" customWidth="1"/>
    <col min="5902" max="5902" width="11.44140625" style="8" customWidth="1"/>
    <col min="5903" max="5903" width="9.109375" style="8"/>
    <col min="5904" max="5904" width="10.44140625" style="8" customWidth="1"/>
    <col min="5905" max="6145" width="9.109375" style="8"/>
    <col min="6146" max="6146" width="12" style="8" customWidth="1"/>
    <col min="6147" max="6147" width="9.5546875" style="8" customWidth="1"/>
    <col min="6148" max="6149" width="9.109375" style="8"/>
    <col min="6150" max="6150" width="11.44140625" style="8" customWidth="1"/>
    <col min="6151" max="6151" width="18.5546875" style="8" customWidth="1"/>
    <col min="6152" max="6152" width="21.33203125" style="8" bestFit="1" customWidth="1"/>
    <col min="6153" max="6153" width="9.109375" style="8"/>
    <col min="6154" max="6154" width="14.5546875" style="8" customWidth="1"/>
    <col min="6155" max="6155" width="17.6640625" style="8" customWidth="1"/>
    <col min="6156" max="6156" width="7.109375" style="8" customWidth="1"/>
    <col min="6157" max="6157" width="15.5546875" style="8" customWidth="1"/>
    <col min="6158" max="6158" width="11.44140625" style="8" customWidth="1"/>
    <col min="6159" max="6159" width="9.109375" style="8"/>
    <col min="6160" max="6160" width="10.44140625" style="8" customWidth="1"/>
    <col min="6161" max="6401" width="9.109375" style="8"/>
    <col min="6402" max="6402" width="12" style="8" customWidth="1"/>
    <col min="6403" max="6403" width="9.5546875" style="8" customWidth="1"/>
    <col min="6404" max="6405" width="9.109375" style="8"/>
    <col min="6406" max="6406" width="11.44140625" style="8" customWidth="1"/>
    <col min="6407" max="6407" width="18.5546875" style="8" customWidth="1"/>
    <col min="6408" max="6408" width="21.33203125" style="8" bestFit="1" customWidth="1"/>
    <col min="6409" max="6409" width="9.109375" style="8"/>
    <col min="6410" max="6410" width="14.5546875" style="8" customWidth="1"/>
    <col min="6411" max="6411" width="17.6640625" style="8" customWidth="1"/>
    <col min="6412" max="6412" width="7.109375" style="8" customWidth="1"/>
    <col min="6413" max="6413" width="15.5546875" style="8" customWidth="1"/>
    <col min="6414" max="6414" width="11.44140625" style="8" customWidth="1"/>
    <col min="6415" max="6415" width="9.109375" style="8"/>
    <col min="6416" max="6416" width="10.44140625" style="8" customWidth="1"/>
    <col min="6417" max="6657" width="9.109375" style="8"/>
    <col min="6658" max="6658" width="12" style="8" customWidth="1"/>
    <col min="6659" max="6659" width="9.5546875" style="8" customWidth="1"/>
    <col min="6660" max="6661" width="9.109375" style="8"/>
    <col min="6662" max="6662" width="11.44140625" style="8" customWidth="1"/>
    <col min="6663" max="6663" width="18.5546875" style="8" customWidth="1"/>
    <col min="6664" max="6664" width="21.33203125" style="8" bestFit="1" customWidth="1"/>
    <col min="6665" max="6665" width="9.109375" style="8"/>
    <col min="6666" max="6666" width="14.5546875" style="8" customWidth="1"/>
    <col min="6667" max="6667" width="17.6640625" style="8" customWidth="1"/>
    <col min="6668" max="6668" width="7.109375" style="8" customWidth="1"/>
    <col min="6669" max="6669" width="15.5546875" style="8" customWidth="1"/>
    <col min="6670" max="6670" width="11.44140625" style="8" customWidth="1"/>
    <col min="6671" max="6671" width="9.109375" style="8"/>
    <col min="6672" max="6672" width="10.44140625" style="8" customWidth="1"/>
    <col min="6673" max="6913" width="9.109375" style="8"/>
    <col min="6914" max="6914" width="12" style="8" customWidth="1"/>
    <col min="6915" max="6915" width="9.5546875" style="8" customWidth="1"/>
    <col min="6916" max="6917" width="9.109375" style="8"/>
    <col min="6918" max="6918" width="11.44140625" style="8" customWidth="1"/>
    <col min="6919" max="6919" width="18.5546875" style="8" customWidth="1"/>
    <col min="6920" max="6920" width="21.33203125" style="8" bestFit="1" customWidth="1"/>
    <col min="6921" max="6921" width="9.109375" style="8"/>
    <col min="6922" max="6922" width="14.5546875" style="8" customWidth="1"/>
    <col min="6923" max="6923" width="17.6640625" style="8" customWidth="1"/>
    <col min="6924" max="6924" width="7.109375" style="8" customWidth="1"/>
    <col min="6925" max="6925" width="15.5546875" style="8" customWidth="1"/>
    <col min="6926" max="6926" width="11.44140625" style="8" customWidth="1"/>
    <col min="6927" max="6927" width="9.109375" style="8"/>
    <col min="6928" max="6928" width="10.44140625" style="8" customWidth="1"/>
    <col min="6929" max="7169" width="9.109375" style="8"/>
    <col min="7170" max="7170" width="12" style="8" customWidth="1"/>
    <col min="7171" max="7171" width="9.5546875" style="8" customWidth="1"/>
    <col min="7172" max="7173" width="9.109375" style="8"/>
    <col min="7174" max="7174" width="11.44140625" style="8" customWidth="1"/>
    <col min="7175" max="7175" width="18.5546875" style="8" customWidth="1"/>
    <col min="7176" max="7176" width="21.33203125" style="8" bestFit="1" customWidth="1"/>
    <col min="7177" max="7177" width="9.109375" style="8"/>
    <col min="7178" max="7178" width="14.5546875" style="8" customWidth="1"/>
    <col min="7179" max="7179" width="17.6640625" style="8" customWidth="1"/>
    <col min="7180" max="7180" width="7.109375" style="8" customWidth="1"/>
    <col min="7181" max="7181" width="15.5546875" style="8" customWidth="1"/>
    <col min="7182" max="7182" width="11.44140625" style="8" customWidth="1"/>
    <col min="7183" max="7183" width="9.109375" style="8"/>
    <col min="7184" max="7184" width="10.44140625" style="8" customWidth="1"/>
    <col min="7185" max="7425" width="9.109375" style="8"/>
    <col min="7426" max="7426" width="12" style="8" customWidth="1"/>
    <col min="7427" max="7427" width="9.5546875" style="8" customWidth="1"/>
    <col min="7428" max="7429" width="9.109375" style="8"/>
    <col min="7430" max="7430" width="11.44140625" style="8" customWidth="1"/>
    <col min="7431" max="7431" width="18.5546875" style="8" customWidth="1"/>
    <col min="7432" max="7432" width="21.33203125" style="8" bestFit="1" customWidth="1"/>
    <col min="7433" max="7433" width="9.109375" style="8"/>
    <col min="7434" max="7434" width="14.5546875" style="8" customWidth="1"/>
    <col min="7435" max="7435" width="17.6640625" style="8" customWidth="1"/>
    <col min="7436" max="7436" width="7.109375" style="8" customWidth="1"/>
    <col min="7437" max="7437" width="15.5546875" style="8" customWidth="1"/>
    <col min="7438" max="7438" width="11.44140625" style="8" customWidth="1"/>
    <col min="7439" max="7439" width="9.109375" style="8"/>
    <col min="7440" max="7440" width="10.44140625" style="8" customWidth="1"/>
    <col min="7441" max="7681" width="9.109375" style="8"/>
    <col min="7682" max="7682" width="12" style="8" customWidth="1"/>
    <col min="7683" max="7683" width="9.5546875" style="8" customWidth="1"/>
    <col min="7684" max="7685" width="9.109375" style="8"/>
    <col min="7686" max="7686" width="11.44140625" style="8" customWidth="1"/>
    <col min="7687" max="7687" width="18.5546875" style="8" customWidth="1"/>
    <col min="7688" max="7688" width="21.33203125" style="8" bestFit="1" customWidth="1"/>
    <col min="7689" max="7689" width="9.109375" style="8"/>
    <col min="7690" max="7690" width="14.5546875" style="8" customWidth="1"/>
    <col min="7691" max="7691" width="17.6640625" style="8" customWidth="1"/>
    <col min="7692" max="7692" width="7.109375" style="8" customWidth="1"/>
    <col min="7693" max="7693" width="15.5546875" style="8" customWidth="1"/>
    <col min="7694" max="7694" width="11.44140625" style="8" customWidth="1"/>
    <col min="7695" max="7695" width="9.109375" style="8"/>
    <col min="7696" max="7696" width="10.44140625" style="8" customWidth="1"/>
    <col min="7697" max="7937" width="9.109375" style="8"/>
    <col min="7938" max="7938" width="12" style="8" customWidth="1"/>
    <col min="7939" max="7939" width="9.5546875" style="8" customWidth="1"/>
    <col min="7940" max="7941" width="9.109375" style="8"/>
    <col min="7942" max="7942" width="11.44140625" style="8" customWidth="1"/>
    <col min="7943" max="7943" width="18.5546875" style="8" customWidth="1"/>
    <col min="7944" max="7944" width="21.33203125" style="8" bestFit="1" customWidth="1"/>
    <col min="7945" max="7945" width="9.109375" style="8"/>
    <col min="7946" max="7946" width="14.5546875" style="8" customWidth="1"/>
    <col min="7947" max="7947" width="17.6640625" style="8" customWidth="1"/>
    <col min="7948" max="7948" width="7.109375" style="8" customWidth="1"/>
    <col min="7949" max="7949" width="15.5546875" style="8" customWidth="1"/>
    <col min="7950" max="7950" width="11.44140625" style="8" customWidth="1"/>
    <col min="7951" max="7951" width="9.109375" style="8"/>
    <col min="7952" max="7952" width="10.44140625" style="8" customWidth="1"/>
    <col min="7953" max="8193" width="9.109375" style="8"/>
    <col min="8194" max="8194" width="12" style="8" customWidth="1"/>
    <col min="8195" max="8195" width="9.5546875" style="8" customWidth="1"/>
    <col min="8196" max="8197" width="9.109375" style="8"/>
    <col min="8198" max="8198" width="11.44140625" style="8" customWidth="1"/>
    <col min="8199" max="8199" width="18.5546875" style="8" customWidth="1"/>
    <col min="8200" max="8200" width="21.33203125" style="8" bestFit="1" customWidth="1"/>
    <col min="8201" max="8201" width="9.109375" style="8"/>
    <col min="8202" max="8202" width="14.5546875" style="8" customWidth="1"/>
    <col min="8203" max="8203" width="17.6640625" style="8" customWidth="1"/>
    <col min="8204" max="8204" width="7.109375" style="8" customWidth="1"/>
    <col min="8205" max="8205" width="15.5546875" style="8" customWidth="1"/>
    <col min="8206" max="8206" width="11.44140625" style="8" customWidth="1"/>
    <col min="8207" max="8207" width="9.109375" style="8"/>
    <col min="8208" max="8208" width="10.44140625" style="8" customWidth="1"/>
    <col min="8209" max="8449" width="9.109375" style="8"/>
    <col min="8450" max="8450" width="12" style="8" customWidth="1"/>
    <col min="8451" max="8451" width="9.5546875" style="8" customWidth="1"/>
    <col min="8452" max="8453" width="9.109375" style="8"/>
    <col min="8454" max="8454" width="11.44140625" style="8" customWidth="1"/>
    <col min="8455" max="8455" width="18.5546875" style="8" customWidth="1"/>
    <col min="8456" max="8456" width="21.33203125" style="8" bestFit="1" customWidth="1"/>
    <col min="8457" max="8457" width="9.109375" style="8"/>
    <col min="8458" max="8458" width="14.5546875" style="8" customWidth="1"/>
    <col min="8459" max="8459" width="17.6640625" style="8" customWidth="1"/>
    <col min="8460" max="8460" width="7.109375" style="8" customWidth="1"/>
    <col min="8461" max="8461" width="15.5546875" style="8" customWidth="1"/>
    <col min="8462" max="8462" width="11.44140625" style="8" customWidth="1"/>
    <col min="8463" max="8463" width="9.109375" style="8"/>
    <col min="8464" max="8464" width="10.44140625" style="8" customWidth="1"/>
    <col min="8465" max="8705" width="9.109375" style="8"/>
    <col min="8706" max="8706" width="12" style="8" customWidth="1"/>
    <col min="8707" max="8707" width="9.5546875" style="8" customWidth="1"/>
    <col min="8708" max="8709" width="9.109375" style="8"/>
    <col min="8710" max="8710" width="11.44140625" style="8" customWidth="1"/>
    <col min="8711" max="8711" width="18.5546875" style="8" customWidth="1"/>
    <col min="8712" max="8712" width="21.33203125" style="8" bestFit="1" customWidth="1"/>
    <col min="8713" max="8713" width="9.109375" style="8"/>
    <col min="8714" max="8714" width="14.5546875" style="8" customWidth="1"/>
    <col min="8715" max="8715" width="17.6640625" style="8" customWidth="1"/>
    <col min="8716" max="8716" width="7.109375" style="8" customWidth="1"/>
    <col min="8717" max="8717" width="15.5546875" style="8" customWidth="1"/>
    <col min="8718" max="8718" width="11.44140625" style="8" customWidth="1"/>
    <col min="8719" max="8719" width="9.109375" style="8"/>
    <col min="8720" max="8720" width="10.44140625" style="8" customWidth="1"/>
    <col min="8721" max="8961" width="9.109375" style="8"/>
    <col min="8962" max="8962" width="12" style="8" customWidth="1"/>
    <col min="8963" max="8963" width="9.5546875" style="8" customWidth="1"/>
    <col min="8964" max="8965" width="9.109375" style="8"/>
    <col min="8966" max="8966" width="11.44140625" style="8" customWidth="1"/>
    <col min="8967" max="8967" width="18.5546875" style="8" customWidth="1"/>
    <col min="8968" max="8968" width="21.33203125" style="8" bestFit="1" customWidth="1"/>
    <col min="8969" max="8969" width="9.109375" style="8"/>
    <col min="8970" max="8970" width="14.5546875" style="8" customWidth="1"/>
    <col min="8971" max="8971" width="17.6640625" style="8" customWidth="1"/>
    <col min="8972" max="8972" width="7.109375" style="8" customWidth="1"/>
    <col min="8973" max="8973" width="15.5546875" style="8" customWidth="1"/>
    <col min="8974" max="8974" width="11.44140625" style="8" customWidth="1"/>
    <col min="8975" max="8975" width="9.109375" style="8"/>
    <col min="8976" max="8976" width="10.44140625" style="8" customWidth="1"/>
    <col min="8977" max="9217" width="9.109375" style="8"/>
    <col min="9218" max="9218" width="12" style="8" customWidth="1"/>
    <col min="9219" max="9219" width="9.5546875" style="8" customWidth="1"/>
    <col min="9220" max="9221" width="9.109375" style="8"/>
    <col min="9222" max="9222" width="11.44140625" style="8" customWidth="1"/>
    <col min="9223" max="9223" width="18.5546875" style="8" customWidth="1"/>
    <col min="9224" max="9224" width="21.33203125" style="8" bestFit="1" customWidth="1"/>
    <col min="9225" max="9225" width="9.109375" style="8"/>
    <col min="9226" max="9226" width="14.5546875" style="8" customWidth="1"/>
    <col min="9227" max="9227" width="17.6640625" style="8" customWidth="1"/>
    <col min="9228" max="9228" width="7.109375" style="8" customWidth="1"/>
    <col min="9229" max="9229" width="15.5546875" style="8" customWidth="1"/>
    <col min="9230" max="9230" width="11.44140625" style="8" customWidth="1"/>
    <col min="9231" max="9231" width="9.109375" style="8"/>
    <col min="9232" max="9232" width="10.44140625" style="8" customWidth="1"/>
    <col min="9233" max="9473" width="9.109375" style="8"/>
    <col min="9474" max="9474" width="12" style="8" customWidth="1"/>
    <col min="9475" max="9475" width="9.5546875" style="8" customWidth="1"/>
    <col min="9476" max="9477" width="9.109375" style="8"/>
    <col min="9478" max="9478" width="11.44140625" style="8" customWidth="1"/>
    <col min="9479" max="9479" width="18.5546875" style="8" customWidth="1"/>
    <col min="9480" max="9480" width="21.33203125" style="8" bestFit="1" customWidth="1"/>
    <col min="9481" max="9481" width="9.109375" style="8"/>
    <col min="9482" max="9482" width="14.5546875" style="8" customWidth="1"/>
    <col min="9483" max="9483" width="17.6640625" style="8" customWidth="1"/>
    <col min="9484" max="9484" width="7.109375" style="8" customWidth="1"/>
    <col min="9485" max="9485" width="15.5546875" style="8" customWidth="1"/>
    <col min="9486" max="9486" width="11.44140625" style="8" customWidth="1"/>
    <col min="9487" max="9487" width="9.109375" style="8"/>
    <col min="9488" max="9488" width="10.44140625" style="8" customWidth="1"/>
    <col min="9489" max="9729" width="9.109375" style="8"/>
    <col min="9730" max="9730" width="12" style="8" customWidth="1"/>
    <col min="9731" max="9731" width="9.5546875" style="8" customWidth="1"/>
    <col min="9732" max="9733" width="9.109375" style="8"/>
    <col min="9734" max="9734" width="11.44140625" style="8" customWidth="1"/>
    <col min="9735" max="9735" width="18.5546875" style="8" customWidth="1"/>
    <col min="9736" max="9736" width="21.33203125" style="8" bestFit="1" customWidth="1"/>
    <col min="9737" max="9737" width="9.109375" style="8"/>
    <col min="9738" max="9738" width="14.5546875" style="8" customWidth="1"/>
    <col min="9739" max="9739" width="17.6640625" style="8" customWidth="1"/>
    <col min="9740" max="9740" width="7.109375" style="8" customWidth="1"/>
    <col min="9741" max="9741" width="15.5546875" style="8" customWidth="1"/>
    <col min="9742" max="9742" width="11.44140625" style="8" customWidth="1"/>
    <col min="9743" max="9743" width="9.109375" style="8"/>
    <col min="9744" max="9744" width="10.44140625" style="8" customWidth="1"/>
    <col min="9745" max="9985" width="9.109375" style="8"/>
    <col min="9986" max="9986" width="12" style="8" customWidth="1"/>
    <col min="9987" max="9987" width="9.5546875" style="8" customWidth="1"/>
    <col min="9988" max="9989" width="9.109375" style="8"/>
    <col min="9990" max="9990" width="11.44140625" style="8" customWidth="1"/>
    <col min="9991" max="9991" width="18.5546875" style="8" customWidth="1"/>
    <col min="9992" max="9992" width="21.33203125" style="8" bestFit="1" customWidth="1"/>
    <col min="9993" max="9993" width="9.109375" style="8"/>
    <col min="9994" max="9994" width="14.5546875" style="8" customWidth="1"/>
    <col min="9995" max="9995" width="17.6640625" style="8" customWidth="1"/>
    <col min="9996" max="9996" width="7.109375" style="8" customWidth="1"/>
    <col min="9997" max="9997" width="15.5546875" style="8" customWidth="1"/>
    <col min="9998" max="9998" width="11.44140625" style="8" customWidth="1"/>
    <col min="9999" max="9999" width="9.109375" style="8"/>
    <col min="10000" max="10000" width="10.44140625" style="8" customWidth="1"/>
    <col min="10001" max="10241" width="9.109375" style="8"/>
    <col min="10242" max="10242" width="12" style="8" customWidth="1"/>
    <col min="10243" max="10243" width="9.5546875" style="8" customWidth="1"/>
    <col min="10244" max="10245" width="9.109375" style="8"/>
    <col min="10246" max="10246" width="11.44140625" style="8" customWidth="1"/>
    <col min="10247" max="10247" width="18.5546875" style="8" customWidth="1"/>
    <col min="10248" max="10248" width="21.33203125" style="8" bestFit="1" customWidth="1"/>
    <col min="10249" max="10249" width="9.109375" style="8"/>
    <col min="10250" max="10250" width="14.5546875" style="8" customWidth="1"/>
    <col min="10251" max="10251" width="17.6640625" style="8" customWidth="1"/>
    <col min="10252" max="10252" width="7.109375" style="8" customWidth="1"/>
    <col min="10253" max="10253" width="15.5546875" style="8" customWidth="1"/>
    <col min="10254" max="10254" width="11.44140625" style="8" customWidth="1"/>
    <col min="10255" max="10255" width="9.109375" style="8"/>
    <col min="10256" max="10256" width="10.44140625" style="8" customWidth="1"/>
    <col min="10257" max="10497" width="9.109375" style="8"/>
    <col min="10498" max="10498" width="12" style="8" customWidth="1"/>
    <col min="10499" max="10499" width="9.5546875" style="8" customWidth="1"/>
    <col min="10500" max="10501" width="9.109375" style="8"/>
    <col min="10502" max="10502" width="11.44140625" style="8" customWidth="1"/>
    <col min="10503" max="10503" width="18.5546875" style="8" customWidth="1"/>
    <col min="10504" max="10504" width="21.33203125" style="8" bestFit="1" customWidth="1"/>
    <col min="10505" max="10505" width="9.109375" style="8"/>
    <col min="10506" max="10506" width="14.5546875" style="8" customWidth="1"/>
    <col min="10507" max="10507" width="17.6640625" style="8" customWidth="1"/>
    <col min="10508" max="10508" width="7.109375" style="8" customWidth="1"/>
    <col min="10509" max="10509" width="15.5546875" style="8" customWidth="1"/>
    <col min="10510" max="10510" width="11.44140625" style="8" customWidth="1"/>
    <col min="10511" max="10511" width="9.109375" style="8"/>
    <col min="10512" max="10512" width="10.44140625" style="8" customWidth="1"/>
    <col min="10513" max="10753" width="9.109375" style="8"/>
    <col min="10754" max="10754" width="12" style="8" customWidth="1"/>
    <col min="10755" max="10755" width="9.5546875" style="8" customWidth="1"/>
    <col min="10756" max="10757" width="9.109375" style="8"/>
    <col min="10758" max="10758" width="11.44140625" style="8" customWidth="1"/>
    <col min="10759" max="10759" width="18.5546875" style="8" customWidth="1"/>
    <col min="10760" max="10760" width="21.33203125" style="8" bestFit="1" customWidth="1"/>
    <col min="10761" max="10761" width="9.109375" style="8"/>
    <col min="10762" max="10762" width="14.5546875" style="8" customWidth="1"/>
    <col min="10763" max="10763" width="17.6640625" style="8" customWidth="1"/>
    <col min="10764" max="10764" width="7.109375" style="8" customWidth="1"/>
    <col min="10765" max="10765" width="15.5546875" style="8" customWidth="1"/>
    <col min="10766" max="10766" width="11.44140625" style="8" customWidth="1"/>
    <col min="10767" max="10767" width="9.109375" style="8"/>
    <col min="10768" max="10768" width="10.44140625" style="8" customWidth="1"/>
    <col min="10769" max="11009" width="9.109375" style="8"/>
    <col min="11010" max="11010" width="12" style="8" customWidth="1"/>
    <col min="11011" max="11011" width="9.5546875" style="8" customWidth="1"/>
    <col min="11012" max="11013" width="9.109375" style="8"/>
    <col min="11014" max="11014" width="11.44140625" style="8" customWidth="1"/>
    <col min="11015" max="11015" width="18.5546875" style="8" customWidth="1"/>
    <col min="11016" max="11016" width="21.33203125" style="8" bestFit="1" customWidth="1"/>
    <col min="11017" max="11017" width="9.109375" style="8"/>
    <col min="11018" max="11018" width="14.5546875" style="8" customWidth="1"/>
    <col min="11019" max="11019" width="17.6640625" style="8" customWidth="1"/>
    <col min="11020" max="11020" width="7.109375" style="8" customWidth="1"/>
    <col min="11021" max="11021" width="15.5546875" style="8" customWidth="1"/>
    <col min="11022" max="11022" width="11.44140625" style="8" customWidth="1"/>
    <col min="11023" max="11023" width="9.109375" style="8"/>
    <col min="11024" max="11024" width="10.44140625" style="8" customWidth="1"/>
    <col min="11025" max="11265" width="9.109375" style="8"/>
    <col min="11266" max="11266" width="12" style="8" customWidth="1"/>
    <col min="11267" max="11267" width="9.5546875" style="8" customWidth="1"/>
    <col min="11268" max="11269" width="9.109375" style="8"/>
    <col min="11270" max="11270" width="11.44140625" style="8" customWidth="1"/>
    <col min="11271" max="11271" width="18.5546875" style="8" customWidth="1"/>
    <col min="11272" max="11272" width="21.33203125" style="8" bestFit="1" customWidth="1"/>
    <col min="11273" max="11273" width="9.109375" style="8"/>
    <col min="11274" max="11274" width="14.5546875" style="8" customWidth="1"/>
    <col min="11275" max="11275" width="17.6640625" style="8" customWidth="1"/>
    <col min="11276" max="11276" width="7.109375" style="8" customWidth="1"/>
    <col min="11277" max="11277" width="15.5546875" style="8" customWidth="1"/>
    <col min="11278" max="11278" width="11.44140625" style="8" customWidth="1"/>
    <col min="11279" max="11279" width="9.109375" style="8"/>
    <col min="11280" max="11280" width="10.44140625" style="8" customWidth="1"/>
    <col min="11281" max="11521" width="9.109375" style="8"/>
    <col min="11522" max="11522" width="12" style="8" customWidth="1"/>
    <col min="11523" max="11523" width="9.5546875" style="8" customWidth="1"/>
    <col min="11524" max="11525" width="9.109375" style="8"/>
    <col min="11526" max="11526" width="11.44140625" style="8" customWidth="1"/>
    <col min="11527" max="11527" width="18.5546875" style="8" customWidth="1"/>
    <col min="11528" max="11528" width="21.33203125" style="8" bestFit="1" customWidth="1"/>
    <col min="11529" max="11529" width="9.109375" style="8"/>
    <col min="11530" max="11530" width="14.5546875" style="8" customWidth="1"/>
    <col min="11531" max="11531" width="17.6640625" style="8" customWidth="1"/>
    <col min="11532" max="11532" width="7.109375" style="8" customWidth="1"/>
    <col min="11533" max="11533" width="15.5546875" style="8" customWidth="1"/>
    <col min="11534" max="11534" width="11.44140625" style="8" customWidth="1"/>
    <col min="11535" max="11535" width="9.109375" style="8"/>
    <col min="11536" max="11536" width="10.44140625" style="8" customWidth="1"/>
    <col min="11537" max="11777" width="9.109375" style="8"/>
    <col min="11778" max="11778" width="12" style="8" customWidth="1"/>
    <col min="11779" max="11779" width="9.5546875" style="8" customWidth="1"/>
    <col min="11780" max="11781" width="9.109375" style="8"/>
    <col min="11782" max="11782" width="11.44140625" style="8" customWidth="1"/>
    <col min="11783" max="11783" width="18.5546875" style="8" customWidth="1"/>
    <col min="11784" max="11784" width="21.33203125" style="8" bestFit="1" customWidth="1"/>
    <col min="11785" max="11785" width="9.109375" style="8"/>
    <col min="11786" max="11786" width="14.5546875" style="8" customWidth="1"/>
    <col min="11787" max="11787" width="17.6640625" style="8" customWidth="1"/>
    <col min="11788" max="11788" width="7.109375" style="8" customWidth="1"/>
    <col min="11789" max="11789" width="15.5546875" style="8" customWidth="1"/>
    <col min="11790" max="11790" width="11.44140625" style="8" customWidth="1"/>
    <col min="11791" max="11791" width="9.109375" style="8"/>
    <col min="11792" max="11792" width="10.44140625" style="8" customWidth="1"/>
    <col min="11793" max="12033" width="9.109375" style="8"/>
    <col min="12034" max="12034" width="12" style="8" customWidth="1"/>
    <col min="12035" max="12035" width="9.5546875" style="8" customWidth="1"/>
    <col min="12036" max="12037" width="9.109375" style="8"/>
    <col min="12038" max="12038" width="11.44140625" style="8" customWidth="1"/>
    <col min="12039" max="12039" width="18.5546875" style="8" customWidth="1"/>
    <col min="12040" max="12040" width="21.33203125" style="8" bestFit="1" customWidth="1"/>
    <col min="12041" max="12041" width="9.109375" style="8"/>
    <col min="12042" max="12042" width="14.5546875" style="8" customWidth="1"/>
    <col min="12043" max="12043" width="17.6640625" style="8" customWidth="1"/>
    <col min="12044" max="12044" width="7.109375" style="8" customWidth="1"/>
    <col min="12045" max="12045" width="15.5546875" style="8" customWidth="1"/>
    <col min="12046" max="12046" width="11.44140625" style="8" customWidth="1"/>
    <col min="12047" max="12047" width="9.109375" style="8"/>
    <col min="12048" max="12048" width="10.44140625" style="8" customWidth="1"/>
    <col min="12049" max="12289" width="9.109375" style="8"/>
    <col min="12290" max="12290" width="12" style="8" customWidth="1"/>
    <col min="12291" max="12291" width="9.5546875" style="8" customWidth="1"/>
    <col min="12292" max="12293" width="9.109375" style="8"/>
    <col min="12294" max="12294" width="11.44140625" style="8" customWidth="1"/>
    <col min="12295" max="12295" width="18.5546875" style="8" customWidth="1"/>
    <col min="12296" max="12296" width="21.33203125" style="8" bestFit="1" customWidth="1"/>
    <col min="12297" max="12297" width="9.109375" style="8"/>
    <col min="12298" max="12298" width="14.5546875" style="8" customWidth="1"/>
    <col min="12299" max="12299" width="17.6640625" style="8" customWidth="1"/>
    <col min="12300" max="12300" width="7.109375" style="8" customWidth="1"/>
    <col min="12301" max="12301" width="15.5546875" style="8" customWidth="1"/>
    <col min="12302" max="12302" width="11.44140625" style="8" customWidth="1"/>
    <col min="12303" max="12303" width="9.109375" style="8"/>
    <col min="12304" max="12304" width="10.44140625" style="8" customWidth="1"/>
    <col min="12305" max="12545" width="9.109375" style="8"/>
    <col min="12546" max="12546" width="12" style="8" customWidth="1"/>
    <col min="12547" max="12547" width="9.5546875" style="8" customWidth="1"/>
    <col min="12548" max="12549" width="9.109375" style="8"/>
    <col min="12550" max="12550" width="11.44140625" style="8" customWidth="1"/>
    <col min="12551" max="12551" width="18.5546875" style="8" customWidth="1"/>
    <col min="12552" max="12552" width="21.33203125" style="8" bestFit="1" customWidth="1"/>
    <col min="12553" max="12553" width="9.109375" style="8"/>
    <col min="12554" max="12554" width="14.5546875" style="8" customWidth="1"/>
    <col min="12555" max="12555" width="17.6640625" style="8" customWidth="1"/>
    <col min="12556" max="12556" width="7.109375" style="8" customWidth="1"/>
    <col min="12557" max="12557" width="15.5546875" style="8" customWidth="1"/>
    <col min="12558" max="12558" width="11.44140625" style="8" customWidth="1"/>
    <col min="12559" max="12559" width="9.109375" style="8"/>
    <col min="12560" max="12560" width="10.44140625" style="8" customWidth="1"/>
    <col min="12561" max="12801" width="9.109375" style="8"/>
    <col min="12802" max="12802" width="12" style="8" customWidth="1"/>
    <col min="12803" max="12803" width="9.5546875" style="8" customWidth="1"/>
    <col min="12804" max="12805" width="9.109375" style="8"/>
    <col min="12806" max="12806" width="11.44140625" style="8" customWidth="1"/>
    <col min="12807" max="12807" width="18.5546875" style="8" customWidth="1"/>
    <col min="12808" max="12808" width="21.33203125" style="8" bestFit="1" customWidth="1"/>
    <col min="12809" max="12809" width="9.109375" style="8"/>
    <col min="12810" max="12810" width="14.5546875" style="8" customWidth="1"/>
    <col min="12811" max="12811" width="17.6640625" style="8" customWidth="1"/>
    <col min="12812" max="12812" width="7.109375" style="8" customWidth="1"/>
    <col min="12813" max="12813" width="15.5546875" style="8" customWidth="1"/>
    <col min="12814" max="12814" width="11.44140625" style="8" customWidth="1"/>
    <col min="12815" max="12815" width="9.109375" style="8"/>
    <col min="12816" max="12816" width="10.44140625" style="8" customWidth="1"/>
    <col min="12817" max="13057" width="9.109375" style="8"/>
    <col min="13058" max="13058" width="12" style="8" customWidth="1"/>
    <col min="13059" max="13059" width="9.5546875" style="8" customWidth="1"/>
    <col min="13060" max="13061" width="9.109375" style="8"/>
    <col min="13062" max="13062" width="11.44140625" style="8" customWidth="1"/>
    <col min="13063" max="13063" width="18.5546875" style="8" customWidth="1"/>
    <col min="13064" max="13064" width="21.33203125" style="8" bestFit="1" customWidth="1"/>
    <col min="13065" max="13065" width="9.109375" style="8"/>
    <col min="13066" max="13066" width="14.5546875" style="8" customWidth="1"/>
    <col min="13067" max="13067" width="17.6640625" style="8" customWidth="1"/>
    <col min="13068" max="13068" width="7.109375" style="8" customWidth="1"/>
    <col min="13069" max="13069" width="15.5546875" style="8" customWidth="1"/>
    <col min="13070" max="13070" width="11.44140625" style="8" customWidth="1"/>
    <col min="13071" max="13071" width="9.109375" style="8"/>
    <col min="13072" max="13072" width="10.44140625" style="8" customWidth="1"/>
    <col min="13073" max="13313" width="9.109375" style="8"/>
    <col min="13314" max="13314" width="12" style="8" customWidth="1"/>
    <col min="13315" max="13315" width="9.5546875" style="8" customWidth="1"/>
    <col min="13316" max="13317" width="9.109375" style="8"/>
    <col min="13318" max="13318" width="11.44140625" style="8" customWidth="1"/>
    <col min="13319" max="13319" width="18.5546875" style="8" customWidth="1"/>
    <col min="13320" max="13320" width="21.33203125" style="8" bestFit="1" customWidth="1"/>
    <col min="13321" max="13321" width="9.109375" style="8"/>
    <col min="13322" max="13322" width="14.5546875" style="8" customWidth="1"/>
    <col min="13323" max="13323" width="17.6640625" style="8" customWidth="1"/>
    <col min="13324" max="13324" width="7.109375" style="8" customWidth="1"/>
    <col min="13325" max="13325" width="15.5546875" style="8" customWidth="1"/>
    <col min="13326" max="13326" width="11.44140625" style="8" customWidth="1"/>
    <col min="13327" max="13327" width="9.109375" style="8"/>
    <col min="13328" max="13328" width="10.44140625" style="8" customWidth="1"/>
    <col min="13329" max="13569" width="9.109375" style="8"/>
    <col min="13570" max="13570" width="12" style="8" customWidth="1"/>
    <col min="13571" max="13571" width="9.5546875" style="8" customWidth="1"/>
    <col min="13572" max="13573" width="9.109375" style="8"/>
    <col min="13574" max="13574" width="11.44140625" style="8" customWidth="1"/>
    <col min="13575" max="13575" width="18.5546875" style="8" customWidth="1"/>
    <col min="13576" max="13576" width="21.33203125" style="8" bestFit="1" customWidth="1"/>
    <col min="13577" max="13577" width="9.109375" style="8"/>
    <col min="13578" max="13578" width="14.5546875" style="8" customWidth="1"/>
    <col min="13579" max="13579" width="17.6640625" style="8" customWidth="1"/>
    <col min="13580" max="13580" width="7.109375" style="8" customWidth="1"/>
    <col min="13581" max="13581" width="15.5546875" style="8" customWidth="1"/>
    <col min="13582" max="13582" width="11.44140625" style="8" customWidth="1"/>
    <col min="13583" max="13583" width="9.109375" style="8"/>
    <col min="13584" max="13584" width="10.44140625" style="8" customWidth="1"/>
    <col min="13585" max="13825" width="9.109375" style="8"/>
    <col min="13826" max="13826" width="12" style="8" customWidth="1"/>
    <col min="13827" max="13827" width="9.5546875" style="8" customWidth="1"/>
    <col min="13828" max="13829" width="9.109375" style="8"/>
    <col min="13830" max="13830" width="11.44140625" style="8" customWidth="1"/>
    <col min="13831" max="13831" width="18.5546875" style="8" customWidth="1"/>
    <col min="13832" max="13832" width="21.33203125" style="8" bestFit="1" customWidth="1"/>
    <col min="13833" max="13833" width="9.109375" style="8"/>
    <col min="13834" max="13834" width="14.5546875" style="8" customWidth="1"/>
    <col min="13835" max="13835" width="17.6640625" style="8" customWidth="1"/>
    <col min="13836" max="13836" width="7.109375" style="8" customWidth="1"/>
    <col min="13837" max="13837" width="15.5546875" style="8" customWidth="1"/>
    <col min="13838" max="13838" width="11.44140625" style="8" customWidth="1"/>
    <col min="13839" max="13839" width="9.109375" style="8"/>
    <col min="13840" max="13840" width="10.44140625" style="8" customWidth="1"/>
    <col min="13841" max="14081" width="9.109375" style="8"/>
    <col min="14082" max="14082" width="12" style="8" customWidth="1"/>
    <col min="14083" max="14083" width="9.5546875" style="8" customWidth="1"/>
    <col min="14084" max="14085" width="9.109375" style="8"/>
    <col min="14086" max="14086" width="11.44140625" style="8" customWidth="1"/>
    <col min="14087" max="14087" width="18.5546875" style="8" customWidth="1"/>
    <col min="14088" max="14088" width="21.33203125" style="8" bestFit="1" customWidth="1"/>
    <col min="14089" max="14089" width="9.109375" style="8"/>
    <col min="14090" max="14090" width="14.5546875" style="8" customWidth="1"/>
    <col min="14091" max="14091" width="17.6640625" style="8" customWidth="1"/>
    <col min="14092" max="14092" width="7.109375" style="8" customWidth="1"/>
    <col min="14093" max="14093" width="15.5546875" style="8" customWidth="1"/>
    <col min="14094" max="14094" width="11.44140625" style="8" customWidth="1"/>
    <col min="14095" max="14095" width="9.109375" style="8"/>
    <col min="14096" max="14096" width="10.44140625" style="8" customWidth="1"/>
    <col min="14097" max="14337" width="9.109375" style="8"/>
    <col min="14338" max="14338" width="12" style="8" customWidth="1"/>
    <col min="14339" max="14339" width="9.5546875" style="8" customWidth="1"/>
    <col min="14340" max="14341" width="9.109375" style="8"/>
    <col min="14342" max="14342" width="11.44140625" style="8" customWidth="1"/>
    <col min="14343" max="14343" width="18.5546875" style="8" customWidth="1"/>
    <col min="14344" max="14344" width="21.33203125" style="8" bestFit="1" customWidth="1"/>
    <col min="14345" max="14345" width="9.109375" style="8"/>
    <col min="14346" max="14346" width="14.5546875" style="8" customWidth="1"/>
    <col min="14347" max="14347" width="17.6640625" style="8" customWidth="1"/>
    <col min="14348" max="14348" width="7.109375" style="8" customWidth="1"/>
    <col min="14349" max="14349" width="15.5546875" style="8" customWidth="1"/>
    <col min="14350" max="14350" width="11.44140625" style="8" customWidth="1"/>
    <col min="14351" max="14351" width="9.109375" style="8"/>
    <col min="14352" max="14352" width="10.44140625" style="8" customWidth="1"/>
    <col min="14353" max="14593" width="9.109375" style="8"/>
    <col min="14594" max="14594" width="12" style="8" customWidth="1"/>
    <col min="14595" max="14595" width="9.5546875" style="8" customWidth="1"/>
    <col min="14596" max="14597" width="9.109375" style="8"/>
    <col min="14598" max="14598" width="11.44140625" style="8" customWidth="1"/>
    <col min="14599" max="14599" width="18.5546875" style="8" customWidth="1"/>
    <col min="14600" max="14600" width="21.33203125" style="8" bestFit="1" customWidth="1"/>
    <col min="14601" max="14601" width="9.109375" style="8"/>
    <col min="14602" max="14602" width="14.5546875" style="8" customWidth="1"/>
    <col min="14603" max="14603" width="17.6640625" style="8" customWidth="1"/>
    <col min="14604" max="14604" width="7.109375" style="8" customWidth="1"/>
    <col min="14605" max="14605" width="15.5546875" style="8" customWidth="1"/>
    <col min="14606" max="14606" width="11.44140625" style="8" customWidth="1"/>
    <col min="14607" max="14607" width="9.109375" style="8"/>
    <col min="14608" max="14608" width="10.44140625" style="8" customWidth="1"/>
    <col min="14609" max="14849" width="9.109375" style="8"/>
    <col min="14850" max="14850" width="12" style="8" customWidth="1"/>
    <col min="14851" max="14851" width="9.5546875" style="8" customWidth="1"/>
    <col min="14852" max="14853" width="9.109375" style="8"/>
    <col min="14854" max="14854" width="11.44140625" style="8" customWidth="1"/>
    <col min="14855" max="14855" width="18.5546875" style="8" customWidth="1"/>
    <col min="14856" max="14856" width="21.33203125" style="8" bestFit="1" customWidth="1"/>
    <col min="14857" max="14857" width="9.109375" style="8"/>
    <col min="14858" max="14858" width="14.5546875" style="8" customWidth="1"/>
    <col min="14859" max="14859" width="17.6640625" style="8" customWidth="1"/>
    <col min="14860" max="14860" width="7.109375" style="8" customWidth="1"/>
    <col min="14861" max="14861" width="15.5546875" style="8" customWidth="1"/>
    <col min="14862" max="14862" width="11.44140625" style="8" customWidth="1"/>
    <col min="14863" max="14863" width="9.109375" style="8"/>
    <col min="14864" max="14864" width="10.44140625" style="8" customWidth="1"/>
    <col min="14865" max="15105" width="9.109375" style="8"/>
    <col min="15106" max="15106" width="12" style="8" customWidth="1"/>
    <col min="15107" max="15107" width="9.5546875" style="8" customWidth="1"/>
    <col min="15108" max="15109" width="9.109375" style="8"/>
    <col min="15110" max="15110" width="11.44140625" style="8" customWidth="1"/>
    <col min="15111" max="15111" width="18.5546875" style="8" customWidth="1"/>
    <col min="15112" max="15112" width="21.33203125" style="8" bestFit="1" customWidth="1"/>
    <col min="15113" max="15113" width="9.109375" style="8"/>
    <col min="15114" max="15114" width="14.5546875" style="8" customWidth="1"/>
    <col min="15115" max="15115" width="17.6640625" style="8" customWidth="1"/>
    <col min="15116" max="15116" width="7.109375" style="8" customWidth="1"/>
    <col min="15117" max="15117" width="15.5546875" style="8" customWidth="1"/>
    <col min="15118" max="15118" width="11.44140625" style="8" customWidth="1"/>
    <col min="15119" max="15119" width="9.109375" style="8"/>
    <col min="15120" max="15120" width="10.44140625" style="8" customWidth="1"/>
    <col min="15121" max="15361" width="9.109375" style="8"/>
    <col min="15362" max="15362" width="12" style="8" customWidth="1"/>
    <col min="15363" max="15363" width="9.5546875" style="8" customWidth="1"/>
    <col min="15364" max="15365" width="9.109375" style="8"/>
    <col min="15366" max="15366" width="11.44140625" style="8" customWidth="1"/>
    <col min="15367" max="15367" width="18.5546875" style="8" customWidth="1"/>
    <col min="15368" max="15368" width="21.33203125" style="8" bestFit="1" customWidth="1"/>
    <col min="15369" max="15369" width="9.109375" style="8"/>
    <col min="15370" max="15370" width="14.5546875" style="8" customWidth="1"/>
    <col min="15371" max="15371" width="17.6640625" style="8" customWidth="1"/>
    <col min="15372" max="15372" width="7.109375" style="8" customWidth="1"/>
    <col min="15373" max="15373" width="15.5546875" style="8" customWidth="1"/>
    <col min="15374" max="15374" width="11.44140625" style="8" customWidth="1"/>
    <col min="15375" max="15375" width="9.109375" style="8"/>
    <col min="15376" max="15376" width="10.44140625" style="8" customWidth="1"/>
    <col min="15377" max="15617" width="9.109375" style="8"/>
    <col min="15618" max="15618" width="12" style="8" customWidth="1"/>
    <col min="15619" max="15619" width="9.5546875" style="8" customWidth="1"/>
    <col min="15620" max="15621" width="9.109375" style="8"/>
    <col min="15622" max="15622" width="11.44140625" style="8" customWidth="1"/>
    <col min="15623" max="15623" width="18.5546875" style="8" customWidth="1"/>
    <col min="15624" max="15624" width="21.33203125" style="8" bestFit="1" customWidth="1"/>
    <col min="15625" max="15625" width="9.109375" style="8"/>
    <col min="15626" max="15626" width="14.5546875" style="8" customWidth="1"/>
    <col min="15627" max="15627" width="17.6640625" style="8" customWidth="1"/>
    <col min="15628" max="15628" width="7.109375" style="8" customWidth="1"/>
    <col min="15629" max="15629" width="15.5546875" style="8" customWidth="1"/>
    <col min="15630" max="15630" width="11.44140625" style="8" customWidth="1"/>
    <col min="15631" max="15631" width="9.109375" style="8"/>
    <col min="15632" max="15632" width="10.44140625" style="8" customWidth="1"/>
    <col min="15633" max="15873" width="9.109375" style="8"/>
    <col min="15874" max="15874" width="12" style="8" customWidth="1"/>
    <col min="15875" max="15875" width="9.5546875" style="8" customWidth="1"/>
    <col min="15876" max="15877" width="9.109375" style="8"/>
    <col min="15878" max="15878" width="11.44140625" style="8" customWidth="1"/>
    <col min="15879" max="15879" width="18.5546875" style="8" customWidth="1"/>
    <col min="15880" max="15880" width="21.33203125" style="8" bestFit="1" customWidth="1"/>
    <col min="15881" max="15881" width="9.109375" style="8"/>
    <col min="15882" max="15882" width="14.5546875" style="8" customWidth="1"/>
    <col min="15883" max="15883" width="17.6640625" style="8" customWidth="1"/>
    <col min="15884" max="15884" width="7.109375" style="8" customWidth="1"/>
    <col min="15885" max="15885" width="15.5546875" style="8" customWidth="1"/>
    <col min="15886" max="15886" width="11.44140625" style="8" customWidth="1"/>
    <col min="15887" max="15887" width="9.109375" style="8"/>
    <col min="15888" max="15888" width="10.44140625" style="8" customWidth="1"/>
    <col min="15889" max="16129" width="9.109375" style="8"/>
    <col min="16130" max="16130" width="12" style="8" customWidth="1"/>
    <col min="16131" max="16131" width="9.5546875" style="8" customWidth="1"/>
    <col min="16132" max="16133" width="9.109375" style="8"/>
    <col min="16134" max="16134" width="11.44140625" style="8" customWidth="1"/>
    <col min="16135" max="16135" width="18.5546875" style="8" customWidth="1"/>
    <col min="16136" max="16136" width="21.33203125" style="8" bestFit="1" customWidth="1"/>
    <col min="16137" max="16137" width="9.109375" style="8"/>
    <col min="16138" max="16138" width="14.5546875" style="8" customWidth="1"/>
    <col min="16139" max="16139" width="17.6640625" style="8" customWidth="1"/>
    <col min="16140" max="16140" width="7.109375" style="8" customWidth="1"/>
    <col min="16141" max="16141" width="15.5546875" style="8" customWidth="1"/>
    <col min="16142" max="16142" width="11.44140625" style="8" customWidth="1"/>
    <col min="16143" max="16143" width="9.109375" style="8"/>
    <col min="16144" max="16144" width="10.44140625" style="8" customWidth="1"/>
    <col min="16145" max="16384" width="9.109375" style="8"/>
  </cols>
  <sheetData>
    <row r="1" spans="1:16" ht="15" customHeight="1">
      <c r="A1" s="947" t="s">
        <v>138</v>
      </c>
      <c r="B1" s="948"/>
      <c r="C1" s="948"/>
      <c r="D1" s="948"/>
      <c r="E1" s="948"/>
      <c r="F1" s="948"/>
      <c r="G1" s="948"/>
      <c r="H1" s="948"/>
      <c r="I1" s="949"/>
      <c r="J1" s="950" t="s">
        <v>591</v>
      </c>
      <c r="K1" s="951"/>
      <c r="L1" s="951"/>
      <c r="M1" s="952"/>
      <c r="N1" s="950" t="s">
        <v>139</v>
      </c>
      <c r="O1" s="951"/>
      <c r="P1" s="956"/>
    </row>
    <row r="2" spans="1:16" ht="15" customHeight="1">
      <c r="A2" s="969" t="s">
        <v>318</v>
      </c>
      <c r="B2" s="970"/>
      <c r="C2" s="971" t="str">
        <f>'F1 Forecast Serivce Provider'!C3</f>
        <v>WESTERN</v>
      </c>
      <c r="D2" s="971"/>
      <c r="E2" s="376"/>
      <c r="F2" s="376"/>
      <c r="G2" s="376"/>
      <c r="H2" s="376"/>
      <c r="I2" s="377"/>
      <c r="J2" s="953"/>
      <c r="K2" s="954"/>
      <c r="L2" s="954"/>
      <c r="M2" s="955"/>
      <c r="N2" s="953"/>
      <c r="O2" s="954"/>
      <c r="P2" s="957"/>
    </row>
    <row r="3" spans="1:16" ht="15" customHeight="1">
      <c r="A3" s="958" t="s">
        <v>140</v>
      </c>
      <c r="B3" s="959"/>
      <c r="C3" s="962">
        <f>'F1 Forecast Combined'!B12</f>
        <v>0</v>
      </c>
      <c r="D3" s="959"/>
      <c r="E3" s="959"/>
      <c r="F3" s="959"/>
      <c r="G3" s="959"/>
      <c r="H3" s="959"/>
      <c r="I3" s="963"/>
      <c r="J3" s="965" t="s">
        <v>141</v>
      </c>
      <c r="K3" s="966"/>
      <c r="L3" s="972" t="str">
        <f>" W12/9/2 -  " &amp; K6</f>
        <v xml:space="preserve"> W12/9/2 -  GP2026/001/68120/2004</v>
      </c>
      <c r="M3" s="973"/>
      <c r="N3" s="973"/>
      <c r="O3" s="973"/>
      <c r="P3" s="974"/>
    </row>
    <row r="4" spans="1:16" ht="15" customHeight="1">
      <c r="A4" s="960"/>
      <c r="B4" s="961"/>
      <c r="C4" s="961"/>
      <c r="D4" s="961"/>
      <c r="E4" s="961"/>
      <c r="F4" s="961"/>
      <c r="G4" s="961"/>
      <c r="H4" s="961"/>
      <c r="I4" s="964"/>
      <c r="J4" s="967"/>
      <c r="K4" s="968"/>
      <c r="L4" s="975"/>
      <c r="M4" s="976"/>
      <c r="N4" s="976"/>
      <c r="O4" s="976"/>
      <c r="P4" s="977"/>
    </row>
    <row r="5" spans="1:16" ht="14.25" customHeight="1">
      <c r="A5" s="958" t="s">
        <v>142</v>
      </c>
      <c r="B5" s="959"/>
      <c r="C5" s="998"/>
      <c r="D5" s="998"/>
      <c r="E5" s="998"/>
      <c r="F5" s="998"/>
      <c r="G5" s="998"/>
      <c r="H5" s="998"/>
      <c r="I5" s="999"/>
      <c r="J5" s="50" t="s">
        <v>143</v>
      </c>
      <c r="K5" s="51"/>
      <c r="L5" s="1000"/>
      <c r="M5" s="1001"/>
      <c r="N5" s="1008" t="s">
        <v>144</v>
      </c>
      <c r="O5" s="1009"/>
      <c r="P5" s="1010"/>
    </row>
    <row r="6" spans="1:16" ht="15" customHeight="1">
      <c r="A6" s="960"/>
      <c r="B6" s="961"/>
      <c r="C6" s="998"/>
      <c r="D6" s="998"/>
      <c r="E6" s="998"/>
      <c r="F6" s="998"/>
      <c r="G6" s="998"/>
      <c r="H6" s="998"/>
      <c r="I6" s="999"/>
      <c r="J6" s="1025" t="s">
        <v>145</v>
      </c>
      <c r="K6" s="1027" t="str">
        <f>'F1 Forecast Combined'!B8</f>
        <v>GP2026/001/68120/2004</v>
      </c>
      <c r="L6" s="1027"/>
      <c r="M6" s="1028"/>
      <c r="N6" s="1011"/>
      <c r="O6" s="1012"/>
      <c r="P6" s="1013"/>
    </row>
    <row r="7" spans="1:16" ht="15" customHeight="1">
      <c r="A7" s="958" t="s">
        <v>146</v>
      </c>
      <c r="B7" s="959"/>
      <c r="C7" s="1018" t="str">
        <f>'F1 Forecast Combined'!B9</f>
        <v>OFFICE FACILITY MANAGEMENT FOR SANRAL GAUTENG PROVINCIAL OFFICE (38 IDA STREET, MENLO PARK, PRETORIA)</v>
      </c>
      <c r="D7" s="1019"/>
      <c r="E7" s="1019"/>
      <c r="F7" s="1019"/>
      <c r="G7" s="1019"/>
      <c r="H7" s="1019"/>
      <c r="I7" s="1020"/>
      <c r="J7" s="1026"/>
      <c r="K7" s="1029"/>
      <c r="L7" s="1029"/>
      <c r="M7" s="1030"/>
      <c r="N7" s="1035" t="s">
        <v>147</v>
      </c>
      <c r="O7" s="1038"/>
      <c r="P7" s="1039"/>
    </row>
    <row r="8" spans="1:16" ht="24.75" customHeight="1">
      <c r="A8" s="1014"/>
      <c r="B8" s="1015"/>
      <c r="C8" s="1021"/>
      <c r="D8" s="1021"/>
      <c r="E8" s="1021"/>
      <c r="F8" s="1021"/>
      <c r="G8" s="1021"/>
      <c r="H8" s="1021"/>
      <c r="I8" s="1022"/>
      <c r="J8" s="1025" t="s">
        <v>148</v>
      </c>
      <c r="K8" s="1032">
        <v>1</v>
      </c>
      <c r="L8" s="1040">
        <v>46006</v>
      </c>
      <c r="M8" s="1041"/>
      <c r="N8" s="1044"/>
      <c r="O8" s="1045"/>
      <c r="P8" s="1046"/>
    </row>
    <row r="9" spans="1:16" ht="15.75" customHeight="1" thickBot="1">
      <c r="A9" s="1016"/>
      <c r="B9" s="1017"/>
      <c r="C9" s="1023"/>
      <c r="D9" s="1023"/>
      <c r="E9" s="1023"/>
      <c r="F9" s="1023"/>
      <c r="G9" s="1023"/>
      <c r="H9" s="1023"/>
      <c r="I9" s="1024"/>
      <c r="J9" s="1031"/>
      <c r="K9" s="1033"/>
      <c r="L9" s="1042"/>
      <c r="M9" s="1043"/>
      <c r="N9" s="1047"/>
      <c r="O9" s="1048"/>
      <c r="P9" s="1049"/>
    </row>
    <row r="10" spans="1:16" ht="15" customHeight="1">
      <c r="A10" s="978" t="s">
        <v>149</v>
      </c>
      <c r="B10" s="981" t="s">
        <v>118</v>
      </c>
      <c r="C10" s="981"/>
      <c r="D10" s="981"/>
      <c r="E10" s="981"/>
      <c r="F10" s="982"/>
      <c r="G10" s="987" t="s">
        <v>150</v>
      </c>
      <c r="H10" s="989" t="s">
        <v>151</v>
      </c>
      <c r="I10" s="991" t="s">
        <v>152</v>
      </c>
      <c r="J10" s="992"/>
      <c r="K10" s="989" t="s">
        <v>153</v>
      </c>
      <c r="L10" s="52" t="s">
        <v>154</v>
      </c>
      <c r="M10" s="1002" t="s">
        <v>155</v>
      </c>
      <c r="N10" s="1003"/>
      <c r="O10" s="1003"/>
      <c r="P10" s="1004"/>
    </row>
    <row r="11" spans="1:16" ht="15" customHeight="1">
      <c r="A11" s="979"/>
      <c r="B11" s="983"/>
      <c r="C11" s="983"/>
      <c r="D11" s="983"/>
      <c r="E11" s="983"/>
      <c r="F11" s="984"/>
      <c r="G11" s="987"/>
      <c r="H11" s="989"/>
      <c r="I11" s="993"/>
      <c r="J11" s="992"/>
      <c r="K11" s="996"/>
      <c r="L11" s="53"/>
      <c r="M11" s="1005"/>
      <c r="N11" s="1006"/>
      <c r="O11" s="1006"/>
      <c r="P11" s="1007"/>
    </row>
    <row r="12" spans="1:16" ht="15" customHeight="1">
      <c r="A12" s="980"/>
      <c r="B12" s="985"/>
      <c r="C12" s="985"/>
      <c r="D12" s="985"/>
      <c r="E12" s="985"/>
      <c r="F12" s="986"/>
      <c r="G12" s="988"/>
      <c r="H12" s="990"/>
      <c r="I12" s="994"/>
      <c r="J12" s="995"/>
      <c r="K12" s="997"/>
      <c r="L12" s="52"/>
      <c r="M12" s="1005"/>
      <c r="N12" s="1006"/>
      <c r="O12" s="1006"/>
      <c r="P12" s="1007"/>
    </row>
    <row r="13" spans="1:16" ht="15" customHeight="1">
      <c r="A13" s="54"/>
      <c r="B13" s="1006"/>
      <c r="C13" s="1006"/>
      <c r="D13" s="1006"/>
      <c r="E13" s="1006"/>
      <c r="F13" s="1034"/>
      <c r="G13" s="379"/>
      <c r="H13" s="52"/>
      <c r="I13" s="1035"/>
      <c r="J13" s="1036"/>
      <c r="K13" s="52"/>
      <c r="L13" s="52"/>
      <c r="M13" s="55" t="s">
        <v>156</v>
      </c>
      <c r="N13" s="1037"/>
      <c r="O13" s="1009"/>
      <c r="P13" s="1010"/>
    </row>
    <row r="14" spans="1:16" ht="15" customHeight="1">
      <c r="A14" s="56">
        <f>'Pricing Schedule'!A97</f>
        <v>1200</v>
      </c>
      <c r="B14" s="1006" t="str">
        <f>'Pricing Schedule'!B97</f>
        <v>ESTABLISHMENT FOR FACILITY MANAGEMENT SERVICES PROVISION AND TIME RELATED OBLIGATIONS</v>
      </c>
      <c r="C14" s="1006"/>
      <c r="D14" s="1006"/>
      <c r="E14" s="1006"/>
      <c r="F14" s="1034"/>
      <c r="G14" s="380">
        <f>'Pricing Schedule'!F97</f>
        <v>0</v>
      </c>
      <c r="H14" s="57">
        <f>'Pg 2 Sum Scheduled'!I9</f>
        <v>0</v>
      </c>
      <c r="I14" s="1050">
        <f>'Pg 2 Sum Scheduled'!G9</f>
        <v>0</v>
      </c>
      <c r="J14" s="1051"/>
      <c r="K14" s="58">
        <f>+H14-I14</f>
        <v>0</v>
      </c>
      <c r="L14" s="52">
        <f>'1200'!$N$1</f>
        <v>1200</v>
      </c>
      <c r="M14" s="55"/>
      <c r="N14" s="1009"/>
      <c r="O14" s="1009"/>
      <c r="P14" s="59"/>
    </row>
    <row r="15" spans="1:16" ht="15" customHeight="1">
      <c r="A15" s="56"/>
      <c r="B15" s="1006"/>
      <c r="C15" s="1006"/>
      <c r="D15" s="1006"/>
      <c r="E15" s="1006"/>
      <c r="F15" s="1034"/>
      <c r="G15" s="380"/>
      <c r="H15" s="60"/>
      <c r="I15" s="1050"/>
      <c r="J15" s="1051"/>
      <c r="K15" s="61"/>
      <c r="L15" s="52"/>
      <c r="M15" s="55" t="s">
        <v>157</v>
      </c>
      <c r="N15" s="1055"/>
      <c r="O15" s="1009"/>
      <c r="P15" s="1010"/>
    </row>
    <row r="16" spans="1:16" ht="15" customHeight="1">
      <c r="A16" s="56">
        <f>'Pricing Schedule'!A98</f>
        <v>1300</v>
      </c>
      <c r="B16" s="1006" t="str">
        <f>'Pricing Schedule'!B98</f>
        <v>TRANSITIONAL ARRANGEMENTS</v>
      </c>
      <c r="C16" s="1006"/>
      <c r="D16" s="1006"/>
      <c r="E16" s="1006"/>
      <c r="F16" s="1034"/>
      <c r="G16" s="380">
        <f>'Pricing Schedule'!F98</f>
        <v>70000</v>
      </c>
      <c r="H16" s="57">
        <f>'Pg 2 Sum Scheduled'!I10</f>
        <v>0</v>
      </c>
      <c r="I16" s="1050">
        <f>'Pg 2 Sum Scheduled'!G10</f>
        <v>0</v>
      </c>
      <c r="J16" s="1051"/>
      <c r="K16" s="58">
        <f>H16-I16</f>
        <v>0</v>
      </c>
      <c r="L16" s="52">
        <f>'1300'!$N$1</f>
        <v>1300</v>
      </c>
      <c r="M16" s="1052"/>
      <c r="N16" s="1009"/>
      <c r="O16" s="1009"/>
      <c r="P16" s="59"/>
    </row>
    <row r="17" spans="1:20" ht="15" customHeight="1" thickBot="1">
      <c r="A17" s="56"/>
      <c r="B17" s="1006"/>
      <c r="C17" s="1006"/>
      <c r="D17" s="1006"/>
      <c r="E17" s="1006"/>
      <c r="F17" s="1034"/>
      <c r="G17" s="380"/>
      <c r="H17" s="57"/>
      <c r="I17" s="1050"/>
      <c r="J17" s="1051"/>
      <c r="K17" s="62"/>
      <c r="L17" s="52"/>
      <c r="M17" s="1053"/>
      <c r="N17" s="1054"/>
      <c r="O17" s="1054"/>
      <c r="P17" s="63"/>
    </row>
    <row r="18" spans="1:20" ht="15" customHeight="1">
      <c r="A18" s="56">
        <f>'Pricing Schedule'!A99</f>
        <v>1500</v>
      </c>
      <c r="B18" s="1006" t="str">
        <f>'Pricing Schedule'!B99</f>
        <v>REIMBURSABLE COSTS</v>
      </c>
      <c r="C18" s="1006"/>
      <c r="D18" s="1006"/>
      <c r="E18" s="1006"/>
      <c r="F18" s="1034"/>
      <c r="G18" s="380">
        <f>'Pricing Schedule'!F99</f>
        <v>75000</v>
      </c>
      <c r="H18" s="57">
        <f>'Pg 2 Sum Scheduled'!I11</f>
        <v>0</v>
      </c>
      <c r="I18" s="1050">
        <f>'Pg 2 Sum Scheduled'!G11</f>
        <v>0</v>
      </c>
      <c r="J18" s="1051"/>
      <c r="K18" s="58">
        <f>H18-I18</f>
        <v>0</v>
      </c>
      <c r="L18" s="52">
        <f>'1500'!$N$1</f>
        <v>1500</v>
      </c>
      <c r="M18" s="947" t="s">
        <v>158</v>
      </c>
      <c r="N18" s="1059"/>
      <c r="O18" s="1059"/>
      <c r="P18" s="1060"/>
    </row>
    <row r="19" spans="1:20" ht="15" customHeight="1">
      <c r="A19" s="56"/>
      <c r="B19" s="1006"/>
      <c r="C19" s="1006"/>
      <c r="D19" s="1006"/>
      <c r="E19" s="1006"/>
      <c r="F19" s="1034"/>
      <c r="G19" s="380"/>
      <c r="H19" s="57"/>
      <c r="I19" s="1050"/>
      <c r="J19" s="1051"/>
      <c r="K19" s="58"/>
      <c r="L19" s="52"/>
      <c r="M19" s="1061"/>
      <c r="N19" s="1062"/>
      <c r="O19" s="1062"/>
      <c r="P19" s="1063"/>
    </row>
    <row r="20" spans="1:20" ht="15" customHeight="1">
      <c r="A20" s="56">
        <f>'Pricing Schedule'!A100</f>
        <v>2100</v>
      </c>
      <c r="B20" s="1006" t="str">
        <f>'Pricing Schedule'!B100</f>
        <v>PROCUREMENT AND CONTRACT PARTICIPATION</v>
      </c>
      <c r="C20" s="1006"/>
      <c r="D20" s="1006"/>
      <c r="E20" s="1006"/>
      <c r="F20" s="1034"/>
      <c r="G20" s="380">
        <f>'Pricing Schedule'!F100</f>
        <v>64200000</v>
      </c>
      <c r="H20" s="57">
        <f>'Pg 2 Sum Scheduled'!I12</f>
        <v>0</v>
      </c>
      <c r="I20" s="1050">
        <f>'Pg 2 Sum Scheduled'!G12</f>
        <v>0</v>
      </c>
      <c r="J20" s="1051"/>
      <c r="K20" s="58">
        <f t="shared" ref="K20:K28" si="0">H20-I20</f>
        <v>0</v>
      </c>
      <c r="L20" s="52">
        <f>'2100'!$N$1</f>
        <v>2100</v>
      </c>
      <c r="M20" s="1064" t="s">
        <v>316</v>
      </c>
      <c r="N20" s="1065"/>
      <c r="O20" s="1065"/>
      <c r="P20" s="1066"/>
      <c r="T20" s="716"/>
    </row>
    <row r="21" spans="1:20" ht="15" customHeight="1">
      <c r="A21" s="56"/>
      <c r="B21" s="1006"/>
      <c r="C21" s="1006"/>
      <c r="D21" s="1006"/>
      <c r="E21" s="1006"/>
      <c r="F21" s="1034"/>
      <c r="G21" s="380"/>
      <c r="H21" s="57"/>
      <c r="I21" s="1050"/>
      <c r="J21" s="1051"/>
      <c r="K21" s="58"/>
      <c r="L21" s="52"/>
      <c r="M21" s="1067"/>
      <c r="N21" s="1068"/>
      <c r="O21" s="1068"/>
      <c r="P21" s="1069"/>
    </row>
    <row r="22" spans="1:20" ht="15" customHeight="1">
      <c r="A22" s="56">
        <f>'Pricing Schedule'!A101</f>
        <v>2200</v>
      </c>
      <c r="B22" s="1006" t="str">
        <f>'Pricing Schedule'!B101</f>
        <v>UNSPECIFIED MINOR WORKS</v>
      </c>
      <c r="C22" s="1006"/>
      <c r="D22" s="1006"/>
      <c r="E22" s="1006"/>
      <c r="F22" s="1034"/>
      <c r="G22" s="380">
        <f>'Pricing Schedule'!F101</f>
        <v>5500000</v>
      </c>
      <c r="H22" s="57">
        <f>'Pg 2 Sum Scheduled'!I13</f>
        <v>0</v>
      </c>
      <c r="I22" s="1050">
        <f>'Pg 2 Sum Scheduled'!G13</f>
        <v>0</v>
      </c>
      <c r="J22" s="1051"/>
      <c r="K22" s="58">
        <f t="shared" si="0"/>
        <v>0</v>
      </c>
      <c r="L22" s="52">
        <f>'2200'!$N$1</f>
        <v>2200</v>
      </c>
      <c r="M22" s="1056"/>
      <c r="N22" s="1057"/>
      <c r="O22" s="1057"/>
      <c r="P22" s="1058"/>
    </row>
    <row r="23" spans="1:20" ht="15" customHeight="1">
      <c r="A23" s="56"/>
      <c r="B23" s="1006"/>
      <c r="C23" s="1006"/>
      <c r="D23" s="1006"/>
      <c r="E23" s="1006"/>
      <c r="F23" s="1034"/>
      <c r="G23" s="380"/>
      <c r="H23" s="57"/>
      <c r="I23" s="1050"/>
      <c r="J23" s="1051"/>
      <c r="K23" s="58"/>
      <c r="L23" s="52"/>
      <c r="M23" s="1005" t="s">
        <v>159</v>
      </c>
      <c r="N23" s="1006"/>
      <c r="O23" s="1006" t="s">
        <v>159</v>
      </c>
      <c r="P23" s="1007"/>
      <c r="T23" s="716"/>
    </row>
    <row r="24" spans="1:20" ht="15" customHeight="1">
      <c r="A24" s="56">
        <f>'Pricing Schedule'!A102</f>
        <v>2300</v>
      </c>
      <c r="B24" s="1006" t="str">
        <f>'Pricing Schedule'!B102</f>
        <v>OFFICE FACILITY MAINTENANCE</v>
      </c>
      <c r="C24" s="1006"/>
      <c r="D24" s="1006"/>
      <c r="E24" s="1006"/>
      <c r="F24" s="1034"/>
      <c r="G24" s="380">
        <f>'Pricing Schedule'!F102</f>
        <v>5150000</v>
      </c>
      <c r="H24" s="57">
        <f>'Pg 2 Sum Scheduled'!I14</f>
        <v>0</v>
      </c>
      <c r="I24" s="1050">
        <f>'Pg 2 Sum Scheduled'!G14</f>
        <v>0</v>
      </c>
      <c r="J24" s="1051"/>
      <c r="K24" s="58">
        <f t="shared" si="0"/>
        <v>0</v>
      </c>
      <c r="L24" s="52">
        <f>'2300'!$N$1</f>
        <v>2300</v>
      </c>
      <c r="M24" s="1070" t="s">
        <v>160</v>
      </c>
      <c r="N24" s="1071"/>
      <c r="O24" s="1071" t="s">
        <v>161</v>
      </c>
      <c r="P24" s="1072"/>
    </row>
    <row r="25" spans="1:20" ht="15" customHeight="1">
      <c r="A25" s="56"/>
      <c r="B25" s="1006"/>
      <c r="C25" s="1006"/>
      <c r="D25" s="1006"/>
      <c r="E25" s="1006"/>
      <c r="F25" s="1034"/>
      <c r="G25" s="380"/>
      <c r="H25" s="57"/>
      <c r="I25" s="1050"/>
      <c r="J25" s="1051"/>
      <c r="K25" s="58"/>
      <c r="L25" s="52"/>
      <c r="M25" s="1073" t="s">
        <v>315</v>
      </c>
      <c r="N25" s="1074"/>
      <c r="O25" s="1074"/>
      <c r="P25" s="1075"/>
    </row>
    <row r="26" spans="1:20" ht="15" customHeight="1">
      <c r="A26" s="56">
        <f>'Pricing Schedule'!A103</f>
        <v>3100</v>
      </c>
      <c r="B26" s="1006" t="str">
        <f>'Pricing Schedule'!B103</f>
        <v>MEETING SERVICES</v>
      </c>
      <c r="C26" s="1006"/>
      <c r="D26" s="1006"/>
      <c r="E26" s="1006"/>
      <c r="F26" s="1034"/>
      <c r="G26" s="380">
        <f>'Pricing Schedule'!F103</f>
        <v>0</v>
      </c>
      <c r="H26" s="57">
        <f>'Pg 2 Sum Scheduled'!I15</f>
        <v>0</v>
      </c>
      <c r="I26" s="1050">
        <f>'Pg 2 Sum Scheduled'!G15</f>
        <v>0</v>
      </c>
      <c r="J26" s="1051"/>
      <c r="K26" s="58">
        <f t="shared" si="0"/>
        <v>0</v>
      </c>
      <c r="L26" s="52">
        <f>'3100'!$N$1</f>
        <v>3100</v>
      </c>
      <c r="M26" s="1076"/>
      <c r="N26" s="1077"/>
      <c r="O26" s="1077"/>
      <c r="P26" s="1078"/>
    </row>
    <row r="27" spans="1:20" ht="15" customHeight="1">
      <c r="A27" s="56"/>
      <c r="B27" s="1006"/>
      <c r="C27" s="1006"/>
      <c r="D27" s="1006"/>
      <c r="E27" s="1006"/>
      <c r="F27" s="1034"/>
      <c r="G27" s="380"/>
      <c r="H27" s="57"/>
      <c r="I27" s="1050"/>
      <c r="J27" s="1051"/>
      <c r="K27" s="58"/>
      <c r="L27" s="52"/>
      <c r="M27" s="1052"/>
      <c r="N27" s="1009"/>
      <c r="O27" s="1038"/>
      <c r="P27" s="1039"/>
    </row>
    <row r="28" spans="1:20" ht="15" customHeight="1">
      <c r="A28" s="56">
        <f>'Pricing Schedule'!A104</f>
        <v>3300</v>
      </c>
      <c r="B28" s="1006" t="str">
        <f>'Pricing Schedule'!B104</f>
        <v>MONTHLY REPORTING REQUIREMENTS</v>
      </c>
      <c r="C28" s="1006"/>
      <c r="D28" s="1006"/>
      <c r="E28" s="1006"/>
      <c r="F28" s="1034"/>
      <c r="G28" s="380">
        <f>'Pricing Schedule'!F104</f>
        <v>0</v>
      </c>
      <c r="H28" s="57">
        <f>'Pg 2 Sum Scheduled'!I16</f>
        <v>0</v>
      </c>
      <c r="I28" s="1050">
        <f>'Pg 2 Sum Scheduled'!G16</f>
        <v>0</v>
      </c>
      <c r="J28" s="1051"/>
      <c r="K28" s="58">
        <f t="shared" si="0"/>
        <v>0</v>
      </c>
      <c r="L28" s="52">
        <f>'3300'!$N$1</f>
        <v>3300</v>
      </c>
      <c r="M28" s="1005" t="s">
        <v>159</v>
      </c>
      <c r="N28" s="1006"/>
      <c r="O28" s="1006" t="s">
        <v>159</v>
      </c>
      <c r="P28" s="1007"/>
    </row>
    <row r="29" spans="1:20" ht="15" customHeight="1">
      <c r="A29" s="56"/>
      <c r="B29" s="1084"/>
      <c r="C29" s="1085"/>
      <c r="D29" s="1085"/>
      <c r="E29" s="1085"/>
      <c r="F29" s="1086"/>
      <c r="G29" s="380"/>
      <c r="H29" s="57"/>
      <c r="I29" s="1050"/>
      <c r="J29" s="1051"/>
      <c r="K29" s="58"/>
      <c r="L29" s="52"/>
      <c r="M29" s="1087" t="s">
        <v>317</v>
      </c>
      <c r="N29" s="1088"/>
      <c r="O29" s="1071" t="s">
        <v>161</v>
      </c>
      <c r="P29" s="1072"/>
    </row>
    <row r="30" spans="1:20" ht="15" customHeight="1">
      <c r="A30" s="370"/>
      <c r="B30" s="1006"/>
      <c r="C30" s="1006"/>
      <c r="D30" s="1006"/>
      <c r="E30" s="1006"/>
      <c r="F30" s="1034"/>
      <c r="G30" s="380"/>
      <c r="H30" s="57"/>
      <c r="I30" s="1050"/>
      <c r="J30" s="1051"/>
      <c r="K30" s="58"/>
      <c r="L30" s="52"/>
      <c r="M30" s="64"/>
      <c r="N30" s="65"/>
      <c r="O30" s="65"/>
      <c r="P30" s="66"/>
    </row>
    <row r="31" spans="1:20" ht="15" customHeight="1">
      <c r="A31" s="56"/>
      <c r="B31" s="1084"/>
      <c r="C31" s="1085"/>
      <c r="D31" s="1085"/>
      <c r="E31" s="1085"/>
      <c r="F31" s="1086"/>
      <c r="G31" s="380"/>
      <c r="H31" s="57"/>
      <c r="I31" s="1050"/>
      <c r="J31" s="1051"/>
      <c r="K31" s="62"/>
      <c r="L31" s="52"/>
      <c r="M31" s="515" t="s">
        <v>159</v>
      </c>
      <c r="N31" s="379"/>
      <c r="O31" s="379" t="s">
        <v>165</v>
      </c>
      <c r="P31" s="518"/>
    </row>
    <row r="32" spans="1:20" ht="15" customHeight="1">
      <c r="A32" s="56" t="s">
        <v>162</v>
      </c>
      <c r="B32" s="1084" t="s">
        <v>163</v>
      </c>
      <c r="C32" s="1085"/>
      <c r="D32" s="1085"/>
      <c r="E32" s="1085"/>
      <c r="F32" s="1086"/>
      <c r="G32" s="380"/>
      <c r="H32" s="57">
        <f>'Pg 1 Payment'!L17</f>
        <v>0</v>
      </c>
      <c r="I32" s="1089">
        <f>DATA!O52</f>
        <v>0</v>
      </c>
      <c r="J32" s="1090"/>
      <c r="K32" s="58">
        <f t="shared" ref="K32:K34" si="1">H32-I32</f>
        <v>0</v>
      </c>
      <c r="L32" s="52" t="s">
        <v>164</v>
      </c>
      <c r="M32" s="67" t="s">
        <v>166</v>
      </c>
      <c r="N32" s="68"/>
      <c r="O32" s="68" t="s">
        <v>161</v>
      </c>
      <c r="P32" s="69"/>
    </row>
    <row r="33" spans="1:16" ht="15" customHeight="1">
      <c r="A33" s="56"/>
      <c r="B33" s="1084"/>
      <c r="C33" s="1085"/>
      <c r="D33" s="1085"/>
      <c r="E33" s="1085"/>
      <c r="F33" s="1086"/>
      <c r="G33" s="380"/>
      <c r="H33" s="57"/>
      <c r="I33" s="1050"/>
      <c r="J33" s="1051"/>
      <c r="K33" s="62"/>
      <c r="L33" s="52"/>
      <c r="M33" s="1073" t="s">
        <v>167</v>
      </c>
      <c r="N33" s="1079"/>
      <c r="O33" s="1079"/>
      <c r="P33" s="1080"/>
    </row>
    <row r="34" spans="1:16" ht="15" customHeight="1">
      <c r="A34" s="56" t="s">
        <v>404</v>
      </c>
      <c r="B34" s="1084" t="s">
        <v>404</v>
      </c>
      <c r="C34" s="1085"/>
      <c r="D34" s="1085"/>
      <c r="E34" s="1085"/>
      <c r="F34" s="1086"/>
      <c r="G34" s="380"/>
      <c r="H34" s="57">
        <v>0</v>
      </c>
      <c r="I34" s="1089">
        <f>DATA!BQ52</f>
        <v>0</v>
      </c>
      <c r="J34" s="1090"/>
      <c r="K34" s="58">
        <f t="shared" si="1"/>
        <v>0</v>
      </c>
      <c r="L34" s="53" t="s">
        <v>405</v>
      </c>
      <c r="M34" s="1081"/>
      <c r="N34" s="1082"/>
      <c r="O34" s="1082"/>
      <c r="P34" s="1083"/>
    </row>
    <row r="35" spans="1:16" ht="15" customHeight="1">
      <c r="A35" s="56"/>
      <c r="B35" s="1084"/>
      <c r="C35" s="1085"/>
      <c r="D35" s="1085"/>
      <c r="E35" s="1085"/>
      <c r="F35" s="1086"/>
      <c r="G35" s="380"/>
      <c r="H35" s="57"/>
      <c r="I35" s="1050"/>
      <c r="J35" s="1051"/>
      <c r="K35" s="58"/>
      <c r="L35" s="53"/>
      <c r="M35" s="516"/>
      <c r="N35" s="517"/>
      <c r="O35" s="517"/>
      <c r="P35" s="520"/>
    </row>
    <row r="36" spans="1:16" ht="15" customHeight="1">
      <c r="A36" s="56" t="s">
        <v>406</v>
      </c>
      <c r="B36" s="1084" t="s">
        <v>407</v>
      </c>
      <c r="C36" s="1085"/>
      <c r="D36" s="1085"/>
      <c r="E36" s="1085"/>
      <c r="F36" s="1086"/>
      <c r="G36" s="380"/>
      <c r="H36" s="57">
        <f>'Pg 1 Payment'!L23*-1</f>
        <v>0</v>
      </c>
      <c r="I36" s="1089">
        <f>DATA!BR52</f>
        <v>0</v>
      </c>
      <c r="J36" s="1090"/>
      <c r="K36" s="58">
        <f>(H36-I36)</f>
        <v>0</v>
      </c>
      <c r="L36" s="53" t="s">
        <v>408</v>
      </c>
      <c r="M36" s="516"/>
      <c r="N36" s="517"/>
      <c r="O36" s="517"/>
      <c r="P36" s="520"/>
    </row>
    <row r="37" spans="1:16" ht="15" customHeight="1">
      <c r="A37" s="56"/>
      <c r="B37" s="1084"/>
      <c r="C37" s="1085"/>
      <c r="D37" s="1085"/>
      <c r="E37" s="1085"/>
      <c r="F37" s="1086"/>
      <c r="G37" s="380"/>
      <c r="H37" s="60"/>
      <c r="I37" s="1050"/>
      <c r="J37" s="1051"/>
      <c r="K37" s="62"/>
      <c r="L37" s="53"/>
      <c r="M37" s="515" t="s">
        <v>159</v>
      </c>
      <c r="N37" s="379"/>
      <c r="O37" s="379" t="s">
        <v>165</v>
      </c>
      <c r="P37" s="518"/>
    </row>
    <row r="38" spans="1:16" ht="15" customHeight="1">
      <c r="A38" s="519" t="s">
        <v>409</v>
      </c>
      <c r="B38" s="1006" t="s">
        <v>495</v>
      </c>
      <c r="C38" s="1085"/>
      <c r="D38" s="1085"/>
      <c r="E38" s="1085"/>
      <c r="F38" s="1086"/>
      <c r="G38" s="381"/>
      <c r="H38" s="57">
        <f>'Pg 1 Payment'!L20*-1</f>
        <v>0</v>
      </c>
      <c r="I38" s="1091">
        <f>DATA!P56</f>
        <v>0</v>
      </c>
      <c r="J38" s="1092"/>
      <c r="K38" s="58">
        <f>(H38-I38)</f>
        <v>0</v>
      </c>
      <c r="L38" s="53" t="s">
        <v>405</v>
      </c>
      <c r="M38" s="67" t="s">
        <v>166</v>
      </c>
      <c r="N38" s="68"/>
      <c r="O38" s="68" t="s">
        <v>161</v>
      </c>
      <c r="P38" s="69"/>
    </row>
    <row r="39" spans="1:16" ht="15" customHeight="1">
      <c r="A39" s="70"/>
      <c r="B39" s="1103"/>
      <c r="C39" s="1103"/>
      <c r="D39" s="1103"/>
      <c r="E39" s="1103"/>
      <c r="F39" s="1104"/>
      <c r="G39" s="382"/>
      <c r="H39" s="71"/>
      <c r="I39" s="1105"/>
      <c r="J39" s="1106"/>
      <c r="K39" s="72"/>
      <c r="L39" s="53"/>
      <c r="M39" s="73"/>
      <c r="N39" s="74"/>
      <c r="O39" s="74"/>
      <c r="P39" s="75"/>
    </row>
    <row r="40" spans="1:16" ht="15" customHeight="1">
      <c r="A40" s="1095" t="s">
        <v>168</v>
      </c>
      <c r="B40" s="1085"/>
      <c r="C40" s="1085"/>
      <c r="D40" s="1085"/>
      <c r="E40" s="1085"/>
      <c r="F40" s="1086"/>
      <c r="G40" s="1097">
        <f>SUM(G14:G38)</f>
        <v>74995000</v>
      </c>
      <c r="H40" s="1093">
        <f>SUM(H13:H39)</f>
        <v>0</v>
      </c>
      <c r="I40" s="1099">
        <f>SUM(I13:J39)</f>
        <v>0</v>
      </c>
      <c r="J40" s="1100"/>
      <c r="K40" s="1093">
        <f>+H40-I40</f>
        <v>0</v>
      </c>
      <c r="L40" s="53"/>
      <c r="M40" s="55"/>
      <c r="P40" s="59"/>
    </row>
    <row r="41" spans="1:16" ht="15" customHeight="1">
      <c r="A41" s="1096"/>
      <c r="B41" s="1085"/>
      <c r="C41" s="1085"/>
      <c r="D41" s="1085"/>
      <c r="E41" s="1085"/>
      <c r="F41" s="1086"/>
      <c r="G41" s="1098"/>
      <c r="H41" s="1094"/>
      <c r="I41" s="1101"/>
      <c r="J41" s="1102"/>
      <c r="K41" s="1094"/>
      <c r="L41" s="53"/>
      <c r="M41" s="515" t="s">
        <v>159</v>
      </c>
      <c r="N41" s="379"/>
      <c r="O41" s="379" t="s">
        <v>165</v>
      </c>
      <c r="P41" s="518"/>
    </row>
    <row r="42" spans="1:16" ht="15" customHeight="1" thickBot="1">
      <c r="A42" s="1095" t="str">
        <f>"VAT (" &amp; 'SERVICE PROVIDER INPUT DATA'!D9 &amp;"%)"</f>
        <v>VAT (15%)</v>
      </c>
      <c r="B42" s="1085"/>
      <c r="C42" s="1085"/>
      <c r="D42" s="1085"/>
      <c r="E42" s="1085"/>
      <c r="F42" s="1086"/>
      <c r="G42" s="1097">
        <f>+G40*'SERVICE PROVIDER INPUT DATA'!D9/100</f>
        <v>11249250</v>
      </c>
      <c r="H42" s="1093">
        <f>'SERVICE PROVIDER INPUT DATA'!D9/100*H40</f>
        <v>0</v>
      </c>
      <c r="I42" s="1099">
        <f>'SERVICE PROVIDER INPUT DATA'!D9/100*I40</f>
        <v>0</v>
      </c>
      <c r="J42" s="1100"/>
      <c r="K42" s="1093">
        <f>'SERVICE PROVIDER INPUT DATA'!D9/100*K40</f>
        <v>0</v>
      </c>
      <c r="L42" s="53"/>
      <c r="M42" s="372" t="s">
        <v>593</v>
      </c>
      <c r="N42" s="373"/>
      <c r="O42" s="373" t="s">
        <v>161</v>
      </c>
      <c r="P42" s="374"/>
    </row>
    <row r="43" spans="1:16" ht="15" customHeight="1" thickBot="1">
      <c r="A43" s="1096"/>
      <c r="B43" s="1085"/>
      <c r="C43" s="1085"/>
      <c r="D43" s="1085"/>
      <c r="E43" s="1085"/>
      <c r="F43" s="1086"/>
      <c r="G43" s="1098"/>
      <c r="H43" s="1094"/>
      <c r="I43" s="1101"/>
      <c r="J43" s="1102"/>
      <c r="K43" s="1094"/>
      <c r="L43" s="53"/>
    </row>
    <row r="44" spans="1:16" ht="15" customHeight="1">
      <c r="A44" s="1095" t="s">
        <v>169</v>
      </c>
      <c r="B44" s="1085"/>
      <c r="C44" s="1085"/>
      <c r="D44" s="1085"/>
      <c r="E44" s="1085"/>
      <c r="F44" s="1086"/>
      <c r="G44" s="1097">
        <f>+G42+G40</f>
        <v>86244250</v>
      </c>
      <c r="H44" s="1093">
        <f>H40+H42</f>
        <v>0</v>
      </c>
      <c r="I44" s="1099">
        <f>I40+I42</f>
        <v>0</v>
      </c>
      <c r="J44" s="1100"/>
      <c r="K44" s="1093">
        <f>ROUND((K40+K42),2)</f>
        <v>0</v>
      </c>
      <c r="L44" s="53"/>
      <c r="M44" s="77"/>
      <c r="N44" s="78"/>
      <c r="O44" s="78"/>
      <c r="P44" s="79"/>
    </row>
    <row r="45" spans="1:16" ht="15" customHeight="1" thickBot="1">
      <c r="A45" s="1096"/>
      <c r="B45" s="1085"/>
      <c r="C45" s="1085"/>
      <c r="D45" s="1085"/>
      <c r="E45" s="1085"/>
      <c r="F45" s="1086"/>
      <c r="G45" s="1098"/>
      <c r="H45" s="1094"/>
      <c r="I45" s="1101"/>
      <c r="J45" s="1102"/>
      <c r="K45" s="1112"/>
      <c r="L45" s="53"/>
      <c r="M45" s="55"/>
      <c r="P45" s="59"/>
    </row>
    <row r="46" spans="1:16" ht="15" customHeight="1" thickTop="1">
      <c r="A46" s="1095" t="s">
        <v>170</v>
      </c>
      <c r="B46" s="1085"/>
      <c r="C46" s="1085"/>
      <c r="D46" s="1085"/>
      <c r="E46" s="1085"/>
      <c r="F46" s="1085"/>
      <c r="G46" s="1085"/>
      <c r="H46" s="1085"/>
      <c r="I46" s="1085"/>
      <c r="J46" s="1113"/>
      <c r="K46" s="1114">
        <f>K44</f>
        <v>0</v>
      </c>
      <c r="L46" s="76"/>
      <c r="M46" s="55"/>
      <c r="P46" s="59"/>
    </row>
    <row r="47" spans="1:16" ht="15" customHeight="1" thickBot="1">
      <c r="A47" s="1096"/>
      <c r="B47" s="1085"/>
      <c r="C47" s="1085"/>
      <c r="D47" s="1085"/>
      <c r="E47" s="1085"/>
      <c r="F47" s="1085"/>
      <c r="G47" s="1085"/>
      <c r="H47" s="1085"/>
      <c r="I47" s="1085"/>
      <c r="J47" s="1113"/>
      <c r="K47" s="1115"/>
      <c r="M47" s="515"/>
      <c r="N47" s="379"/>
      <c r="O47" s="379"/>
      <c r="P47" s="518"/>
    </row>
    <row r="48" spans="1:16" ht="15" customHeight="1" thickTop="1">
      <c r="A48" s="1095" t="s">
        <v>171</v>
      </c>
      <c r="B48" s="1085"/>
      <c r="C48" s="1085"/>
      <c r="D48" s="1085"/>
      <c r="E48" s="1085"/>
      <c r="F48" s="1085"/>
      <c r="G48" s="1085"/>
      <c r="H48" s="1085"/>
      <c r="I48" s="1085"/>
      <c r="J48" s="1086"/>
      <c r="K48" s="1110" t="e">
        <f>VLOOKUP(DATA!C301,'F1 Forecast Serivce Provider'!$A$20:$F$123,5,FALSE)</f>
        <v>#N/A</v>
      </c>
      <c r="M48" s="1005" t="s">
        <v>172</v>
      </c>
      <c r="N48" s="1006"/>
      <c r="O48" s="379" t="s">
        <v>165</v>
      </c>
      <c r="P48" s="59"/>
    </row>
    <row r="49" spans="1:16" ht="15" customHeight="1" thickBot="1">
      <c r="A49" s="1107"/>
      <c r="B49" s="1108"/>
      <c r="C49" s="1108"/>
      <c r="D49" s="1108"/>
      <c r="E49" s="1108"/>
      <c r="F49" s="1108"/>
      <c r="G49" s="1108"/>
      <c r="H49" s="1108"/>
      <c r="I49" s="1108"/>
      <c r="J49" s="1109"/>
      <c r="K49" s="1111"/>
      <c r="L49" s="80"/>
      <c r="M49" s="371" t="s">
        <v>493</v>
      </c>
      <c r="N49" s="81"/>
      <c r="O49" s="81" t="s">
        <v>173</v>
      </c>
      <c r="P49" s="82"/>
    </row>
    <row r="52" spans="1:16" ht="15" customHeight="1">
      <c r="K52" s="718"/>
    </row>
    <row r="53" spans="1:16" ht="15" customHeight="1">
      <c r="K53" s="719"/>
    </row>
    <row r="54" spans="1:16" ht="15" customHeight="1">
      <c r="K54" s="719"/>
    </row>
  </sheetData>
  <mergeCells count="128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A2:B2"/>
    <mergeCell ref="C2:D2"/>
    <mergeCell ref="L3:P4"/>
  </mergeCells>
  <printOptions horizontalCentered="1"/>
  <pageMargins left="0.15748031496062992" right="0" top="0.35433070866141736" bottom="0.15748031496062992" header="0.19685039370078741" footer="0.27559055118110237"/>
  <pageSetup paperSize="9" scale="73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>
    <tabColor rgb="FF0070C0"/>
    <pageSetUpPr fitToPage="1"/>
  </sheetPr>
  <dimension ref="A1:N39"/>
  <sheetViews>
    <sheetView showGridLines="0" workbookViewId="0">
      <selection activeCell="M43" sqref="M43"/>
    </sheetView>
  </sheetViews>
  <sheetFormatPr defaultColWidth="12.5546875" defaultRowHeight="15"/>
  <cols>
    <col min="1" max="1" width="8.44140625" style="83" customWidth="1"/>
    <col min="2" max="2" width="20.109375" style="83" customWidth="1"/>
    <col min="3" max="3" width="20" style="83" customWidth="1"/>
    <col min="4" max="4" width="10.88671875" style="83" customWidth="1"/>
    <col min="5" max="5" width="3.6640625" style="83" customWidth="1"/>
    <col min="6" max="6" width="7.6640625" style="83" customWidth="1"/>
    <col min="7" max="11" width="16.88671875" style="83" customWidth="1"/>
    <col min="12" max="12" width="18.33203125" style="83" customWidth="1"/>
    <col min="13" max="13" width="4.6640625" style="83" customWidth="1"/>
    <col min="14" max="14" width="26.5546875" style="83" customWidth="1"/>
    <col min="15" max="256" width="12.5546875" style="83"/>
    <col min="257" max="257" width="8.44140625" style="83" customWidth="1"/>
    <col min="258" max="258" width="20.109375" style="83" customWidth="1"/>
    <col min="259" max="259" width="20" style="83" customWidth="1"/>
    <col min="260" max="260" width="10.88671875" style="83" customWidth="1"/>
    <col min="261" max="261" width="3.6640625" style="83" customWidth="1"/>
    <col min="262" max="262" width="7.6640625" style="83" customWidth="1"/>
    <col min="263" max="267" width="16.88671875" style="83" customWidth="1"/>
    <col min="268" max="268" width="18.33203125" style="83" customWidth="1"/>
    <col min="269" max="269" width="4.6640625" style="83" customWidth="1"/>
    <col min="270" max="270" width="26.5546875" style="83" customWidth="1"/>
    <col min="271" max="512" width="12.5546875" style="83"/>
    <col min="513" max="513" width="8.44140625" style="83" customWidth="1"/>
    <col min="514" max="514" width="20.109375" style="83" customWidth="1"/>
    <col min="515" max="515" width="20" style="83" customWidth="1"/>
    <col min="516" max="516" width="10.88671875" style="83" customWidth="1"/>
    <col min="517" max="517" width="3.6640625" style="83" customWidth="1"/>
    <col min="518" max="518" width="7.6640625" style="83" customWidth="1"/>
    <col min="519" max="523" width="16.88671875" style="83" customWidth="1"/>
    <col min="524" max="524" width="18.33203125" style="83" customWidth="1"/>
    <col min="525" max="525" width="4.6640625" style="83" customWidth="1"/>
    <col min="526" max="526" width="26.5546875" style="83" customWidth="1"/>
    <col min="527" max="768" width="12.5546875" style="83"/>
    <col min="769" max="769" width="8.44140625" style="83" customWidth="1"/>
    <col min="770" max="770" width="20.109375" style="83" customWidth="1"/>
    <col min="771" max="771" width="20" style="83" customWidth="1"/>
    <col min="772" max="772" width="10.88671875" style="83" customWidth="1"/>
    <col min="773" max="773" width="3.6640625" style="83" customWidth="1"/>
    <col min="774" max="774" width="7.6640625" style="83" customWidth="1"/>
    <col min="775" max="779" width="16.88671875" style="83" customWidth="1"/>
    <col min="780" max="780" width="18.33203125" style="83" customWidth="1"/>
    <col min="781" max="781" width="4.6640625" style="83" customWidth="1"/>
    <col min="782" max="782" width="26.5546875" style="83" customWidth="1"/>
    <col min="783" max="1024" width="12.5546875" style="83"/>
    <col min="1025" max="1025" width="8.44140625" style="83" customWidth="1"/>
    <col min="1026" max="1026" width="20.109375" style="83" customWidth="1"/>
    <col min="1027" max="1027" width="20" style="83" customWidth="1"/>
    <col min="1028" max="1028" width="10.88671875" style="83" customWidth="1"/>
    <col min="1029" max="1029" width="3.6640625" style="83" customWidth="1"/>
    <col min="1030" max="1030" width="7.6640625" style="83" customWidth="1"/>
    <col min="1031" max="1035" width="16.88671875" style="83" customWidth="1"/>
    <col min="1036" max="1036" width="18.33203125" style="83" customWidth="1"/>
    <col min="1037" max="1037" width="4.6640625" style="83" customWidth="1"/>
    <col min="1038" max="1038" width="26.5546875" style="83" customWidth="1"/>
    <col min="1039" max="1280" width="12.5546875" style="83"/>
    <col min="1281" max="1281" width="8.44140625" style="83" customWidth="1"/>
    <col min="1282" max="1282" width="20.109375" style="83" customWidth="1"/>
    <col min="1283" max="1283" width="20" style="83" customWidth="1"/>
    <col min="1284" max="1284" width="10.88671875" style="83" customWidth="1"/>
    <col min="1285" max="1285" width="3.6640625" style="83" customWidth="1"/>
    <col min="1286" max="1286" width="7.6640625" style="83" customWidth="1"/>
    <col min="1287" max="1291" width="16.88671875" style="83" customWidth="1"/>
    <col min="1292" max="1292" width="18.33203125" style="83" customWidth="1"/>
    <col min="1293" max="1293" width="4.6640625" style="83" customWidth="1"/>
    <col min="1294" max="1294" width="26.5546875" style="83" customWidth="1"/>
    <col min="1295" max="1536" width="12.5546875" style="83"/>
    <col min="1537" max="1537" width="8.44140625" style="83" customWidth="1"/>
    <col min="1538" max="1538" width="20.109375" style="83" customWidth="1"/>
    <col min="1539" max="1539" width="20" style="83" customWidth="1"/>
    <col min="1540" max="1540" width="10.88671875" style="83" customWidth="1"/>
    <col min="1541" max="1541" width="3.6640625" style="83" customWidth="1"/>
    <col min="1542" max="1542" width="7.6640625" style="83" customWidth="1"/>
    <col min="1543" max="1547" width="16.88671875" style="83" customWidth="1"/>
    <col min="1548" max="1548" width="18.33203125" style="83" customWidth="1"/>
    <col min="1549" max="1549" width="4.6640625" style="83" customWidth="1"/>
    <col min="1550" max="1550" width="26.5546875" style="83" customWidth="1"/>
    <col min="1551" max="1792" width="12.5546875" style="83"/>
    <col min="1793" max="1793" width="8.44140625" style="83" customWidth="1"/>
    <col min="1794" max="1794" width="20.109375" style="83" customWidth="1"/>
    <col min="1795" max="1795" width="20" style="83" customWidth="1"/>
    <col min="1796" max="1796" width="10.88671875" style="83" customWidth="1"/>
    <col min="1797" max="1797" width="3.6640625" style="83" customWidth="1"/>
    <col min="1798" max="1798" width="7.6640625" style="83" customWidth="1"/>
    <col min="1799" max="1803" width="16.88671875" style="83" customWidth="1"/>
    <col min="1804" max="1804" width="18.33203125" style="83" customWidth="1"/>
    <col min="1805" max="1805" width="4.6640625" style="83" customWidth="1"/>
    <col min="1806" max="1806" width="26.5546875" style="83" customWidth="1"/>
    <col min="1807" max="2048" width="12.5546875" style="83"/>
    <col min="2049" max="2049" width="8.44140625" style="83" customWidth="1"/>
    <col min="2050" max="2050" width="20.109375" style="83" customWidth="1"/>
    <col min="2051" max="2051" width="20" style="83" customWidth="1"/>
    <col min="2052" max="2052" width="10.88671875" style="83" customWidth="1"/>
    <col min="2053" max="2053" width="3.6640625" style="83" customWidth="1"/>
    <col min="2054" max="2054" width="7.6640625" style="83" customWidth="1"/>
    <col min="2055" max="2059" width="16.88671875" style="83" customWidth="1"/>
    <col min="2060" max="2060" width="18.33203125" style="83" customWidth="1"/>
    <col min="2061" max="2061" width="4.6640625" style="83" customWidth="1"/>
    <col min="2062" max="2062" width="26.5546875" style="83" customWidth="1"/>
    <col min="2063" max="2304" width="12.5546875" style="83"/>
    <col min="2305" max="2305" width="8.44140625" style="83" customWidth="1"/>
    <col min="2306" max="2306" width="20.109375" style="83" customWidth="1"/>
    <col min="2307" max="2307" width="20" style="83" customWidth="1"/>
    <col min="2308" max="2308" width="10.88671875" style="83" customWidth="1"/>
    <col min="2309" max="2309" width="3.6640625" style="83" customWidth="1"/>
    <col min="2310" max="2310" width="7.6640625" style="83" customWidth="1"/>
    <col min="2311" max="2315" width="16.88671875" style="83" customWidth="1"/>
    <col min="2316" max="2316" width="18.33203125" style="83" customWidth="1"/>
    <col min="2317" max="2317" width="4.6640625" style="83" customWidth="1"/>
    <col min="2318" max="2318" width="26.5546875" style="83" customWidth="1"/>
    <col min="2319" max="2560" width="12.5546875" style="83"/>
    <col min="2561" max="2561" width="8.44140625" style="83" customWidth="1"/>
    <col min="2562" max="2562" width="20.109375" style="83" customWidth="1"/>
    <col min="2563" max="2563" width="20" style="83" customWidth="1"/>
    <col min="2564" max="2564" width="10.88671875" style="83" customWidth="1"/>
    <col min="2565" max="2565" width="3.6640625" style="83" customWidth="1"/>
    <col min="2566" max="2566" width="7.6640625" style="83" customWidth="1"/>
    <col min="2567" max="2571" width="16.88671875" style="83" customWidth="1"/>
    <col min="2572" max="2572" width="18.33203125" style="83" customWidth="1"/>
    <col min="2573" max="2573" width="4.6640625" style="83" customWidth="1"/>
    <col min="2574" max="2574" width="26.5546875" style="83" customWidth="1"/>
    <col min="2575" max="2816" width="12.5546875" style="83"/>
    <col min="2817" max="2817" width="8.44140625" style="83" customWidth="1"/>
    <col min="2818" max="2818" width="20.109375" style="83" customWidth="1"/>
    <col min="2819" max="2819" width="20" style="83" customWidth="1"/>
    <col min="2820" max="2820" width="10.88671875" style="83" customWidth="1"/>
    <col min="2821" max="2821" width="3.6640625" style="83" customWidth="1"/>
    <col min="2822" max="2822" width="7.6640625" style="83" customWidth="1"/>
    <col min="2823" max="2827" width="16.88671875" style="83" customWidth="1"/>
    <col min="2828" max="2828" width="18.33203125" style="83" customWidth="1"/>
    <col min="2829" max="2829" width="4.6640625" style="83" customWidth="1"/>
    <col min="2830" max="2830" width="26.5546875" style="83" customWidth="1"/>
    <col min="2831" max="3072" width="12.5546875" style="83"/>
    <col min="3073" max="3073" width="8.44140625" style="83" customWidth="1"/>
    <col min="3074" max="3074" width="20.109375" style="83" customWidth="1"/>
    <col min="3075" max="3075" width="20" style="83" customWidth="1"/>
    <col min="3076" max="3076" width="10.88671875" style="83" customWidth="1"/>
    <col min="3077" max="3077" width="3.6640625" style="83" customWidth="1"/>
    <col min="3078" max="3078" width="7.6640625" style="83" customWidth="1"/>
    <col min="3079" max="3083" width="16.88671875" style="83" customWidth="1"/>
    <col min="3084" max="3084" width="18.33203125" style="83" customWidth="1"/>
    <col min="3085" max="3085" width="4.6640625" style="83" customWidth="1"/>
    <col min="3086" max="3086" width="26.5546875" style="83" customWidth="1"/>
    <col min="3087" max="3328" width="12.5546875" style="83"/>
    <col min="3329" max="3329" width="8.44140625" style="83" customWidth="1"/>
    <col min="3330" max="3330" width="20.109375" style="83" customWidth="1"/>
    <col min="3331" max="3331" width="20" style="83" customWidth="1"/>
    <col min="3332" max="3332" width="10.88671875" style="83" customWidth="1"/>
    <col min="3333" max="3333" width="3.6640625" style="83" customWidth="1"/>
    <col min="3334" max="3334" width="7.6640625" style="83" customWidth="1"/>
    <col min="3335" max="3339" width="16.88671875" style="83" customWidth="1"/>
    <col min="3340" max="3340" width="18.33203125" style="83" customWidth="1"/>
    <col min="3341" max="3341" width="4.6640625" style="83" customWidth="1"/>
    <col min="3342" max="3342" width="26.5546875" style="83" customWidth="1"/>
    <col min="3343" max="3584" width="12.5546875" style="83"/>
    <col min="3585" max="3585" width="8.44140625" style="83" customWidth="1"/>
    <col min="3586" max="3586" width="20.109375" style="83" customWidth="1"/>
    <col min="3587" max="3587" width="20" style="83" customWidth="1"/>
    <col min="3588" max="3588" width="10.88671875" style="83" customWidth="1"/>
    <col min="3589" max="3589" width="3.6640625" style="83" customWidth="1"/>
    <col min="3590" max="3590" width="7.6640625" style="83" customWidth="1"/>
    <col min="3591" max="3595" width="16.88671875" style="83" customWidth="1"/>
    <col min="3596" max="3596" width="18.33203125" style="83" customWidth="1"/>
    <col min="3597" max="3597" width="4.6640625" style="83" customWidth="1"/>
    <col min="3598" max="3598" width="26.5546875" style="83" customWidth="1"/>
    <col min="3599" max="3840" width="12.5546875" style="83"/>
    <col min="3841" max="3841" width="8.44140625" style="83" customWidth="1"/>
    <col min="3842" max="3842" width="20.109375" style="83" customWidth="1"/>
    <col min="3843" max="3843" width="20" style="83" customWidth="1"/>
    <col min="3844" max="3844" width="10.88671875" style="83" customWidth="1"/>
    <col min="3845" max="3845" width="3.6640625" style="83" customWidth="1"/>
    <col min="3846" max="3846" width="7.6640625" style="83" customWidth="1"/>
    <col min="3847" max="3851" width="16.88671875" style="83" customWidth="1"/>
    <col min="3852" max="3852" width="18.33203125" style="83" customWidth="1"/>
    <col min="3853" max="3853" width="4.6640625" style="83" customWidth="1"/>
    <col min="3854" max="3854" width="26.5546875" style="83" customWidth="1"/>
    <col min="3855" max="4096" width="12.5546875" style="83"/>
    <col min="4097" max="4097" width="8.44140625" style="83" customWidth="1"/>
    <col min="4098" max="4098" width="20.109375" style="83" customWidth="1"/>
    <col min="4099" max="4099" width="20" style="83" customWidth="1"/>
    <col min="4100" max="4100" width="10.88671875" style="83" customWidth="1"/>
    <col min="4101" max="4101" width="3.6640625" style="83" customWidth="1"/>
    <col min="4102" max="4102" width="7.6640625" style="83" customWidth="1"/>
    <col min="4103" max="4107" width="16.88671875" style="83" customWidth="1"/>
    <col min="4108" max="4108" width="18.33203125" style="83" customWidth="1"/>
    <col min="4109" max="4109" width="4.6640625" style="83" customWidth="1"/>
    <col min="4110" max="4110" width="26.5546875" style="83" customWidth="1"/>
    <col min="4111" max="4352" width="12.5546875" style="83"/>
    <col min="4353" max="4353" width="8.44140625" style="83" customWidth="1"/>
    <col min="4354" max="4354" width="20.109375" style="83" customWidth="1"/>
    <col min="4355" max="4355" width="20" style="83" customWidth="1"/>
    <col min="4356" max="4356" width="10.88671875" style="83" customWidth="1"/>
    <col min="4357" max="4357" width="3.6640625" style="83" customWidth="1"/>
    <col min="4358" max="4358" width="7.6640625" style="83" customWidth="1"/>
    <col min="4359" max="4363" width="16.88671875" style="83" customWidth="1"/>
    <col min="4364" max="4364" width="18.33203125" style="83" customWidth="1"/>
    <col min="4365" max="4365" width="4.6640625" style="83" customWidth="1"/>
    <col min="4366" max="4366" width="26.5546875" style="83" customWidth="1"/>
    <col min="4367" max="4608" width="12.5546875" style="83"/>
    <col min="4609" max="4609" width="8.44140625" style="83" customWidth="1"/>
    <col min="4610" max="4610" width="20.109375" style="83" customWidth="1"/>
    <col min="4611" max="4611" width="20" style="83" customWidth="1"/>
    <col min="4612" max="4612" width="10.88671875" style="83" customWidth="1"/>
    <col min="4613" max="4613" width="3.6640625" style="83" customWidth="1"/>
    <col min="4614" max="4614" width="7.6640625" style="83" customWidth="1"/>
    <col min="4615" max="4619" width="16.88671875" style="83" customWidth="1"/>
    <col min="4620" max="4620" width="18.33203125" style="83" customWidth="1"/>
    <col min="4621" max="4621" width="4.6640625" style="83" customWidth="1"/>
    <col min="4622" max="4622" width="26.5546875" style="83" customWidth="1"/>
    <col min="4623" max="4864" width="12.5546875" style="83"/>
    <col min="4865" max="4865" width="8.44140625" style="83" customWidth="1"/>
    <col min="4866" max="4866" width="20.109375" style="83" customWidth="1"/>
    <col min="4867" max="4867" width="20" style="83" customWidth="1"/>
    <col min="4868" max="4868" width="10.88671875" style="83" customWidth="1"/>
    <col min="4869" max="4869" width="3.6640625" style="83" customWidth="1"/>
    <col min="4870" max="4870" width="7.6640625" style="83" customWidth="1"/>
    <col min="4871" max="4875" width="16.88671875" style="83" customWidth="1"/>
    <col min="4876" max="4876" width="18.33203125" style="83" customWidth="1"/>
    <col min="4877" max="4877" width="4.6640625" style="83" customWidth="1"/>
    <col min="4878" max="4878" width="26.5546875" style="83" customWidth="1"/>
    <col min="4879" max="5120" width="12.5546875" style="83"/>
    <col min="5121" max="5121" width="8.44140625" style="83" customWidth="1"/>
    <col min="5122" max="5122" width="20.109375" style="83" customWidth="1"/>
    <col min="5123" max="5123" width="20" style="83" customWidth="1"/>
    <col min="5124" max="5124" width="10.88671875" style="83" customWidth="1"/>
    <col min="5125" max="5125" width="3.6640625" style="83" customWidth="1"/>
    <col min="5126" max="5126" width="7.6640625" style="83" customWidth="1"/>
    <col min="5127" max="5131" width="16.88671875" style="83" customWidth="1"/>
    <col min="5132" max="5132" width="18.33203125" style="83" customWidth="1"/>
    <col min="5133" max="5133" width="4.6640625" style="83" customWidth="1"/>
    <col min="5134" max="5134" width="26.5546875" style="83" customWidth="1"/>
    <col min="5135" max="5376" width="12.5546875" style="83"/>
    <col min="5377" max="5377" width="8.44140625" style="83" customWidth="1"/>
    <col min="5378" max="5378" width="20.109375" style="83" customWidth="1"/>
    <col min="5379" max="5379" width="20" style="83" customWidth="1"/>
    <col min="5380" max="5380" width="10.88671875" style="83" customWidth="1"/>
    <col min="5381" max="5381" width="3.6640625" style="83" customWidth="1"/>
    <col min="5382" max="5382" width="7.6640625" style="83" customWidth="1"/>
    <col min="5383" max="5387" width="16.88671875" style="83" customWidth="1"/>
    <col min="5388" max="5388" width="18.33203125" style="83" customWidth="1"/>
    <col min="5389" max="5389" width="4.6640625" style="83" customWidth="1"/>
    <col min="5390" max="5390" width="26.5546875" style="83" customWidth="1"/>
    <col min="5391" max="5632" width="12.5546875" style="83"/>
    <col min="5633" max="5633" width="8.44140625" style="83" customWidth="1"/>
    <col min="5634" max="5634" width="20.109375" style="83" customWidth="1"/>
    <col min="5635" max="5635" width="20" style="83" customWidth="1"/>
    <col min="5636" max="5636" width="10.88671875" style="83" customWidth="1"/>
    <col min="5637" max="5637" width="3.6640625" style="83" customWidth="1"/>
    <col min="5638" max="5638" width="7.6640625" style="83" customWidth="1"/>
    <col min="5639" max="5643" width="16.88671875" style="83" customWidth="1"/>
    <col min="5644" max="5644" width="18.33203125" style="83" customWidth="1"/>
    <col min="5645" max="5645" width="4.6640625" style="83" customWidth="1"/>
    <col min="5646" max="5646" width="26.5546875" style="83" customWidth="1"/>
    <col min="5647" max="5888" width="12.5546875" style="83"/>
    <col min="5889" max="5889" width="8.44140625" style="83" customWidth="1"/>
    <col min="5890" max="5890" width="20.109375" style="83" customWidth="1"/>
    <col min="5891" max="5891" width="20" style="83" customWidth="1"/>
    <col min="5892" max="5892" width="10.88671875" style="83" customWidth="1"/>
    <col min="5893" max="5893" width="3.6640625" style="83" customWidth="1"/>
    <col min="5894" max="5894" width="7.6640625" style="83" customWidth="1"/>
    <col min="5895" max="5899" width="16.88671875" style="83" customWidth="1"/>
    <col min="5900" max="5900" width="18.33203125" style="83" customWidth="1"/>
    <col min="5901" max="5901" width="4.6640625" style="83" customWidth="1"/>
    <col min="5902" max="5902" width="26.5546875" style="83" customWidth="1"/>
    <col min="5903" max="6144" width="12.5546875" style="83"/>
    <col min="6145" max="6145" width="8.44140625" style="83" customWidth="1"/>
    <col min="6146" max="6146" width="20.109375" style="83" customWidth="1"/>
    <col min="6147" max="6147" width="20" style="83" customWidth="1"/>
    <col min="6148" max="6148" width="10.88671875" style="83" customWidth="1"/>
    <col min="6149" max="6149" width="3.6640625" style="83" customWidth="1"/>
    <col min="6150" max="6150" width="7.6640625" style="83" customWidth="1"/>
    <col min="6151" max="6155" width="16.88671875" style="83" customWidth="1"/>
    <col min="6156" max="6156" width="18.33203125" style="83" customWidth="1"/>
    <col min="6157" max="6157" width="4.6640625" style="83" customWidth="1"/>
    <col min="6158" max="6158" width="26.5546875" style="83" customWidth="1"/>
    <col min="6159" max="6400" width="12.5546875" style="83"/>
    <col min="6401" max="6401" width="8.44140625" style="83" customWidth="1"/>
    <col min="6402" max="6402" width="20.109375" style="83" customWidth="1"/>
    <col min="6403" max="6403" width="20" style="83" customWidth="1"/>
    <col min="6404" max="6404" width="10.88671875" style="83" customWidth="1"/>
    <col min="6405" max="6405" width="3.6640625" style="83" customWidth="1"/>
    <col min="6406" max="6406" width="7.6640625" style="83" customWidth="1"/>
    <col min="6407" max="6411" width="16.88671875" style="83" customWidth="1"/>
    <col min="6412" max="6412" width="18.33203125" style="83" customWidth="1"/>
    <col min="6413" max="6413" width="4.6640625" style="83" customWidth="1"/>
    <col min="6414" max="6414" width="26.5546875" style="83" customWidth="1"/>
    <col min="6415" max="6656" width="12.5546875" style="83"/>
    <col min="6657" max="6657" width="8.44140625" style="83" customWidth="1"/>
    <col min="6658" max="6658" width="20.109375" style="83" customWidth="1"/>
    <col min="6659" max="6659" width="20" style="83" customWidth="1"/>
    <col min="6660" max="6660" width="10.88671875" style="83" customWidth="1"/>
    <col min="6661" max="6661" width="3.6640625" style="83" customWidth="1"/>
    <col min="6662" max="6662" width="7.6640625" style="83" customWidth="1"/>
    <col min="6663" max="6667" width="16.88671875" style="83" customWidth="1"/>
    <col min="6668" max="6668" width="18.33203125" style="83" customWidth="1"/>
    <col min="6669" max="6669" width="4.6640625" style="83" customWidth="1"/>
    <col min="6670" max="6670" width="26.5546875" style="83" customWidth="1"/>
    <col min="6671" max="6912" width="12.5546875" style="83"/>
    <col min="6913" max="6913" width="8.44140625" style="83" customWidth="1"/>
    <col min="6914" max="6914" width="20.109375" style="83" customWidth="1"/>
    <col min="6915" max="6915" width="20" style="83" customWidth="1"/>
    <col min="6916" max="6916" width="10.88671875" style="83" customWidth="1"/>
    <col min="6917" max="6917" width="3.6640625" style="83" customWidth="1"/>
    <col min="6918" max="6918" width="7.6640625" style="83" customWidth="1"/>
    <col min="6919" max="6923" width="16.88671875" style="83" customWidth="1"/>
    <col min="6924" max="6924" width="18.33203125" style="83" customWidth="1"/>
    <col min="6925" max="6925" width="4.6640625" style="83" customWidth="1"/>
    <col min="6926" max="6926" width="26.5546875" style="83" customWidth="1"/>
    <col min="6927" max="7168" width="12.5546875" style="83"/>
    <col min="7169" max="7169" width="8.44140625" style="83" customWidth="1"/>
    <col min="7170" max="7170" width="20.109375" style="83" customWidth="1"/>
    <col min="7171" max="7171" width="20" style="83" customWidth="1"/>
    <col min="7172" max="7172" width="10.88671875" style="83" customWidth="1"/>
    <col min="7173" max="7173" width="3.6640625" style="83" customWidth="1"/>
    <col min="7174" max="7174" width="7.6640625" style="83" customWidth="1"/>
    <col min="7175" max="7179" width="16.88671875" style="83" customWidth="1"/>
    <col min="7180" max="7180" width="18.33203125" style="83" customWidth="1"/>
    <col min="7181" max="7181" width="4.6640625" style="83" customWidth="1"/>
    <col min="7182" max="7182" width="26.5546875" style="83" customWidth="1"/>
    <col min="7183" max="7424" width="12.5546875" style="83"/>
    <col min="7425" max="7425" width="8.44140625" style="83" customWidth="1"/>
    <col min="7426" max="7426" width="20.109375" style="83" customWidth="1"/>
    <col min="7427" max="7427" width="20" style="83" customWidth="1"/>
    <col min="7428" max="7428" width="10.88671875" style="83" customWidth="1"/>
    <col min="7429" max="7429" width="3.6640625" style="83" customWidth="1"/>
    <col min="7430" max="7430" width="7.6640625" style="83" customWidth="1"/>
    <col min="7431" max="7435" width="16.88671875" style="83" customWidth="1"/>
    <col min="7436" max="7436" width="18.33203125" style="83" customWidth="1"/>
    <col min="7437" max="7437" width="4.6640625" style="83" customWidth="1"/>
    <col min="7438" max="7438" width="26.5546875" style="83" customWidth="1"/>
    <col min="7439" max="7680" width="12.5546875" style="83"/>
    <col min="7681" max="7681" width="8.44140625" style="83" customWidth="1"/>
    <col min="7682" max="7682" width="20.109375" style="83" customWidth="1"/>
    <col min="7683" max="7683" width="20" style="83" customWidth="1"/>
    <col min="7684" max="7684" width="10.88671875" style="83" customWidth="1"/>
    <col min="7685" max="7685" width="3.6640625" style="83" customWidth="1"/>
    <col min="7686" max="7686" width="7.6640625" style="83" customWidth="1"/>
    <col min="7687" max="7691" width="16.88671875" style="83" customWidth="1"/>
    <col min="7692" max="7692" width="18.33203125" style="83" customWidth="1"/>
    <col min="7693" max="7693" width="4.6640625" style="83" customWidth="1"/>
    <col min="7694" max="7694" width="26.5546875" style="83" customWidth="1"/>
    <col min="7695" max="7936" width="12.5546875" style="83"/>
    <col min="7937" max="7937" width="8.44140625" style="83" customWidth="1"/>
    <col min="7938" max="7938" width="20.109375" style="83" customWidth="1"/>
    <col min="7939" max="7939" width="20" style="83" customWidth="1"/>
    <col min="7940" max="7940" width="10.88671875" style="83" customWidth="1"/>
    <col min="7941" max="7941" width="3.6640625" style="83" customWidth="1"/>
    <col min="7942" max="7942" width="7.6640625" style="83" customWidth="1"/>
    <col min="7943" max="7947" width="16.88671875" style="83" customWidth="1"/>
    <col min="7948" max="7948" width="18.33203125" style="83" customWidth="1"/>
    <col min="7949" max="7949" width="4.6640625" style="83" customWidth="1"/>
    <col min="7950" max="7950" width="26.5546875" style="83" customWidth="1"/>
    <col min="7951" max="8192" width="12.5546875" style="83"/>
    <col min="8193" max="8193" width="8.44140625" style="83" customWidth="1"/>
    <col min="8194" max="8194" width="20.109375" style="83" customWidth="1"/>
    <col min="8195" max="8195" width="20" style="83" customWidth="1"/>
    <col min="8196" max="8196" width="10.88671875" style="83" customWidth="1"/>
    <col min="8197" max="8197" width="3.6640625" style="83" customWidth="1"/>
    <col min="8198" max="8198" width="7.6640625" style="83" customWidth="1"/>
    <col min="8199" max="8203" width="16.88671875" style="83" customWidth="1"/>
    <col min="8204" max="8204" width="18.33203125" style="83" customWidth="1"/>
    <col min="8205" max="8205" width="4.6640625" style="83" customWidth="1"/>
    <col min="8206" max="8206" width="26.5546875" style="83" customWidth="1"/>
    <col min="8207" max="8448" width="12.5546875" style="83"/>
    <col min="8449" max="8449" width="8.44140625" style="83" customWidth="1"/>
    <col min="8450" max="8450" width="20.109375" style="83" customWidth="1"/>
    <col min="8451" max="8451" width="20" style="83" customWidth="1"/>
    <col min="8452" max="8452" width="10.88671875" style="83" customWidth="1"/>
    <col min="8453" max="8453" width="3.6640625" style="83" customWidth="1"/>
    <col min="8454" max="8454" width="7.6640625" style="83" customWidth="1"/>
    <col min="8455" max="8459" width="16.88671875" style="83" customWidth="1"/>
    <col min="8460" max="8460" width="18.33203125" style="83" customWidth="1"/>
    <col min="8461" max="8461" width="4.6640625" style="83" customWidth="1"/>
    <col min="8462" max="8462" width="26.5546875" style="83" customWidth="1"/>
    <col min="8463" max="8704" width="12.5546875" style="83"/>
    <col min="8705" max="8705" width="8.44140625" style="83" customWidth="1"/>
    <col min="8706" max="8706" width="20.109375" style="83" customWidth="1"/>
    <col min="8707" max="8707" width="20" style="83" customWidth="1"/>
    <col min="8708" max="8708" width="10.88671875" style="83" customWidth="1"/>
    <col min="8709" max="8709" width="3.6640625" style="83" customWidth="1"/>
    <col min="8710" max="8710" width="7.6640625" style="83" customWidth="1"/>
    <col min="8711" max="8715" width="16.88671875" style="83" customWidth="1"/>
    <col min="8716" max="8716" width="18.33203125" style="83" customWidth="1"/>
    <col min="8717" max="8717" width="4.6640625" style="83" customWidth="1"/>
    <col min="8718" max="8718" width="26.5546875" style="83" customWidth="1"/>
    <col min="8719" max="8960" width="12.5546875" style="83"/>
    <col min="8961" max="8961" width="8.44140625" style="83" customWidth="1"/>
    <col min="8962" max="8962" width="20.109375" style="83" customWidth="1"/>
    <col min="8963" max="8963" width="20" style="83" customWidth="1"/>
    <col min="8964" max="8964" width="10.88671875" style="83" customWidth="1"/>
    <col min="8965" max="8965" width="3.6640625" style="83" customWidth="1"/>
    <col min="8966" max="8966" width="7.6640625" style="83" customWidth="1"/>
    <col min="8967" max="8971" width="16.88671875" style="83" customWidth="1"/>
    <col min="8972" max="8972" width="18.33203125" style="83" customWidth="1"/>
    <col min="8973" max="8973" width="4.6640625" style="83" customWidth="1"/>
    <col min="8974" max="8974" width="26.5546875" style="83" customWidth="1"/>
    <col min="8975" max="9216" width="12.5546875" style="83"/>
    <col min="9217" max="9217" width="8.44140625" style="83" customWidth="1"/>
    <col min="9218" max="9218" width="20.109375" style="83" customWidth="1"/>
    <col min="9219" max="9219" width="20" style="83" customWidth="1"/>
    <col min="9220" max="9220" width="10.88671875" style="83" customWidth="1"/>
    <col min="9221" max="9221" width="3.6640625" style="83" customWidth="1"/>
    <col min="9222" max="9222" width="7.6640625" style="83" customWidth="1"/>
    <col min="9223" max="9227" width="16.88671875" style="83" customWidth="1"/>
    <col min="9228" max="9228" width="18.33203125" style="83" customWidth="1"/>
    <col min="9229" max="9229" width="4.6640625" style="83" customWidth="1"/>
    <col min="9230" max="9230" width="26.5546875" style="83" customWidth="1"/>
    <col min="9231" max="9472" width="12.5546875" style="83"/>
    <col min="9473" max="9473" width="8.44140625" style="83" customWidth="1"/>
    <col min="9474" max="9474" width="20.109375" style="83" customWidth="1"/>
    <col min="9475" max="9475" width="20" style="83" customWidth="1"/>
    <col min="9476" max="9476" width="10.88671875" style="83" customWidth="1"/>
    <col min="9477" max="9477" width="3.6640625" style="83" customWidth="1"/>
    <col min="9478" max="9478" width="7.6640625" style="83" customWidth="1"/>
    <col min="9479" max="9483" width="16.88671875" style="83" customWidth="1"/>
    <col min="9484" max="9484" width="18.33203125" style="83" customWidth="1"/>
    <col min="9485" max="9485" width="4.6640625" style="83" customWidth="1"/>
    <col min="9486" max="9486" width="26.5546875" style="83" customWidth="1"/>
    <col min="9487" max="9728" width="12.5546875" style="83"/>
    <col min="9729" max="9729" width="8.44140625" style="83" customWidth="1"/>
    <col min="9730" max="9730" width="20.109375" style="83" customWidth="1"/>
    <col min="9731" max="9731" width="20" style="83" customWidth="1"/>
    <col min="9732" max="9732" width="10.88671875" style="83" customWidth="1"/>
    <col min="9733" max="9733" width="3.6640625" style="83" customWidth="1"/>
    <col min="9734" max="9734" width="7.6640625" style="83" customWidth="1"/>
    <col min="9735" max="9739" width="16.88671875" style="83" customWidth="1"/>
    <col min="9740" max="9740" width="18.33203125" style="83" customWidth="1"/>
    <col min="9741" max="9741" width="4.6640625" style="83" customWidth="1"/>
    <col min="9742" max="9742" width="26.5546875" style="83" customWidth="1"/>
    <col min="9743" max="9984" width="12.5546875" style="83"/>
    <col min="9985" max="9985" width="8.44140625" style="83" customWidth="1"/>
    <col min="9986" max="9986" width="20.109375" style="83" customWidth="1"/>
    <col min="9987" max="9987" width="20" style="83" customWidth="1"/>
    <col min="9988" max="9988" width="10.88671875" style="83" customWidth="1"/>
    <col min="9989" max="9989" width="3.6640625" style="83" customWidth="1"/>
    <col min="9990" max="9990" width="7.6640625" style="83" customWidth="1"/>
    <col min="9991" max="9995" width="16.88671875" style="83" customWidth="1"/>
    <col min="9996" max="9996" width="18.33203125" style="83" customWidth="1"/>
    <col min="9997" max="9997" width="4.6640625" style="83" customWidth="1"/>
    <col min="9998" max="9998" width="26.5546875" style="83" customWidth="1"/>
    <col min="9999" max="10240" width="12.5546875" style="83"/>
    <col min="10241" max="10241" width="8.44140625" style="83" customWidth="1"/>
    <col min="10242" max="10242" width="20.109375" style="83" customWidth="1"/>
    <col min="10243" max="10243" width="20" style="83" customWidth="1"/>
    <col min="10244" max="10244" width="10.88671875" style="83" customWidth="1"/>
    <col min="10245" max="10245" width="3.6640625" style="83" customWidth="1"/>
    <col min="10246" max="10246" width="7.6640625" style="83" customWidth="1"/>
    <col min="10247" max="10251" width="16.88671875" style="83" customWidth="1"/>
    <col min="10252" max="10252" width="18.33203125" style="83" customWidth="1"/>
    <col min="10253" max="10253" width="4.6640625" style="83" customWidth="1"/>
    <col min="10254" max="10254" width="26.5546875" style="83" customWidth="1"/>
    <col min="10255" max="10496" width="12.5546875" style="83"/>
    <col min="10497" max="10497" width="8.44140625" style="83" customWidth="1"/>
    <col min="10498" max="10498" width="20.109375" style="83" customWidth="1"/>
    <col min="10499" max="10499" width="20" style="83" customWidth="1"/>
    <col min="10500" max="10500" width="10.88671875" style="83" customWidth="1"/>
    <col min="10501" max="10501" width="3.6640625" style="83" customWidth="1"/>
    <col min="10502" max="10502" width="7.6640625" style="83" customWidth="1"/>
    <col min="10503" max="10507" width="16.88671875" style="83" customWidth="1"/>
    <col min="10508" max="10508" width="18.33203125" style="83" customWidth="1"/>
    <col min="10509" max="10509" width="4.6640625" style="83" customWidth="1"/>
    <col min="10510" max="10510" width="26.5546875" style="83" customWidth="1"/>
    <col min="10511" max="10752" width="12.5546875" style="83"/>
    <col min="10753" max="10753" width="8.44140625" style="83" customWidth="1"/>
    <col min="10754" max="10754" width="20.109375" style="83" customWidth="1"/>
    <col min="10755" max="10755" width="20" style="83" customWidth="1"/>
    <col min="10756" max="10756" width="10.88671875" style="83" customWidth="1"/>
    <col min="10757" max="10757" width="3.6640625" style="83" customWidth="1"/>
    <col min="10758" max="10758" width="7.6640625" style="83" customWidth="1"/>
    <col min="10759" max="10763" width="16.88671875" style="83" customWidth="1"/>
    <col min="10764" max="10764" width="18.33203125" style="83" customWidth="1"/>
    <col min="10765" max="10765" width="4.6640625" style="83" customWidth="1"/>
    <col min="10766" max="10766" width="26.5546875" style="83" customWidth="1"/>
    <col min="10767" max="11008" width="12.5546875" style="83"/>
    <col min="11009" max="11009" width="8.44140625" style="83" customWidth="1"/>
    <col min="11010" max="11010" width="20.109375" style="83" customWidth="1"/>
    <col min="11011" max="11011" width="20" style="83" customWidth="1"/>
    <col min="11012" max="11012" width="10.88671875" style="83" customWidth="1"/>
    <col min="11013" max="11013" width="3.6640625" style="83" customWidth="1"/>
    <col min="11014" max="11014" width="7.6640625" style="83" customWidth="1"/>
    <col min="11015" max="11019" width="16.88671875" style="83" customWidth="1"/>
    <col min="11020" max="11020" width="18.33203125" style="83" customWidth="1"/>
    <col min="11021" max="11021" width="4.6640625" style="83" customWidth="1"/>
    <col min="11022" max="11022" width="26.5546875" style="83" customWidth="1"/>
    <col min="11023" max="11264" width="12.5546875" style="83"/>
    <col min="11265" max="11265" width="8.44140625" style="83" customWidth="1"/>
    <col min="11266" max="11266" width="20.109375" style="83" customWidth="1"/>
    <col min="11267" max="11267" width="20" style="83" customWidth="1"/>
    <col min="11268" max="11268" width="10.88671875" style="83" customWidth="1"/>
    <col min="11269" max="11269" width="3.6640625" style="83" customWidth="1"/>
    <col min="11270" max="11270" width="7.6640625" style="83" customWidth="1"/>
    <col min="11271" max="11275" width="16.88671875" style="83" customWidth="1"/>
    <col min="11276" max="11276" width="18.33203125" style="83" customWidth="1"/>
    <col min="11277" max="11277" width="4.6640625" style="83" customWidth="1"/>
    <col min="11278" max="11278" width="26.5546875" style="83" customWidth="1"/>
    <col min="11279" max="11520" width="12.5546875" style="83"/>
    <col min="11521" max="11521" width="8.44140625" style="83" customWidth="1"/>
    <col min="11522" max="11522" width="20.109375" style="83" customWidth="1"/>
    <col min="11523" max="11523" width="20" style="83" customWidth="1"/>
    <col min="11524" max="11524" width="10.88671875" style="83" customWidth="1"/>
    <col min="11525" max="11525" width="3.6640625" style="83" customWidth="1"/>
    <col min="11526" max="11526" width="7.6640625" style="83" customWidth="1"/>
    <col min="11527" max="11531" width="16.88671875" style="83" customWidth="1"/>
    <col min="11532" max="11532" width="18.33203125" style="83" customWidth="1"/>
    <col min="11533" max="11533" width="4.6640625" style="83" customWidth="1"/>
    <col min="11534" max="11534" width="26.5546875" style="83" customWidth="1"/>
    <col min="11535" max="11776" width="12.5546875" style="83"/>
    <col min="11777" max="11777" width="8.44140625" style="83" customWidth="1"/>
    <col min="11778" max="11778" width="20.109375" style="83" customWidth="1"/>
    <col min="11779" max="11779" width="20" style="83" customWidth="1"/>
    <col min="11780" max="11780" width="10.88671875" style="83" customWidth="1"/>
    <col min="11781" max="11781" width="3.6640625" style="83" customWidth="1"/>
    <col min="11782" max="11782" width="7.6640625" style="83" customWidth="1"/>
    <col min="11783" max="11787" width="16.88671875" style="83" customWidth="1"/>
    <col min="11788" max="11788" width="18.33203125" style="83" customWidth="1"/>
    <col min="11789" max="11789" width="4.6640625" style="83" customWidth="1"/>
    <col min="11790" max="11790" width="26.5546875" style="83" customWidth="1"/>
    <col min="11791" max="12032" width="12.5546875" style="83"/>
    <col min="12033" max="12033" width="8.44140625" style="83" customWidth="1"/>
    <col min="12034" max="12034" width="20.109375" style="83" customWidth="1"/>
    <col min="12035" max="12035" width="20" style="83" customWidth="1"/>
    <col min="12036" max="12036" width="10.88671875" style="83" customWidth="1"/>
    <col min="12037" max="12037" width="3.6640625" style="83" customWidth="1"/>
    <col min="12038" max="12038" width="7.6640625" style="83" customWidth="1"/>
    <col min="12039" max="12043" width="16.88671875" style="83" customWidth="1"/>
    <col min="12044" max="12044" width="18.33203125" style="83" customWidth="1"/>
    <col min="12045" max="12045" width="4.6640625" style="83" customWidth="1"/>
    <col min="12046" max="12046" width="26.5546875" style="83" customWidth="1"/>
    <col min="12047" max="12288" width="12.5546875" style="83"/>
    <col min="12289" max="12289" width="8.44140625" style="83" customWidth="1"/>
    <col min="12290" max="12290" width="20.109375" style="83" customWidth="1"/>
    <col min="12291" max="12291" width="20" style="83" customWidth="1"/>
    <col min="12292" max="12292" width="10.88671875" style="83" customWidth="1"/>
    <col min="12293" max="12293" width="3.6640625" style="83" customWidth="1"/>
    <col min="12294" max="12294" width="7.6640625" style="83" customWidth="1"/>
    <col min="12295" max="12299" width="16.88671875" style="83" customWidth="1"/>
    <col min="12300" max="12300" width="18.33203125" style="83" customWidth="1"/>
    <col min="12301" max="12301" width="4.6640625" style="83" customWidth="1"/>
    <col min="12302" max="12302" width="26.5546875" style="83" customWidth="1"/>
    <col min="12303" max="12544" width="12.5546875" style="83"/>
    <col min="12545" max="12545" width="8.44140625" style="83" customWidth="1"/>
    <col min="12546" max="12546" width="20.109375" style="83" customWidth="1"/>
    <col min="12547" max="12547" width="20" style="83" customWidth="1"/>
    <col min="12548" max="12548" width="10.88671875" style="83" customWidth="1"/>
    <col min="12549" max="12549" width="3.6640625" style="83" customWidth="1"/>
    <col min="12550" max="12550" width="7.6640625" style="83" customWidth="1"/>
    <col min="12551" max="12555" width="16.88671875" style="83" customWidth="1"/>
    <col min="12556" max="12556" width="18.33203125" style="83" customWidth="1"/>
    <col min="12557" max="12557" width="4.6640625" style="83" customWidth="1"/>
    <col min="12558" max="12558" width="26.5546875" style="83" customWidth="1"/>
    <col min="12559" max="12800" width="12.5546875" style="83"/>
    <col min="12801" max="12801" width="8.44140625" style="83" customWidth="1"/>
    <col min="12802" max="12802" width="20.109375" style="83" customWidth="1"/>
    <col min="12803" max="12803" width="20" style="83" customWidth="1"/>
    <col min="12804" max="12804" width="10.88671875" style="83" customWidth="1"/>
    <col min="12805" max="12805" width="3.6640625" style="83" customWidth="1"/>
    <col min="12806" max="12806" width="7.6640625" style="83" customWidth="1"/>
    <col min="12807" max="12811" width="16.88671875" style="83" customWidth="1"/>
    <col min="12812" max="12812" width="18.33203125" style="83" customWidth="1"/>
    <col min="12813" max="12813" width="4.6640625" style="83" customWidth="1"/>
    <col min="12814" max="12814" width="26.5546875" style="83" customWidth="1"/>
    <col min="12815" max="13056" width="12.5546875" style="83"/>
    <col min="13057" max="13057" width="8.44140625" style="83" customWidth="1"/>
    <col min="13058" max="13058" width="20.109375" style="83" customWidth="1"/>
    <col min="13059" max="13059" width="20" style="83" customWidth="1"/>
    <col min="13060" max="13060" width="10.88671875" style="83" customWidth="1"/>
    <col min="13061" max="13061" width="3.6640625" style="83" customWidth="1"/>
    <col min="13062" max="13062" width="7.6640625" style="83" customWidth="1"/>
    <col min="13063" max="13067" width="16.88671875" style="83" customWidth="1"/>
    <col min="13068" max="13068" width="18.33203125" style="83" customWidth="1"/>
    <col min="13069" max="13069" width="4.6640625" style="83" customWidth="1"/>
    <col min="13070" max="13070" width="26.5546875" style="83" customWidth="1"/>
    <col min="13071" max="13312" width="12.5546875" style="83"/>
    <col min="13313" max="13313" width="8.44140625" style="83" customWidth="1"/>
    <col min="13314" max="13314" width="20.109375" style="83" customWidth="1"/>
    <col min="13315" max="13315" width="20" style="83" customWidth="1"/>
    <col min="13316" max="13316" width="10.88671875" style="83" customWidth="1"/>
    <col min="13317" max="13317" width="3.6640625" style="83" customWidth="1"/>
    <col min="13318" max="13318" width="7.6640625" style="83" customWidth="1"/>
    <col min="13319" max="13323" width="16.88671875" style="83" customWidth="1"/>
    <col min="13324" max="13324" width="18.33203125" style="83" customWidth="1"/>
    <col min="13325" max="13325" width="4.6640625" style="83" customWidth="1"/>
    <col min="13326" max="13326" width="26.5546875" style="83" customWidth="1"/>
    <col min="13327" max="13568" width="12.5546875" style="83"/>
    <col min="13569" max="13569" width="8.44140625" style="83" customWidth="1"/>
    <col min="13570" max="13570" width="20.109375" style="83" customWidth="1"/>
    <col min="13571" max="13571" width="20" style="83" customWidth="1"/>
    <col min="13572" max="13572" width="10.88671875" style="83" customWidth="1"/>
    <col min="13573" max="13573" width="3.6640625" style="83" customWidth="1"/>
    <col min="13574" max="13574" width="7.6640625" style="83" customWidth="1"/>
    <col min="13575" max="13579" width="16.88671875" style="83" customWidth="1"/>
    <col min="13580" max="13580" width="18.33203125" style="83" customWidth="1"/>
    <col min="13581" max="13581" width="4.6640625" style="83" customWidth="1"/>
    <col min="13582" max="13582" width="26.5546875" style="83" customWidth="1"/>
    <col min="13583" max="13824" width="12.5546875" style="83"/>
    <col min="13825" max="13825" width="8.44140625" style="83" customWidth="1"/>
    <col min="13826" max="13826" width="20.109375" style="83" customWidth="1"/>
    <col min="13827" max="13827" width="20" style="83" customWidth="1"/>
    <col min="13828" max="13828" width="10.88671875" style="83" customWidth="1"/>
    <col min="13829" max="13829" width="3.6640625" style="83" customWidth="1"/>
    <col min="13830" max="13830" width="7.6640625" style="83" customWidth="1"/>
    <col min="13831" max="13835" width="16.88671875" style="83" customWidth="1"/>
    <col min="13836" max="13836" width="18.33203125" style="83" customWidth="1"/>
    <col min="13837" max="13837" width="4.6640625" style="83" customWidth="1"/>
    <col min="13838" max="13838" width="26.5546875" style="83" customWidth="1"/>
    <col min="13839" max="14080" width="12.5546875" style="83"/>
    <col min="14081" max="14081" width="8.44140625" style="83" customWidth="1"/>
    <col min="14082" max="14082" width="20.109375" style="83" customWidth="1"/>
    <col min="14083" max="14083" width="20" style="83" customWidth="1"/>
    <col min="14084" max="14084" width="10.88671875" style="83" customWidth="1"/>
    <col min="14085" max="14085" width="3.6640625" style="83" customWidth="1"/>
    <col min="14086" max="14086" width="7.6640625" style="83" customWidth="1"/>
    <col min="14087" max="14091" width="16.88671875" style="83" customWidth="1"/>
    <col min="14092" max="14092" width="18.33203125" style="83" customWidth="1"/>
    <col min="14093" max="14093" width="4.6640625" style="83" customWidth="1"/>
    <col min="14094" max="14094" width="26.5546875" style="83" customWidth="1"/>
    <col min="14095" max="14336" width="12.5546875" style="83"/>
    <col min="14337" max="14337" width="8.44140625" style="83" customWidth="1"/>
    <col min="14338" max="14338" width="20.109375" style="83" customWidth="1"/>
    <col min="14339" max="14339" width="20" style="83" customWidth="1"/>
    <col min="14340" max="14340" width="10.88671875" style="83" customWidth="1"/>
    <col min="14341" max="14341" width="3.6640625" style="83" customWidth="1"/>
    <col min="14342" max="14342" width="7.6640625" style="83" customWidth="1"/>
    <col min="14343" max="14347" width="16.88671875" style="83" customWidth="1"/>
    <col min="14348" max="14348" width="18.33203125" style="83" customWidth="1"/>
    <col min="14349" max="14349" width="4.6640625" style="83" customWidth="1"/>
    <col min="14350" max="14350" width="26.5546875" style="83" customWidth="1"/>
    <col min="14351" max="14592" width="12.5546875" style="83"/>
    <col min="14593" max="14593" width="8.44140625" style="83" customWidth="1"/>
    <col min="14594" max="14594" width="20.109375" style="83" customWidth="1"/>
    <col min="14595" max="14595" width="20" style="83" customWidth="1"/>
    <col min="14596" max="14596" width="10.88671875" style="83" customWidth="1"/>
    <col min="14597" max="14597" width="3.6640625" style="83" customWidth="1"/>
    <col min="14598" max="14598" width="7.6640625" style="83" customWidth="1"/>
    <col min="14599" max="14603" width="16.88671875" style="83" customWidth="1"/>
    <col min="14604" max="14604" width="18.33203125" style="83" customWidth="1"/>
    <col min="14605" max="14605" width="4.6640625" style="83" customWidth="1"/>
    <col min="14606" max="14606" width="26.5546875" style="83" customWidth="1"/>
    <col min="14607" max="14848" width="12.5546875" style="83"/>
    <col min="14849" max="14849" width="8.44140625" style="83" customWidth="1"/>
    <col min="14850" max="14850" width="20.109375" style="83" customWidth="1"/>
    <col min="14851" max="14851" width="20" style="83" customWidth="1"/>
    <col min="14852" max="14852" width="10.88671875" style="83" customWidth="1"/>
    <col min="14853" max="14853" width="3.6640625" style="83" customWidth="1"/>
    <col min="14854" max="14854" width="7.6640625" style="83" customWidth="1"/>
    <col min="14855" max="14859" width="16.88671875" style="83" customWidth="1"/>
    <col min="14860" max="14860" width="18.33203125" style="83" customWidth="1"/>
    <col min="14861" max="14861" width="4.6640625" style="83" customWidth="1"/>
    <col min="14862" max="14862" width="26.5546875" style="83" customWidth="1"/>
    <col min="14863" max="15104" width="12.5546875" style="83"/>
    <col min="15105" max="15105" width="8.44140625" style="83" customWidth="1"/>
    <col min="15106" max="15106" width="20.109375" style="83" customWidth="1"/>
    <col min="15107" max="15107" width="20" style="83" customWidth="1"/>
    <col min="15108" max="15108" width="10.88671875" style="83" customWidth="1"/>
    <col min="15109" max="15109" width="3.6640625" style="83" customWidth="1"/>
    <col min="15110" max="15110" width="7.6640625" style="83" customWidth="1"/>
    <col min="15111" max="15115" width="16.88671875" style="83" customWidth="1"/>
    <col min="15116" max="15116" width="18.33203125" style="83" customWidth="1"/>
    <col min="15117" max="15117" width="4.6640625" style="83" customWidth="1"/>
    <col min="15118" max="15118" width="26.5546875" style="83" customWidth="1"/>
    <col min="15119" max="15360" width="12.5546875" style="83"/>
    <col min="15361" max="15361" width="8.44140625" style="83" customWidth="1"/>
    <col min="15362" max="15362" width="20.109375" style="83" customWidth="1"/>
    <col min="15363" max="15363" width="20" style="83" customWidth="1"/>
    <col min="15364" max="15364" width="10.88671875" style="83" customWidth="1"/>
    <col min="15365" max="15365" width="3.6640625" style="83" customWidth="1"/>
    <col min="15366" max="15366" width="7.6640625" style="83" customWidth="1"/>
    <col min="15367" max="15371" width="16.88671875" style="83" customWidth="1"/>
    <col min="15372" max="15372" width="18.33203125" style="83" customWidth="1"/>
    <col min="15373" max="15373" width="4.6640625" style="83" customWidth="1"/>
    <col min="15374" max="15374" width="26.5546875" style="83" customWidth="1"/>
    <col min="15375" max="15616" width="12.5546875" style="83"/>
    <col min="15617" max="15617" width="8.44140625" style="83" customWidth="1"/>
    <col min="15618" max="15618" width="20.109375" style="83" customWidth="1"/>
    <col min="15619" max="15619" width="20" style="83" customWidth="1"/>
    <col min="15620" max="15620" width="10.88671875" style="83" customWidth="1"/>
    <col min="15621" max="15621" width="3.6640625" style="83" customWidth="1"/>
    <col min="15622" max="15622" width="7.6640625" style="83" customWidth="1"/>
    <col min="15623" max="15627" width="16.88671875" style="83" customWidth="1"/>
    <col min="15628" max="15628" width="18.33203125" style="83" customWidth="1"/>
    <col min="15629" max="15629" width="4.6640625" style="83" customWidth="1"/>
    <col min="15630" max="15630" width="26.5546875" style="83" customWidth="1"/>
    <col min="15631" max="15872" width="12.5546875" style="83"/>
    <col min="15873" max="15873" width="8.44140625" style="83" customWidth="1"/>
    <col min="15874" max="15874" width="20.109375" style="83" customWidth="1"/>
    <col min="15875" max="15875" width="20" style="83" customWidth="1"/>
    <col min="15876" max="15876" width="10.88671875" style="83" customWidth="1"/>
    <col min="15877" max="15877" width="3.6640625" style="83" customWidth="1"/>
    <col min="15878" max="15878" width="7.6640625" style="83" customWidth="1"/>
    <col min="15879" max="15883" width="16.88671875" style="83" customWidth="1"/>
    <col min="15884" max="15884" width="18.33203125" style="83" customWidth="1"/>
    <col min="15885" max="15885" width="4.6640625" style="83" customWidth="1"/>
    <col min="15886" max="15886" width="26.5546875" style="83" customWidth="1"/>
    <col min="15887" max="16128" width="12.5546875" style="83"/>
    <col min="16129" max="16129" width="8.44140625" style="83" customWidth="1"/>
    <col min="16130" max="16130" width="20.109375" style="83" customWidth="1"/>
    <col min="16131" max="16131" width="20" style="83" customWidth="1"/>
    <col min="16132" max="16132" width="10.88671875" style="83" customWidth="1"/>
    <col min="16133" max="16133" width="3.6640625" style="83" customWidth="1"/>
    <col min="16134" max="16134" width="7.6640625" style="83" customWidth="1"/>
    <col min="16135" max="16139" width="16.88671875" style="83" customWidth="1"/>
    <col min="16140" max="16140" width="18.33203125" style="83" customWidth="1"/>
    <col min="16141" max="16141" width="4.6640625" style="83" customWidth="1"/>
    <col min="16142" max="16142" width="26.5546875" style="83" customWidth="1"/>
    <col min="16143" max="16384" width="12.5546875" style="83"/>
  </cols>
  <sheetData>
    <row r="1" spans="1:14" ht="16.5" customHeight="1">
      <c r="L1" s="84" t="s">
        <v>174</v>
      </c>
    </row>
    <row r="2" spans="1:14" ht="7.5" customHeight="1">
      <c r="L2" s="85"/>
    </row>
    <row r="3" spans="1:14" ht="15.75" customHeight="1">
      <c r="A3" s="86"/>
      <c r="B3" s="87"/>
      <c r="C3" s="1119" t="str">
        <f>'F1  Cover'!K6</f>
        <v>GP2026/001/68120/2004</v>
      </c>
      <c r="D3" s="1120"/>
      <c r="E3" s="88"/>
      <c r="F3" s="1121"/>
      <c r="G3" s="1121"/>
      <c r="H3" s="489">
        <f>'F1  Cover'!L8</f>
        <v>46006</v>
      </c>
      <c r="I3" s="89"/>
      <c r="J3" s="90" t="s">
        <v>175</v>
      </c>
      <c r="K3" s="1122">
        <f>'F1  Cover'!K8</f>
        <v>1</v>
      </c>
      <c r="L3" s="1123"/>
    </row>
    <row r="4" spans="1:14" ht="15.75" customHeight="1" thickBot="1">
      <c r="A4" s="91"/>
      <c r="B4" s="92"/>
      <c r="C4" s="92"/>
      <c r="D4" s="92"/>
      <c r="E4" s="92"/>
      <c r="F4" s="93"/>
      <c r="G4" s="92"/>
      <c r="H4" s="92"/>
      <c r="I4" s="92"/>
      <c r="J4" s="92"/>
      <c r="K4" s="94"/>
      <c r="L4" s="95"/>
      <c r="M4" s="92"/>
    </row>
    <row r="5" spans="1:14" ht="15.75" customHeight="1">
      <c r="A5" s="96"/>
      <c r="B5" s="97"/>
      <c r="C5" s="97"/>
      <c r="D5" s="97"/>
      <c r="E5" s="97"/>
      <c r="F5" s="98"/>
      <c r="G5" s="97"/>
      <c r="H5" s="97"/>
      <c r="I5" s="97"/>
      <c r="J5" s="97"/>
      <c r="K5" s="99"/>
      <c r="L5" s="100"/>
      <c r="M5" s="92"/>
    </row>
    <row r="6" spans="1:14" ht="15.75" customHeight="1">
      <c r="A6" s="1124" t="s">
        <v>176</v>
      </c>
      <c r="B6" s="1125"/>
      <c r="C6" s="1125"/>
      <c r="D6" s="1125"/>
      <c r="E6" s="1125"/>
      <c r="F6" s="1125"/>
      <c r="G6" s="1125"/>
      <c r="H6" s="1125"/>
      <c r="I6" s="1125"/>
      <c r="J6" s="1125"/>
      <c r="K6" s="1125"/>
      <c r="L6" s="1126"/>
      <c r="M6" s="92"/>
    </row>
    <row r="7" spans="1:14" ht="15.75" customHeight="1" thickBot="1">
      <c r="A7" s="101"/>
      <c r="B7" s="92"/>
      <c r="C7" s="92"/>
      <c r="D7" s="92"/>
      <c r="E7" s="92"/>
      <c r="F7" s="92"/>
      <c r="G7" s="92"/>
      <c r="H7" s="92"/>
      <c r="I7" s="92"/>
      <c r="J7" s="92"/>
      <c r="K7" s="92"/>
      <c r="L7" s="102"/>
      <c r="M7" s="92"/>
    </row>
    <row r="8" spans="1:14" ht="15.75" customHeight="1">
      <c r="A8" s="103"/>
      <c r="B8" s="104"/>
      <c r="C8" s="104"/>
      <c r="D8" s="104"/>
      <c r="E8" s="104"/>
      <c r="F8" s="105"/>
      <c r="G8" s="106"/>
      <c r="H8" s="106"/>
      <c r="I8" s="106"/>
      <c r="J8" s="106"/>
      <c r="K8" s="419"/>
      <c r="L8" s="425"/>
      <c r="M8" s="92"/>
    </row>
    <row r="9" spans="1:14" ht="15.75" customHeight="1">
      <c r="A9" s="107"/>
      <c r="B9" s="108" t="s">
        <v>118</v>
      </c>
      <c r="D9" s="108"/>
      <c r="E9" s="108"/>
      <c r="F9" s="109" t="s">
        <v>177</v>
      </c>
      <c r="G9" s="110"/>
      <c r="H9" s="110"/>
      <c r="I9" s="110"/>
      <c r="J9" s="110"/>
      <c r="K9" s="420"/>
      <c r="L9" s="426" t="s">
        <v>49</v>
      </c>
      <c r="M9" s="92"/>
    </row>
    <row r="10" spans="1:14" ht="15.6">
      <c r="A10" s="107"/>
      <c r="B10" s="108"/>
      <c r="C10" s="108"/>
      <c r="D10" s="108"/>
      <c r="E10" s="108"/>
      <c r="F10" s="111" t="s">
        <v>178</v>
      </c>
      <c r="G10" s="112"/>
      <c r="H10" s="113"/>
      <c r="I10" s="112"/>
      <c r="J10" s="113" t="s">
        <v>587</v>
      </c>
      <c r="K10" s="52"/>
      <c r="L10" s="426"/>
      <c r="M10" s="92"/>
    </row>
    <row r="11" spans="1:14" ht="15.75" customHeight="1" thickBot="1">
      <c r="A11" s="114"/>
      <c r="B11" s="115"/>
      <c r="C11" s="115"/>
      <c r="D11" s="115"/>
      <c r="E11" s="115"/>
      <c r="F11" s="116"/>
      <c r="G11" s="117"/>
      <c r="H11" s="118"/>
      <c r="I11" s="117"/>
      <c r="J11" s="118" t="s">
        <v>179</v>
      </c>
      <c r="K11" s="421"/>
      <c r="L11" s="427" t="s">
        <v>179</v>
      </c>
      <c r="M11" s="92"/>
    </row>
    <row r="12" spans="1:14" ht="15.6">
      <c r="A12" s="119">
        <v>1</v>
      </c>
      <c r="B12" s="120" t="s">
        <v>180</v>
      </c>
      <c r="C12" s="120"/>
      <c r="D12" s="120"/>
      <c r="E12" s="120"/>
      <c r="F12" s="121">
        <v>2</v>
      </c>
      <c r="G12" s="122"/>
      <c r="H12" s="123"/>
      <c r="I12" s="122"/>
      <c r="J12" s="123">
        <f>'Pg 2 Sum Scheduled'!$J$18</f>
        <v>0</v>
      </c>
      <c r="K12" s="422"/>
      <c r="L12" s="428">
        <f>J12</f>
        <v>0</v>
      </c>
      <c r="M12" s="92"/>
      <c r="N12" s="124"/>
    </row>
    <row r="13" spans="1:14" ht="15.6">
      <c r="A13" s="125">
        <v>2</v>
      </c>
      <c r="B13" s="126" t="s">
        <v>181</v>
      </c>
      <c r="C13" s="126"/>
      <c r="D13" s="126"/>
      <c r="E13" s="126"/>
      <c r="F13" s="127">
        <v>6</v>
      </c>
      <c r="G13" s="122"/>
      <c r="H13" s="123"/>
      <c r="I13" s="122"/>
      <c r="J13" s="123">
        <f>'Pg 6 WAF with CPI'!L25</f>
        <v>0</v>
      </c>
      <c r="K13" s="422"/>
      <c r="L13" s="429">
        <f>J13</f>
        <v>0</v>
      </c>
      <c r="M13" s="92"/>
      <c r="N13" s="124"/>
    </row>
    <row r="14" spans="1:14" ht="15.6">
      <c r="A14" s="125">
        <v>2</v>
      </c>
      <c r="B14" s="126" t="s">
        <v>182</v>
      </c>
      <c r="C14" s="126"/>
      <c r="D14" s="126"/>
      <c r="E14" s="126"/>
      <c r="F14" s="127">
        <v>7</v>
      </c>
      <c r="G14" s="122"/>
      <c r="H14" s="123"/>
      <c r="I14" s="122"/>
      <c r="J14" s="123">
        <f>'Pg 7 WAF No CPI'!L26</f>
        <v>0</v>
      </c>
      <c r="K14" s="422"/>
      <c r="L14" s="429">
        <f>J14</f>
        <v>0</v>
      </c>
      <c r="M14" s="92"/>
      <c r="N14" s="124"/>
    </row>
    <row r="15" spans="1:14" ht="15.6">
      <c r="A15" s="125">
        <v>3</v>
      </c>
      <c r="B15" s="126"/>
      <c r="C15" s="126" t="s">
        <v>183</v>
      </c>
      <c r="D15" s="126"/>
      <c r="E15" s="126"/>
      <c r="F15" s="127"/>
      <c r="G15" s="128"/>
      <c r="H15" s="129"/>
      <c r="I15" s="447"/>
      <c r="J15" s="129">
        <f>SUM(J12:J14)</f>
        <v>0</v>
      </c>
      <c r="K15" s="449"/>
      <c r="L15" s="430">
        <f>SUM(L12:L14)</f>
        <v>0</v>
      </c>
      <c r="M15" s="92"/>
      <c r="N15" s="124"/>
    </row>
    <row r="16" spans="1:14" ht="15.6">
      <c r="A16" s="125"/>
      <c r="B16" s="126"/>
      <c r="C16" s="126"/>
      <c r="D16" s="126"/>
      <c r="E16" s="126"/>
      <c r="F16" s="127"/>
      <c r="G16" s="447"/>
      <c r="H16" s="129"/>
      <c r="I16" s="447"/>
      <c r="J16" s="129"/>
      <c r="K16" s="449"/>
      <c r="L16" s="429"/>
      <c r="M16" s="92"/>
      <c r="N16" s="124"/>
    </row>
    <row r="17" spans="1:14" ht="15.6">
      <c r="A17" s="125">
        <v>4</v>
      </c>
      <c r="B17" s="126" t="s">
        <v>184</v>
      </c>
      <c r="C17" s="126"/>
      <c r="D17" s="126"/>
      <c r="E17" s="126"/>
      <c r="F17" s="127">
        <v>9</v>
      </c>
      <c r="G17" s="447"/>
      <c r="H17" s="129"/>
      <c r="I17" s="450"/>
      <c r="J17" s="129">
        <f>'Pg 9 CPI'!$N$48</f>
        <v>0</v>
      </c>
      <c r="K17" s="452"/>
      <c r="L17" s="429">
        <f>J17</f>
        <v>0</v>
      </c>
      <c r="M17" s="92"/>
      <c r="N17" s="124"/>
    </row>
    <row r="18" spans="1:14" ht="15.6">
      <c r="A18" s="125">
        <v>5</v>
      </c>
      <c r="B18" s="126"/>
      <c r="C18" s="126" t="s">
        <v>183</v>
      </c>
      <c r="D18" s="126"/>
      <c r="E18" s="126"/>
      <c r="F18" s="127"/>
      <c r="G18" s="450"/>
      <c r="H18" s="129"/>
      <c r="I18" s="436"/>
      <c r="J18" s="129">
        <f>J15+J17</f>
        <v>0</v>
      </c>
      <c r="K18" s="437"/>
      <c r="L18" s="430">
        <f>L15+L17</f>
        <v>0</v>
      </c>
      <c r="M18" s="92"/>
      <c r="N18" s="124"/>
    </row>
    <row r="19" spans="1:14" ht="15.6">
      <c r="A19" s="125"/>
      <c r="B19" s="126"/>
      <c r="C19" s="126"/>
      <c r="D19" s="126"/>
      <c r="E19" s="126"/>
      <c r="F19" s="127"/>
      <c r="G19" s="450"/>
      <c r="H19" s="129"/>
      <c r="I19" s="450"/>
      <c r="J19" s="129"/>
      <c r="K19" s="452"/>
      <c r="L19" s="429"/>
      <c r="M19" s="92"/>
      <c r="N19" s="124"/>
    </row>
    <row r="20" spans="1:14" ht="15.6">
      <c r="A20" s="125">
        <v>6</v>
      </c>
      <c r="B20" s="126" t="str">
        <f>"Deduct: Retention - 5% of subtotal (R" &amp;'SERVICE PROVIDER INPUT DATA'!D17 &amp; " maximum)"</f>
        <v>Deduct: Retention - 5% of subtotal (R150000 maximum)</v>
      </c>
      <c r="C20" s="126"/>
      <c r="D20" s="126"/>
      <c r="E20" s="126"/>
      <c r="F20" s="127"/>
      <c r="G20" s="435">
        <f>'SERVICE PROVIDER INPUT DATA'!D17</f>
        <v>150000</v>
      </c>
      <c r="H20" s="446"/>
      <c r="I20" s="522"/>
      <c r="J20" s="446">
        <f>IF(((J18*5%))&gt;G20,(G20),(J18*5%))</f>
        <v>0</v>
      </c>
      <c r="K20" s="434"/>
      <c r="L20" s="429">
        <f>(J20)+L21+L22</f>
        <v>0</v>
      </c>
      <c r="M20" s="92"/>
      <c r="N20" s="124"/>
    </row>
    <row r="21" spans="1:14" ht="24" hidden="1" customHeight="1">
      <c r="A21" s="130"/>
      <c r="B21" s="1127" t="s">
        <v>415</v>
      </c>
      <c r="C21" s="1128"/>
      <c r="D21" s="1128"/>
      <c r="E21" s="1129"/>
      <c r="F21" s="523"/>
      <c r="G21" s="524"/>
      <c r="H21" s="528"/>
      <c r="I21" s="529"/>
      <c r="J21" s="528"/>
      <c r="K21" s="525"/>
      <c r="L21" s="526"/>
      <c r="M21" s="92"/>
      <c r="N21" s="124"/>
    </row>
    <row r="22" spans="1:14" ht="57" customHeight="1">
      <c r="A22" s="130"/>
      <c r="B22" s="1116" t="s">
        <v>438</v>
      </c>
      <c r="C22" s="1117"/>
      <c r="D22" s="1117"/>
      <c r="E22" s="1118"/>
      <c r="F22" s="523"/>
      <c r="G22" s="527"/>
      <c r="H22" s="528"/>
      <c r="I22" s="529"/>
      <c r="J22" s="528">
        <f>ROUND((J20*G22),2)</f>
        <v>0</v>
      </c>
      <c r="K22" s="525"/>
      <c r="L22" s="526">
        <f>((J20)*G22)*-1</f>
        <v>0</v>
      </c>
      <c r="M22" s="92"/>
      <c r="N22" s="124"/>
    </row>
    <row r="23" spans="1:14" ht="15.6">
      <c r="A23" s="130">
        <v>7</v>
      </c>
      <c r="B23" s="131" t="s">
        <v>185</v>
      </c>
      <c r="C23" s="131"/>
      <c r="D23" s="131"/>
      <c r="E23" s="131"/>
      <c r="F23" s="132">
        <v>8</v>
      </c>
      <c r="G23" s="451"/>
      <c r="H23" s="133"/>
      <c r="I23" s="451"/>
      <c r="J23" s="133">
        <f>'Pg 8 Penalties'!L26</f>
        <v>0</v>
      </c>
      <c r="K23" s="434"/>
      <c r="L23" s="429">
        <f>J23</f>
        <v>0</v>
      </c>
      <c r="M23" s="92"/>
      <c r="N23" s="124"/>
    </row>
    <row r="24" spans="1:14" ht="15.6">
      <c r="A24" s="125">
        <v>8</v>
      </c>
      <c r="B24" s="126"/>
      <c r="C24" s="126" t="s">
        <v>186</v>
      </c>
      <c r="D24" s="126"/>
      <c r="E24" s="126"/>
      <c r="F24" s="127"/>
      <c r="G24" s="447"/>
      <c r="H24" s="129"/>
      <c r="I24" s="447"/>
      <c r="J24" s="129">
        <f>J18-J20-J23+J21+J22</f>
        <v>0</v>
      </c>
      <c r="K24" s="452"/>
      <c r="L24" s="429">
        <f>L18-L20-L23</f>
        <v>0</v>
      </c>
      <c r="M24" s="92"/>
      <c r="N24" s="124"/>
    </row>
    <row r="25" spans="1:14" ht="15.6">
      <c r="A25" s="125"/>
      <c r="B25" s="126"/>
      <c r="C25" s="126"/>
      <c r="D25" s="126"/>
      <c r="E25" s="126"/>
      <c r="F25" s="127"/>
      <c r="G25" s="134"/>
      <c r="H25" s="135"/>
      <c r="I25" s="448"/>
      <c r="J25" s="135"/>
      <c r="K25" s="423"/>
      <c r="L25" s="431"/>
      <c r="M25" s="92"/>
      <c r="N25" s="124"/>
    </row>
    <row r="26" spans="1:14" ht="16.2" thickBot="1">
      <c r="A26" s="130">
        <v>9</v>
      </c>
      <c r="B26" s="131" t="s">
        <v>187</v>
      </c>
      <c r="C26" s="131"/>
      <c r="D26" s="131"/>
      <c r="E26" s="131"/>
      <c r="F26" s="132"/>
      <c r="G26" s="134"/>
      <c r="H26" s="135"/>
      <c r="I26" s="134"/>
      <c r="J26" s="487">
        <f>DATA!R52</f>
        <v>0</v>
      </c>
      <c r="K26" s="423"/>
      <c r="L26" s="432">
        <f>H26+J26</f>
        <v>0</v>
      </c>
      <c r="M26" s="92"/>
      <c r="N26" s="124"/>
    </row>
    <row r="27" spans="1:14" ht="15.6">
      <c r="A27" s="439">
        <v>10</v>
      </c>
      <c r="B27" s="440"/>
      <c r="C27" s="440" t="s">
        <v>188</v>
      </c>
      <c r="D27" s="440"/>
      <c r="E27" s="440"/>
      <c r="F27" s="441"/>
      <c r="G27" s="136"/>
      <c r="H27" s="137"/>
      <c r="I27" s="136"/>
      <c r="J27" s="137">
        <f>ROUND((J24-J26),2)</f>
        <v>0</v>
      </c>
      <c r="K27" s="424"/>
      <c r="L27" s="428">
        <f>ROUND((L24-L26),2)</f>
        <v>0</v>
      </c>
      <c r="M27" s="92"/>
      <c r="N27" s="124"/>
    </row>
    <row r="28" spans="1:14" ht="17.25" customHeight="1" thickBot="1">
      <c r="A28" s="130">
        <v>11</v>
      </c>
      <c r="B28" s="131" t="str">
        <f>"Add:  V.A.T. (" &amp; 'SERVICE PROVIDER INPUT DATA'!D9 &amp; "%)"</f>
        <v>Add:  V.A.T. (15%)</v>
      </c>
      <c r="C28" s="131"/>
      <c r="D28" s="131"/>
      <c r="E28" s="131"/>
      <c r="F28" s="132"/>
      <c r="G28" s="134"/>
      <c r="H28" s="135"/>
      <c r="I28" s="134"/>
      <c r="J28" s="135">
        <f>ROUND((J27*'SERVICE PROVIDER INPUT DATA'!D9/100),2)</f>
        <v>0</v>
      </c>
      <c r="K28" s="423"/>
      <c r="L28" s="433">
        <f>ROUND((L27*DATA!$C$1032),2)</f>
        <v>0</v>
      </c>
      <c r="M28" s="92"/>
      <c r="N28" s="124"/>
    </row>
    <row r="29" spans="1:14" ht="24" customHeight="1" thickBot="1">
      <c r="A29" s="138">
        <v>12</v>
      </c>
      <c r="B29" s="139" t="s">
        <v>189</v>
      </c>
      <c r="C29" s="140"/>
      <c r="D29" s="140"/>
      <c r="E29" s="140"/>
      <c r="F29" s="141"/>
      <c r="G29" s="142"/>
      <c r="H29" s="442"/>
      <c r="I29" s="443"/>
      <c r="J29" s="442">
        <f>J27+J28</f>
        <v>0</v>
      </c>
      <c r="K29" s="444"/>
      <c r="L29" s="445">
        <f>L27+L28</f>
        <v>0</v>
      </c>
      <c r="M29" s="92"/>
      <c r="N29" s="124"/>
    </row>
    <row r="30" spans="1:14" ht="16.5" customHeight="1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  <c r="M30" s="92"/>
      <c r="N30" s="146"/>
    </row>
    <row r="31" spans="1:14" ht="16.5" customHeight="1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5"/>
    </row>
    <row r="32" spans="1:14" ht="16.5" customHeight="1">
      <c r="A32" s="143"/>
      <c r="B32" s="144"/>
      <c r="C32" s="144"/>
      <c r="D32" s="144"/>
      <c r="E32" s="144"/>
      <c r="F32" s="144"/>
      <c r="G32" s="147"/>
      <c r="H32" s="147"/>
      <c r="I32" s="147"/>
      <c r="J32" s="147"/>
      <c r="K32" s="147"/>
      <c r="L32" s="148"/>
    </row>
    <row r="33" spans="1:1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5"/>
    </row>
    <row r="34" spans="1:12">
      <c r="A34" s="14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12">
      <c r="A35" s="143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5"/>
    </row>
    <row r="36" spans="1:12">
      <c r="A36" s="143"/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5"/>
    </row>
    <row r="37" spans="1:12">
      <c r="A37" s="149"/>
      <c r="B37" s="150"/>
      <c r="C37" s="150"/>
      <c r="D37" s="150"/>
      <c r="E37" s="144"/>
      <c r="F37" s="144"/>
      <c r="G37" s="144"/>
      <c r="H37" s="144"/>
      <c r="I37" s="144"/>
      <c r="J37" s="144"/>
      <c r="K37" s="144"/>
      <c r="L37" s="145"/>
    </row>
    <row r="38" spans="1:12">
      <c r="A38" s="143" t="s">
        <v>493</v>
      </c>
      <c r="B38" s="144"/>
      <c r="C38" s="438" t="s">
        <v>190</v>
      </c>
      <c r="E38" s="144"/>
      <c r="F38" s="144"/>
      <c r="G38" s="144"/>
      <c r="H38" s="144"/>
      <c r="I38" s="144"/>
      <c r="J38" s="144" t="s">
        <v>191</v>
      </c>
      <c r="K38" s="144"/>
      <c r="L38" s="145" t="s">
        <v>190</v>
      </c>
    </row>
    <row r="39" spans="1:12" ht="15.6" thickBot="1">
      <c r="A39" s="151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3"/>
    </row>
  </sheetData>
  <sheetProtection algorithmName="SHA-512" hashValue="2eFxTXGtwU65WeV+P3n6+r3rlIMuHWpmPNDfkcxd24FrsfqP+emjPq9b/eTz6IfSyPYrZtpTwlB/dlZcfOSqVg==" saltValue="cdQPk8Ay4o+ekHnwdprLng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81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>
    <tabColor rgb="FF0070C0"/>
    <pageSetUpPr fitToPage="1"/>
  </sheetPr>
  <dimension ref="A1:K28"/>
  <sheetViews>
    <sheetView showGridLines="0" topLeftCell="A7" zoomScaleNormal="100" workbookViewId="0">
      <selection activeCell="M43" sqref="M43"/>
    </sheetView>
  </sheetViews>
  <sheetFormatPr defaultRowHeight="13.2"/>
  <cols>
    <col min="1" max="1" width="8.44140625" style="2" customWidth="1"/>
    <col min="2" max="2" width="11" style="2" customWidth="1"/>
    <col min="3" max="3" width="35.5546875" style="2" customWidth="1"/>
    <col min="4" max="4" width="7.33203125" style="2" customWidth="1"/>
    <col min="5" max="5" width="14.109375" style="2" customWidth="1"/>
    <col min="6" max="6" width="17.33203125" style="2" customWidth="1"/>
    <col min="7" max="8" width="14.109375" style="2" customWidth="1"/>
    <col min="9" max="9" width="14.109375" style="208" customWidth="1"/>
    <col min="10" max="10" width="15.44140625" style="2" bestFit="1" customWidth="1"/>
    <col min="11" max="11" width="4.33203125" style="2" customWidth="1"/>
    <col min="12" max="256" width="9.109375" style="2"/>
    <col min="257" max="257" width="8.44140625" style="2" customWidth="1"/>
    <col min="258" max="258" width="11" style="2" customWidth="1"/>
    <col min="259" max="259" width="35.5546875" style="2" customWidth="1"/>
    <col min="260" max="260" width="7.33203125" style="2" customWidth="1"/>
    <col min="261" max="261" width="13.33203125" style="2" bestFit="1" customWidth="1"/>
    <col min="262" max="265" width="13.33203125" style="2" customWidth="1"/>
    <col min="266" max="266" width="15.44140625" style="2" bestFit="1" customWidth="1"/>
    <col min="267" max="267" width="4.33203125" style="2" customWidth="1"/>
    <col min="268" max="512" width="9.109375" style="2"/>
    <col min="513" max="513" width="8.44140625" style="2" customWidth="1"/>
    <col min="514" max="514" width="11" style="2" customWidth="1"/>
    <col min="515" max="515" width="35.5546875" style="2" customWidth="1"/>
    <col min="516" max="516" width="7.33203125" style="2" customWidth="1"/>
    <col min="517" max="517" width="13.33203125" style="2" bestFit="1" customWidth="1"/>
    <col min="518" max="521" width="13.33203125" style="2" customWidth="1"/>
    <col min="522" max="522" width="15.44140625" style="2" bestFit="1" customWidth="1"/>
    <col min="523" max="523" width="4.33203125" style="2" customWidth="1"/>
    <col min="524" max="768" width="9.109375" style="2"/>
    <col min="769" max="769" width="8.44140625" style="2" customWidth="1"/>
    <col min="770" max="770" width="11" style="2" customWidth="1"/>
    <col min="771" max="771" width="35.5546875" style="2" customWidth="1"/>
    <col min="772" max="772" width="7.33203125" style="2" customWidth="1"/>
    <col min="773" max="773" width="13.33203125" style="2" bestFit="1" customWidth="1"/>
    <col min="774" max="777" width="13.33203125" style="2" customWidth="1"/>
    <col min="778" max="778" width="15.44140625" style="2" bestFit="1" customWidth="1"/>
    <col min="779" max="779" width="4.33203125" style="2" customWidth="1"/>
    <col min="780" max="1024" width="9.109375" style="2"/>
    <col min="1025" max="1025" width="8.44140625" style="2" customWidth="1"/>
    <col min="1026" max="1026" width="11" style="2" customWidth="1"/>
    <col min="1027" max="1027" width="35.5546875" style="2" customWidth="1"/>
    <col min="1028" max="1028" width="7.33203125" style="2" customWidth="1"/>
    <col min="1029" max="1029" width="13.33203125" style="2" bestFit="1" customWidth="1"/>
    <col min="1030" max="1033" width="13.33203125" style="2" customWidth="1"/>
    <col min="1034" max="1034" width="15.44140625" style="2" bestFit="1" customWidth="1"/>
    <col min="1035" max="1035" width="4.33203125" style="2" customWidth="1"/>
    <col min="1036" max="1280" width="9.109375" style="2"/>
    <col min="1281" max="1281" width="8.44140625" style="2" customWidth="1"/>
    <col min="1282" max="1282" width="11" style="2" customWidth="1"/>
    <col min="1283" max="1283" width="35.5546875" style="2" customWidth="1"/>
    <col min="1284" max="1284" width="7.33203125" style="2" customWidth="1"/>
    <col min="1285" max="1285" width="13.33203125" style="2" bestFit="1" customWidth="1"/>
    <col min="1286" max="1289" width="13.33203125" style="2" customWidth="1"/>
    <col min="1290" max="1290" width="15.44140625" style="2" bestFit="1" customWidth="1"/>
    <col min="1291" max="1291" width="4.33203125" style="2" customWidth="1"/>
    <col min="1292" max="1536" width="9.109375" style="2"/>
    <col min="1537" max="1537" width="8.44140625" style="2" customWidth="1"/>
    <col min="1538" max="1538" width="11" style="2" customWidth="1"/>
    <col min="1539" max="1539" width="35.5546875" style="2" customWidth="1"/>
    <col min="1540" max="1540" width="7.33203125" style="2" customWidth="1"/>
    <col min="1541" max="1541" width="13.33203125" style="2" bestFit="1" customWidth="1"/>
    <col min="1542" max="1545" width="13.33203125" style="2" customWidth="1"/>
    <col min="1546" max="1546" width="15.44140625" style="2" bestFit="1" customWidth="1"/>
    <col min="1547" max="1547" width="4.33203125" style="2" customWidth="1"/>
    <col min="1548" max="1792" width="9.109375" style="2"/>
    <col min="1793" max="1793" width="8.44140625" style="2" customWidth="1"/>
    <col min="1794" max="1794" width="11" style="2" customWidth="1"/>
    <col min="1795" max="1795" width="35.5546875" style="2" customWidth="1"/>
    <col min="1796" max="1796" width="7.33203125" style="2" customWidth="1"/>
    <col min="1797" max="1797" width="13.33203125" style="2" bestFit="1" customWidth="1"/>
    <col min="1798" max="1801" width="13.33203125" style="2" customWidth="1"/>
    <col min="1802" max="1802" width="15.44140625" style="2" bestFit="1" customWidth="1"/>
    <col min="1803" max="1803" width="4.33203125" style="2" customWidth="1"/>
    <col min="1804" max="2048" width="9.109375" style="2"/>
    <col min="2049" max="2049" width="8.44140625" style="2" customWidth="1"/>
    <col min="2050" max="2050" width="11" style="2" customWidth="1"/>
    <col min="2051" max="2051" width="35.5546875" style="2" customWidth="1"/>
    <col min="2052" max="2052" width="7.33203125" style="2" customWidth="1"/>
    <col min="2053" max="2053" width="13.33203125" style="2" bestFit="1" customWidth="1"/>
    <col min="2054" max="2057" width="13.33203125" style="2" customWidth="1"/>
    <col min="2058" max="2058" width="15.44140625" style="2" bestFit="1" customWidth="1"/>
    <col min="2059" max="2059" width="4.33203125" style="2" customWidth="1"/>
    <col min="2060" max="2304" width="9.109375" style="2"/>
    <col min="2305" max="2305" width="8.44140625" style="2" customWidth="1"/>
    <col min="2306" max="2306" width="11" style="2" customWidth="1"/>
    <col min="2307" max="2307" width="35.5546875" style="2" customWidth="1"/>
    <col min="2308" max="2308" width="7.33203125" style="2" customWidth="1"/>
    <col min="2309" max="2309" width="13.33203125" style="2" bestFit="1" customWidth="1"/>
    <col min="2310" max="2313" width="13.33203125" style="2" customWidth="1"/>
    <col min="2314" max="2314" width="15.44140625" style="2" bestFit="1" customWidth="1"/>
    <col min="2315" max="2315" width="4.33203125" style="2" customWidth="1"/>
    <col min="2316" max="2560" width="9.109375" style="2"/>
    <col min="2561" max="2561" width="8.44140625" style="2" customWidth="1"/>
    <col min="2562" max="2562" width="11" style="2" customWidth="1"/>
    <col min="2563" max="2563" width="35.5546875" style="2" customWidth="1"/>
    <col min="2564" max="2564" width="7.33203125" style="2" customWidth="1"/>
    <col min="2565" max="2565" width="13.33203125" style="2" bestFit="1" customWidth="1"/>
    <col min="2566" max="2569" width="13.33203125" style="2" customWidth="1"/>
    <col min="2570" max="2570" width="15.44140625" style="2" bestFit="1" customWidth="1"/>
    <col min="2571" max="2571" width="4.33203125" style="2" customWidth="1"/>
    <col min="2572" max="2816" width="9.109375" style="2"/>
    <col min="2817" max="2817" width="8.44140625" style="2" customWidth="1"/>
    <col min="2818" max="2818" width="11" style="2" customWidth="1"/>
    <col min="2819" max="2819" width="35.5546875" style="2" customWidth="1"/>
    <col min="2820" max="2820" width="7.33203125" style="2" customWidth="1"/>
    <col min="2821" max="2821" width="13.33203125" style="2" bestFit="1" customWidth="1"/>
    <col min="2822" max="2825" width="13.33203125" style="2" customWidth="1"/>
    <col min="2826" max="2826" width="15.44140625" style="2" bestFit="1" customWidth="1"/>
    <col min="2827" max="2827" width="4.33203125" style="2" customWidth="1"/>
    <col min="2828" max="3072" width="9.109375" style="2"/>
    <col min="3073" max="3073" width="8.44140625" style="2" customWidth="1"/>
    <col min="3074" max="3074" width="11" style="2" customWidth="1"/>
    <col min="3075" max="3075" width="35.5546875" style="2" customWidth="1"/>
    <col min="3076" max="3076" width="7.33203125" style="2" customWidth="1"/>
    <col min="3077" max="3077" width="13.33203125" style="2" bestFit="1" customWidth="1"/>
    <col min="3078" max="3081" width="13.33203125" style="2" customWidth="1"/>
    <col min="3082" max="3082" width="15.44140625" style="2" bestFit="1" customWidth="1"/>
    <col min="3083" max="3083" width="4.33203125" style="2" customWidth="1"/>
    <col min="3084" max="3328" width="9.109375" style="2"/>
    <col min="3329" max="3329" width="8.44140625" style="2" customWidth="1"/>
    <col min="3330" max="3330" width="11" style="2" customWidth="1"/>
    <col min="3331" max="3331" width="35.5546875" style="2" customWidth="1"/>
    <col min="3332" max="3332" width="7.33203125" style="2" customWidth="1"/>
    <col min="3333" max="3333" width="13.33203125" style="2" bestFit="1" customWidth="1"/>
    <col min="3334" max="3337" width="13.33203125" style="2" customWidth="1"/>
    <col min="3338" max="3338" width="15.44140625" style="2" bestFit="1" customWidth="1"/>
    <col min="3339" max="3339" width="4.33203125" style="2" customWidth="1"/>
    <col min="3340" max="3584" width="9.109375" style="2"/>
    <col min="3585" max="3585" width="8.44140625" style="2" customWidth="1"/>
    <col min="3586" max="3586" width="11" style="2" customWidth="1"/>
    <col min="3587" max="3587" width="35.5546875" style="2" customWidth="1"/>
    <col min="3588" max="3588" width="7.33203125" style="2" customWidth="1"/>
    <col min="3589" max="3589" width="13.33203125" style="2" bestFit="1" customWidth="1"/>
    <col min="3590" max="3593" width="13.33203125" style="2" customWidth="1"/>
    <col min="3594" max="3594" width="15.44140625" style="2" bestFit="1" customWidth="1"/>
    <col min="3595" max="3595" width="4.33203125" style="2" customWidth="1"/>
    <col min="3596" max="3840" width="9.109375" style="2"/>
    <col min="3841" max="3841" width="8.44140625" style="2" customWidth="1"/>
    <col min="3842" max="3842" width="11" style="2" customWidth="1"/>
    <col min="3843" max="3843" width="35.5546875" style="2" customWidth="1"/>
    <col min="3844" max="3844" width="7.33203125" style="2" customWidth="1"/>
    <col min="3845" max="3845" width="13.33203125" style="2" bestFit="1" customWidth="1"/>
    <col min="3846" max="3849" width="13.33203125" style="2" customWidth="1"/>
    <col min="3850" max="3850" width="15.44140625" style="2" bestFit="1" customWidth="1"/>
    <col min="3851" max="3851" width="4.33203125" style="2" customWidth="1"/>
    <col min="3852" max="4096" width="9.109375" style="2"/>
    <col min="4097" max="4097" width="8.44140625" style="2" customWidth="1"/>
    <col min="4098" max="4098" width="11" style="2" customWidth="1"/>
    <col min="4099" max="4099" width="35.5546875" style="2" customWidth="1"/>
    <col min="4100" max="4100" width="7.33203125" style="2" customWidth="1"/>
    <col min="4101" max="4101" width="13.33203125" style="2" bestFit="1" customWidth="1"/>
    <col min="4102" max="4105" width="13.33203125" style="2" customWidth="1"/>
    <col min="4106" max="4106" width="15.44140625" style="2" bestFit="1" customWidth="1"/>
    <col min="4107" max="4107" width="4.33203125" style="2" customWidth="1"/>
    <col min="4108" max="4352" width="9.109375" style="2"/>
    <col min="4353" max="4353" width="8.44140625" style="2" customWidth="1"/>
    <col min="4354" max="4354" width="11" style="2" customWidth="1"/>
    <col min="4355" max="4355" width="35.5546875" style="2" customWidth="1"/>
    <col min="4356" max="4356" width="7.33203125" style="2" customWidth="1"/>
    <col min="4357" max="4357" width="13.33203125" style="2" bestFit="1" customWidth="1"/>
    <col min="4358" max="4361" width="13.33203125" style="2" customWidth="1"/>
    <col min="4362" max="4362" width="15.44140625" style="2" bestFit="1" customWidth="1"/>
    <col min="4363" max="4363" width="4.33203125" style="2" customWidth="1"/>
    <col min="4364" max="4608" width="9.109375" style="2"/>
    <col min="4609" max="4609" width="8.44140625" style="2" customWidth="1"/>
    <col min="4610" max="4610" width="11" style="2" customWidth="1"/>
    <col min="4611" max="4611" width="35.5546875" style="2" customWidth="1"/>
    <col min="4612" max="4612" width="7.33203125" style="2" customWidth="1"/>
    <col min="4613" max="4613" width="13.33203125" style="2" bestFit="1" customWidth="1"/>
    <col min="4614" max="4617" width="13.33203125" style="2" customWidth="1"/>
    <col min="4618" max="4618" width="15.44140625" style="2" bestFit="1" customWidth="1"/>
    <col min="4619" max="4619" width="4.33203125" style="2" customWidth="1"/>
    <col min="4620" max="4864" width="9.109375" style="2"/>
    <col min="4865" max="4865" width="8.44140625" style="2" customWidth="1"/>
    <col min="4866" max="4866" width="11" style="2" customWidth="1"/>
    <col min="4867" max="4867" width="35.5546875" style="2" customWidth="1"/>
    <col min="4868" max="4868" width="7.33203125" style="2" customWidth="1"/>
    <col min="4869" max="4869" width="13.33203125" style="2" bestFit="1" customWidth="1"/>
    <col min="4870" max="4873" width="13.33203125" style="2" customWidth="1"/>
    <col min="4874" max="4874" width="15.44140625" style="2" bestFit="1" customWidth="1"/>
    <col min="4875" max="4875" width="4.33203125" style="2" customWidth="1"/>
    <col min="4876" max="5120" width="9.109375" style="2"/>
    <col min="5121" max="5121" width="8.44140625" style="2" customWidth="1"/>
    <col min="5122" max="5122" width="11" style="2" customWidth="1"/>
    <col min="5123" max="5123" width="35.5546875" style="2" customWidth="1"/>
    <col min="5124" max="5124" width="7.33203125" style="2" customWidth="1"/>
    <col min="5125" max="5125" width="13.33203125" style="2" bestFit="1" customWidth="1"/>
    <col min="5126" max="5129" width="13.33203125" style="2" customWidth="1"/>
    <col min="5130" max="5130" width="15.44140625" style="2" bestFit="1" customWidth="1"/>
    <col min="5131" max="5131" width="4.33203125" style="2" customWidth="1"/>
    <col min="5132" max="5376" width="9.109375" style="2"/>
    <col min="5377" max="5377" width="8.44140625" style="2" customWidth="1"/>
    <col min="5378" max="5378" width="11" style="2" customWidth="1"/>
    <col min="5379" max="5379" width="35.5546875" style="2" customWidth="1"/>
    <col min="5380" max="5380" width="7.33203125" style="2" customWidth="1"/>
    <col min="5381" max="5381" width="13.33203125" style="2" bestFit="1" customWidth="1"/>
    <col min="5382" max="5385" width="13.33203125" style="2" customWidth="1"/>
    <col min="5386" max="5386" width="15.44140625" style="2" bestFit="1" customWidth="1"/>
    <col min="5387" max="5387" width="4.33203125" style="2" customWidth="1"/>
    <col min="5388" max="5632" width="9.109375" style="2"/>
    <col min="5633" max="5633" width="8.44140625" style="2" customWidth="1"/>
    <col min="5634" max="5634" width="11" style="2" customWidth="1"/>
    <col min="5635" max="5635" width="35.5546875" style="2" customWidth="1"/>
    <col min="5636" max="5636" width="7.33203125" style="2" customWidth="1"/>
    <col min="5637" max="5637" width="13.33203125" style="2" bestFit="1" customWidth="1"/>
    <col min="5638" max="5641" width="13.33203125" style="2" customWidth="1"/>
    <col min="5642" max="5642" width="15.44140625" style="2" bestFit="1" customWidth="1"/>
    <col min="5643" max="5643" width="4.33203125" style="2" customWidth="1"/>
    <col min="5644" max="5888" width="9.109375" style="2"/>
    <col min="5889" max="5889" width="8.44140625" style="2" customWidth="1"/>
    <col min="5890" max="5890" width="11" style="2" customWidth="1"/>
    <col min="5891" max="5891" width="35.5546875" style="2" customWidth="1"/>
    <col min="5892" max="5892" width="7.33203125" style="2" customWidth="1"/>
    <col min="5893" max="5893" width="13.33203125" style="2" bestFit="1" customWidth="1"/>
    <col min="5894" max="5897" width="13.33203125" style="2" customWidth="1"/>
    <col min="5898" max="5898" width="15.44140625" style="2" bestFit="1" customWidth="1"/>
    <col min="5899" max="5899" width="4.33203125" style="2" customWidth="1"/>
    <col min="5900" max="6144" width="9.109375" style="2"/>
    <col min="6145" max="6145" width="8.44140625" style="2" customWidth="1"/>
    <col min="6146" max="6146" width="11" style="2" customWidth="1"/>
    <col min="6147" max="6147" width="35.5546875" style="2" customWidth="1"/>
    <col min="6148" max="6148" width="7.33203125" style="2" customWidth="1"/>
    <col min="6149" max="6149" width="13.33203125" style="2" bestFit="1" customWidth="1"/>
    <col min="6150" max="6153" width="13.33203125" style="2" customWidth="1"/>
    <col min="6154" max="6154" width="15.44140625" style="2" bestFit="1" customWidth="1"/>
    <col min="6155" max="6155" width="4.33203125" style="2" customWidth="1"/>
    <col min="6156" max="6400" width="9.109375" style="2"/>
    <col min="6401" max="6401" width="8.44140625" style="2" customWidth="1"/>
    <col min="6402" max="6402" width="11" style="2" customWidth="1"/>
    <col min="6403" max="6403" width="35.5546875" style="2" customWidth="1"/>
    <col min="6404" max="6404" width="7.33203125" style="2" customWidth="1"/>
    <col min="6405" max="6405" width="13.33203125" style="2" bestFit="1" customWidth="1"/>
    <col min="6406" max="6409" width="13.33203125" style="2" customWidth="1"/>
    <col min="6410" max="6410" width="15.44140625" style="2" bestFit="1" customWidth="1"/>
    <col min="6411" max="6411" width="4.33203125" style="2" customWidth="1"/>
    <col min="6412" max="6656" width="9.109375" style="2"/>
    <col min="6657" max="6657" width="8.44140625" style="2" customWidth="1"/>
    <col min="6658" max="6658" width="11" style="2" customWidth="1"/>
    <col min="6659" max="6659" width="35.5546875" style="2" customWidth="1"/>
    <col min="6660" max="6660" width="7.33203125" style="2" customWidth="1"/>
    <col min="6661" max="6661" width="13.33203125" style="2" bestFit="1" customWidth="1"/>
    <col min="6662" max="6665" width="13.33203125" style="2" customWidth="1"/>
    <col min="6666" max="6666" width="15.44140625" style="2" bestFit="1" customWidth="1"/>
    <col min="6667" max="6667" width="4.33203125" style="2" customWidth="1"/>
    <col min="6668" max="6912" width="9.109375" style="2"/>
    <col min="6913" max="6913" width="8.44140625" style="2" customWidth="1"/>
    <col min="6914" max="6914" width="11" style="2" customWidth="1"/>
    <col min="6915" max="6915" width="35.5546875" style="2" customWidth="1"/>
    <col min="6916" max="6916" width="7.33203125" style="2" customWidth="1"/>
    <col min="6917" max="6917" width="13.33203125" style="2" bestFit="1" customWidth="1"/>
    <col min="6918" max="6921" width="13.33203125" style="2" customWidth="1"/>
    <col min="6922" max="6922" width="15.44140625" style="2" bestFit="1" customWidth="1"/>
    <col min="6923" max="6923" width="4.33203125" style="2" customWidth="1"/>
    <col min="6924" max="7168" width="9.109375" style="2"/>
    <col min="7169" max="7169" width="8.44140625" style="2" customWidth="1"/>
    <col min="7170" max="7170" width="11" style="2" customWidth="1"/>
    <col min="7171" max="7171" width="35.5546875" style="2" customWidth="1"/>
    <col min="7172" max="7172" width="7.33203125" style="2" customWidth="1"/>
    <col min="7173" max="7173" width="13.33203125" style="2" bestFit="1" customWidth="1"/>
    <col min="7174" max="7177" width="13.33203125" style="2" customWidth="1"/>
    <col min="7178" max="7178" width="15.44140625" style="2" bestFit="1" customWidth="1"/>
    <col min="7179" max="7179" width="4.33203125" style="2" customWidth="1"/>
    <col min="7180" max="7424" width="9.109375" style="2"/>
    <col min="7425" max="7425" width="8.44140625" style="2" customWidth="1"/>
    <col min="7426" max="7426" width="11" style="2" customWidth="1"/>
    <col min="7427" max="7427" width="35.5546875" style="2" customWidth="1"/>
    <col min="7428" max="7428" width="7.33203125" style="2" customWidth="1"/>
    <col min="7429" max="7429" width="13.33203125" style="2" bestFit="1" customWidth="1"/>
    <col min="7430" max="7433" width="13.33203125" style="2" customWidth="1"/>
    <col min="7434" max="7434" width="15.44140625" style="2" bestFit="1" customWidth="1"/>
    <col min="7435" max="7435" width="4.33203125" style="2" customWidth="1"/>
    <col min="7436" max="7680" width="9.109375" style="2"/>
    <col min="7681" max="7681" width="8.44140625" style="2" customWidth="1"/>
    <col min="7682" max="7682" width="11" style="2" customWidth="1"/>
    <col min="7683" max="7683" width="35.5546875" style="2" customWidth="1"/>
    <col min="7684" max="7684" width="7.33203125" style="2" customWidth="1"/>
    <col min="7685" max="7685" width="13.33203125" style="2" bestFit="1" customWidth="1"/>
    <col min="7686" max="7689" width="13.33203125" style="2" customWidth="1"/>
    <col min="7690" max="7690" width="15.44140625" style="2" bestFit="1" customWidth="1"/>
    <col min="7691" max="7691" width="4.33203125" style="2" customWidth="1"/>
    <col min="7692" max="7936" width="9.109375" style="2"/>
    <col min="7937" max="7937" width="8.44140625" style="2" customWidth="1"/>
    <col min="7938" max="7938" width="11" style="2" customWidth="1"/>
    <col min="7939" max="7939" width="35.5546875" style="2" customWidth="1"/>
    <col min="7940" max="7940" width="7.33203125" style="2" customWidth="1"/>
    <col min="7941" max="7941" width="13.33203125" style="2" bestFit="1" customWidth="1"/>
    <col min="7942" max="7945" width="13.33203125" style="2" customWidth="1"/>
    <col min="7946" max="7946" width="15.44140625" style="2" bestFit="1" customWidth="1"/>
    <col min="7947" max="7947" width="4.33203125" style="2" customWidth="1"/>
    <col min="7948" max="8192" width="9.109375" style="2"/>
    <col min="8193" max="8193" width="8.44140625" style="2" customWidth="1"/>
    <col min="8194" max="8194" width="11" style="2" customWidth="1"/>
    <col min="8195" max="8195" width="35.5546875" style="2" customWidth="1"/>
    <col min="8196" max="8196" width="7.33203125" style="2" customWidth="1"/>
    <col min="8197" max="8197" width="13.33203125" style="2" bestFit="1" customWidth="1"/>
    <col min="8198" max="8201" width="13.33203125" style="2" customWidth="1"/>
    <col min="8202" max="8202" width="15.44140625" style="2" bestFit="1" customWidth="1"/>
    <col min="8203" max="8203" width="4.33203125" style="2" customWidth="1"/>
    <col min="8204" max="8448" width="9.109375" style="2"/>
    <col min="8449" max="8449" width="8.44140625" style="2" customWidth="1"/>
    <col min="8450" max="8450" width="11" style="2" customWidth="1"/>
    <col min="8451" max="8451" width="35.5546875" style="2" customWidth="1"/>
    <col min="8452" max="8452" width="7.33203125" style="2" customWidth="1"/>
    <col min="8453" max="8453" width="13.33203125" style="2" bestFit="1" customWidth="1"/>
    <col min="8454" max="8457" width="13.33203125" style="2" customWidth="1"/>
    <col min="8458" max="8458" width="15.44140625" style="2" bestFit="1" customWidth="1"/>
    <col min="8459" max="8459" width="4.33203125" style="2" customWidth="1"/>
    <col min="8460" max="8704" width="9.109375" style="2"/>
    <col min="8705" max="8705" width="8.44140625" style="2" customWidth="1"/>
    <col min="8706" max="8706" width="11" style="2" customWidth="1"/>
    <col min="8707" max="8707" width="35.5546875" style="2" customWidth="1"/>
    <col min="8708" max="8708" width="7.33203125" style="2" customWidth="1"/>
    <col min="8709" max="8709" width="13.33203125" style="2" bestFit="1" customWidth="1"/>
    <col min="8710" max="8713" width="13.33203125" style="2" customWidth="1"/>
    <col min="8714" max="8714" width="15.44140625" style="2" bestFit="1" customWidth="1"/>
    <col min="8715" max="8715" width="4.33203125" style="2" customWidth="1"/>
    <col min="8716" max="8960" width="9.109375" style="2"/>
    <col min="8961" max="8961" width="8.44140625" style="2" customWidth="1"/>
    <col min="8962" max="8962" width="11" style="2" customWidth="1"/>
    <col min="8963" max="8963" width="35.5546875" style="2" customWidth="1"/>
    <col min="8964" max="8964" width="7.33203125" style="2" customWidth="1"/>
    <col min="8965" max="8965" width="13.33203125" style="2" bestFit="1" customWidth="1"/>
    <col min="8966" max="8969" width="13.33203125" style="2" customWidth="1"/>
    <col min="8970" max="8970" width="15.44140625" style="2" bestFit="1" customWidth="1"/>
    <col min="8971" max="8971" width="4.33203125" style="2" customWidth="1"/>
    <col min="8972" max="9216" width="9.109375" style="2"/>
    <col min="9217" max="9217" width="8.44140625" style="2" customWidth="1"/>
    <col min="9218" max="9218" width="11" style="2" customWidth="1"/>
    <col min="9219" max="9219" width="35.5546875" style="2" customWidth="1"/>
    <col min="9220" max="9220" width="7.33203125" style="2" customWidth="1"/>
    <col min="9221" max="9221" width="13.33203125" style="2" bestFit="1" customWidth="1"/>
    <col min="9222" max="9225" width="13.33203125" style="2" customWidth="1"/>
    <col min="9226" max="9226" width="15.44140625" style="2" bestFit="1" customWidth="1"/>
    <col min="9227" max="9227" width="4.33203125" style="2" customWidth="1"/>
    <col min="9228" max="9472" width="9.109375" style="2"/>
    <col min="9473" max="9473" width="8.44140625" style="2" customWidth="1"/>
    <col min="9474" max="9474" width="11" style="2" customWidth="1"/>
    <col min="9475" max="9475" width="35.5546875" style="2" customWidth="1"/>
    <col min="9476" max="9476" width="7.33203125" style="2" customWidth="1"/>
    <col min="9477" max="9477" width="13.33203125" style="2" bestFit="1" customWidth="1"/>
    <col min="9478" max="9481" width="13.33203125" style="2" customWidth="1"/>
    <col min="9482" max="9482" width="15.44140625" style="2" bestFit="1" customWidth="1"/>
    <col min="9483" max="9483" width="4.33203125" style="2" customWidth="1"/>
    <col min="9484" max="9728" width="9.109375" style="2"/>
    <col min="9729" max="9729" width="8.44140625" style="2" customWidth="1"/>
    <col min="9730" max="9730" width="11" style="2" customWidth="1"/>
    <col min="9731" max="9731" width="35.5546875" style="2" customWidth="1"/>
    <col min="9732" max="9732" width="7.33203125" style="2" customWidth="1"/>
    <col min="9733" max="9733" width="13.33203125" style="2" bestFit="1" customWidth="1"/>
    <col min="9734" max="9737" width="13.33203125" style="2" customWidth="1"/>
    <col min="9738" max="9738" width="15.44140625" style="2" bestFit="1" customWidth="1"/>
    <col min="9739" max="9739" width="4.33203125" style="2" customWidth="1"/>
    <col min="9740" max="9984" width="9.109375" style="2"/>
    <col min="9985" max="9985" width="8.44140625" style="2" customWidth="1"/>
    <col min="9986" max="9986" width="11" style="2" customWidth="1"/>
    <col min="9987" max="9987" width="35.5546875" style="2" customWidth="1"/>
    <col min="9988" max="9988" width="7.33203125" style="2" customWidth="1"/>
    <col min="9989" max="9989" width="13.33203125" style="2" bestFit="1" customWidth="1"/>
    <col min="9990" max="9993" width="13.33203125" style="2" customWidth="1"/>
    <col min="9994" max="9994" width="15.44140625" style="2" bestFit="1" customWidth="1"/>
    <col min="9995" max="9995" width="4.33203125" style="2" customWidth="1"/>
    <col min="9996" max="10240" width="9.109375" style="2"/>
    <col min="10241" max="10241" width="8.44140625" style="2" customWidth="1"/>
    <col min="10242" max="10242" width="11" style="2" customWidth="1"/>
    <col min="10243" max="10243" width="35.5546875" style="2" customWidth="1"/>
    <col min="10244" max="10244" width="7.33203125" style="2" customWidth="1"/>
    <col min="10245" max="10245" width="13.33203125" style="2" bestFit="1" customWidth="1"/>
    <col min="10246" max="10249" width="13.33203125" style="2" customWidth="1"/>
    <col min="10250" max="10250" width="15.44140625" style="2" bestFit="1" customWidth="1"/>
    <col min="10251" max="10251" width="4.33203125" style="2" customWidth="1"/>
    <col min="10252" max="10496" width="9.109375" style="2"/>
    <col min="10497" max="10497" width="8.44140625" style="2" customWidth="1"/>
    <col min="10498" max="10498" width="11" style="2" customWidth="1"/>
    <col min="10499" max="10499" width="35.5546875" style="2" customWidth="1"/>
    <col min="10500" max="10500" width="7.33203125" style="2" customWidth="1"/>
    <col min="10501" max="10501" width="13.33203125" style="2" bestFit="1" customWidth="1"/>
    <col min="10502" max="10505" width="13.33203125" style="2" customWidth="1"/>
    <col min="10506" max="10506" width="15.44140625" style="2" bestFit="1" customWidth="1"/>
    <col min="10507" max="10507" width="4.33203125" style="2" customWidth="1"/>
    <col min="10508" max="10752" width="9.109375" style="2"/>
    <col min="10753" max="10753" width="8.44140625" style="2" customWidth="1"/>
    <col min="10754" max="10754" width="11" style="2" customWidth="1"/>
    <col min="10755" max="10755" width="35.5546875" style="2" customWidth="1"/>
    <col min="10756" max="10756" width="7.33203125" style="2" customWidth="1"/>
    <col min="10757" max="10757" width="13.33203125" style="2" bestFit="1" customWidth="1"/>
    <col min="10758" max="10761" width="13.33203125" style="2" customWidth="1"/>
    <col min="10762" max="10762" width="15.44140625" style="2" bestFit="1" customWidth="1"/>
    <col min="10763" max="10763" width="4.33203125" style="2" customWidth="1"/>
    <col min="10764" max="11008" width="9.109375" style="2"/>
    <col min="11009" max="11009" width="8.44140625" style="2" customWidth="1"/>
    <col min="11010" max="11010" width="11" style="2" customWidth="1"/>
    <col min="11011" max="11011" width="35.5546875" style="2" customWidth="1"/>
    <col min="11012" max="11012" width="7.33203125" style="2" customWidth="1"/>
    <col min="11013" max="11013" width="13.33203125" style="2" bestFit="1" customWidth="1"/>
    <col min="11014" max="11017" width="13.33203125" style="2" customWidth="1"/>
    <col min="11018" max="11018" width="15.44140625" style="2" bestFit="1" customWidth="1"/>
    <col min="11019" max="11019" width="4.33203125" style="2" customWidth="1"/>
    <col min="11020" max="11264" width="9.109375" style="2"/>
    <col min="11265" max="11265" width="8.44140625" style="2" customWidth="1"/>
    <col min="11266" max="11266" width="11" style="2" customWidth="1"/>
    <col min="11267" max="11267" width="35.5546875" style="2" customWidth="1"/>
    <col min="11268" max="11268" width="7.33203125" style="2" customWidth="1"/>
    <col min="11269" max="11269" width="13.33203125" style="2" bestFit="1" customWidth="1"/>
    <col min="11270" max="11273" width="13.33203125" style="2" customWidth="1"/>
    <col min="11274" max="11274" width="15.44140625" style="2" bestFit="1" customWidth="1"/>
    <col min="11275" max="11275" width="4.33203125" style="2" customWidth="1"/>
    <col min="11276" max="11520" width="9.109375" style="2"/>
    <col min="11521" max="11521" width="8.44140625" style="2" customWidth="1"/>
    <col min="11522" max="11522" width="11" style="2" customWidth="1"/>
    <col min="11523" max="11523" width="35.5546875" style="2" customWidth="1"/>
    <col min="11524" max="11524" width="7.33203125" style="2" customWidth="1"/>
    <col min="11525" max="11525" width="13.33203125" style="2" bestFit="1" customWidth="1"/>
    <col min="11526" max="11529" width="13.33203125" style="2" customWidth="1"/>
    <col min="11530" max="11530" width="15.44140625" style="2" bestFit="1" customWidth="1"/>
    <col min="11531" max="11531" width="4.33203125" style="2" customWidth="1"/>
    <col min="11532" max="11776" width="9.109375" style="2"/>
    <col min="11777" max="11777" width="8.44140625" style="2" customWidth="1"/>
    <col min="11778" max="11778" width="11" style="2" customWidth="1"/>
    <col min="11779" max="11779" width="35.5546875" style="2" customWidth="1"/>
    <col min="11780" max="11780" width="7.33203125" style="2" customWidth="1"/>
    <col min="11781" max="11781" width="13.33203125" style="2" bestFit="1" customWidth="1"/>
    <col min="11782" max="11785" width="13.33203125" style="2" customWidth="1"/>
    <col min="11786" max="11786" width="15.44140625" style="2" bestFit="1" customWidth="1"/>
    <col min="11787" max="11787" width="4.33203125" style="2" customWidth="1"/>
    <col min="11788" max="12032" width="9.109375" style="2"/>
    <col min="12033" max="12033" width="8.44140625" style="2" customWidth="1"/>
    <col min="12034" max="12034" width="11" style="2" customWidth="1"/>
    <col min="12035" max="12035" width="35.5546875" style="2" customWidth="1"/>
    <col min="12036" max="12036" width="7.33203125" style="2" customWidth="1"/>
    <col min="12037" max="12037" width="13.33203125" style="2" bestFit="1" customWidth="1"/>
    <col min="12038" max="12041" width="13.33203125" style="2" customWidth="1"/>
    <col min="12042" max="12042" width="15.44140625" style="2" bestFit="1" customWidth="1"/>
    <col min="12043" max="12043" width="4.33203125" style="2" customWidth="1"/>
    <col min="12044" max="12288" width="9.109375" style="2"/>
    <col min="12289" max="12289" width="8.44140625" style="2" customWidth="1"/>
    <col min="12290" max="12290" width="11" style="2" customWidth="1"/>
    <col min="12291" max="12291" width="35.5546875" style="2" customWidth="1"/>
    <col min="12292" max="12292" width="7.33203125" style="2" customWidth="1"/>
    <col min="12293" max="12293" width="13.33203125" style="2" bestFit="1" customWidth="1"/>
    <col min="12294" max="12297" width="13.33203125" style="2" customWidth="1"/>
    <col min="12298" max="12298" width="15.44140625" style="2" bestFit="1" customWidth="1"/>
    <col min="12299" max="12299" width="4.33203125" style="2" customWidth="1"/>
    <col min="12300" max="12544" width="9.109375" style="2"/>
    <col min="12545" max="12545" width="8.44140625" style="2" customWidth="1"/>
    <col min="12546" max="12546" width="11" style="2" customWidth="1"/>
    <col min="12547" max="12547" width="35.5546875" style="2" customWidth="1"/>
    <col min="12548" max="12548" width="7.33203125" style="2" customWidth="1"/>
    <col min="12549" max="12549" width="13.33203125" style="2" bestFit="1" customWidth="1"/>
    <col min="12550" max="12553" width="13.33203125" style="2" customWidth="1"/>
    <col min="12554" max="12554" width="15.44140625" style="2" bestFit="1" customWidth="1"/>
    <col min="12555" max="12555" width="4.33203125" style="2" customWidth="1"/>
    <col min="12556" max="12800" width="9.109375" style="2"/>
    <col min="12801" max="12801" width="8.44140625" style="2" customWidth="1"/>
    <col min="12802" max="12802" width="11" style="2" customWidth="1"/>
    <col min="12803" max="12803" width="35.5546875" style="2" customWidth="1"/>
    <col min="12804" max="12804" width="7.33203125" style="2" customWidth="1"/>
    <col min="12805" max="12805" width="13.33203125" style="2" bestFit="1" customWidth="1"/>
    <col min="12806" max="12809" width="13.33203125" style="2" customWidth="1"/>
    <col min="12810" max="12810" width="15.44140625" style="2" bestFit="1" customWidth="1"/>
    <col min="12811" max="12811" width="4.33203125" style="2" customWidth="1"/>
    <col min="12812" max="13056" width="9.109375" style="2"/>
    <col min="13057" max="13057" width="8.44140625" style="2" customWidth="1"/>
    <col min="13058" max="13058" width="11" style="2" customWidth="1"/>
    <col min="13059" max="13059" width="35.5546875" style="2" customWidth="1"/>
    <col min="13060" max="13060" width="7.33203125" style="2" customWidth="1"/>
    <col min="13061" max="13061" width="13.33203125" style="2" bestFit="1" customWidth="1"/>
    <col min="13062" max="13065" width="13.33203125" style="2" customWidth="1"/>
    <col min="13066" max="13066" width="15.44140625" style="2" bestFit="1" customWidth="1"/>
    <col min="13067" max="13067" width="4.33203125" style="2" customWidth="1"/>
    <col min="13068" max="13312" width="9.109375" style="2"/>
    <col min="13313" max="13313" width="8.44140625" style="2" customWidth="1"/>
    <col min="13314" max="13314" width="11" style="2" customWidth="1"/>
    <col min="13315" max="13315" width="35.5546875" style="2" customWidth="1"/>
    <col min="13316" max="13316" width="7.33203125" style="2" customWidth="1"/>
    <col min="13317" max="13317" width="13.33203125" style="2" bestFit="1" customWidth="1"/>
    <col min="13318" max="13321" width="13.33203125" style="2" customWidth="1"/>
    <col min="13322" max="13322" width="15.44140625" style="2" bestFit="1" customWidth="1"/>
    <col min="13323" max="13323" width="4.33203125" style="2" customWidth="1"/>
    <col min="13324" max="13568" width="9.109375" style="2"/>
    <col min="13569" max="13569" width="8.44140625" style="2" customWidth="1"/>
    <col min="13570" max="13570" width="11" style="2" customWidth="1"/>
    <col min="13571" max="13571" width="35.5546875" style="2" customWidth="1"/>
    <col min="13572" max="13572" width="7.33203125" style="2" customWidth="1"/>
    <col min="13573" max="13573" width="13.33203125" style="2" bestFit="1" customWidth="1"/>
    <col min="13574" max="13577" width="13.33203125" style="2" customWidth="1"/>
    <col min="13578" max="13578" width="15.44140625" style="2" bestFit="1" customWidth="1"/>
    <col min="13579" max="13579" width="4.33203125" style="2" customWidth="1"/>
    <col min="13580" max="13824" width="9.109375" style="2"/>
    <col min="13825" max="13825" width="8.44140625" style="2" customWidth="1"/>
    <col min="13826" max="13826" width="11" style="2" customWidth="1"/>
    <col min="13827" max="13827" width="35.5546875" style="2" customWidth="1"/>
    <col min="13828" max="13828" width="7.33203125" style="2" customWidth="1"/>
    <col min="13829" max="13829" width="13.33203125" style="2" bestFit="1" customWidth="1"/>
    <col min="13830" max="13833" width="13.33203125" style="2" customWidth="1"/>
    <col min="13834" max="13834" width="15.44140625" style="2" bestFit="1" customWidth="1"/>
    <col min="13835" max="13835" width="4.33203125" style="2" customWidth="1"/>
    <col min="13836" max="14080" width="9.109375" style="2"/>
    <col min="14081" max="14081" width="8.44140625" style="2" customWidth="1"/>
    <col min="14082" max="14082" width="11" style="2" customWidth="1"/>
    <col min="14083" max="14083" width="35.5546875" style="2" customWidth="1"/>
    <col min="14084" max="14084" width="7.33203125" style="2" customWidth="1"/>
    <col min="14085" max="14085" width="13.33203125" style="2" bestFit="1" customWidth="1"/>
    <col min="14086" max="14089" width="13.33203125" style="2" customWidth="1"/>
    <col min="14090" max="14090" width="15.44140625" style="2" bestFit="1" customWidth="1"/>
    <col min="14091" max="14091" width="4.33203125" style="2" customWidth="1"/>
    <col min="14092" max="14336" width="9.109375" style="2"/>
    <col min="14337" max="14337" width="8.44140625" style="2" customWidth="1"/>
    <col min="14338" max="14338" width="11" style="2" customWidth="1"/>
    <col min="14339" max="14339" width="35.5546875" style="2" customWidth="1"/>
    <col min="14340" max="14340" width="7.33203125" style="2" customWidth="1"/>
    <col min="14341" max="14341" width="13.33203125" style="2" bestFit="1" customWidth="1"/>
    <col min="14342" max="14345" width="13.33203125" style="2" customWidth="1"/>
    <col min="14346" max="14346" width="15.44140625" style="2" bestFit="1" customWidth="1"/>
    <col min="14347" max="14347" width="4.33203125" style="2" customWidth="1"/>
    <col min="14348" max="14592" width="9.109375" style="2"/>
    <col min="14593" max="14593" width="8.44140625" style="2" customWidth="1"/>
    <col min="14594" max="14594" width="11" style="2" customWidth="1"/>
    <col min="14595" max="14595" width="35.5546875" style="2" customWidth="1"/>
    <col min="14596" max="14596" width="7.33203125" style="2" customWidth="1"/>
    <col min="14597" max="14597" width="13.33203125" style="2" bestFit="1" customWidth="1"/>
    <col min="14598" max="14601" width="13.33203125" style="2" customWidth="1"/>
    <col min="14602" max="14602" width="15.44140625" style="2" bestFit="1" customWidth="1"/>
    <col min="14603" max="14603" width="4.33203125" style="2" customWidth="1"/>
    <col min="14604" max="14848" width="9.109375" style="2"/>
    <col min="14849" max="14849" width="8.44140625" style="2" customWidth="1"/>
    <col min="14850" max="14850" width="11" style="2" customWidth="1"/>
    <col min="14851" max="14851" width="35.5546875" style="2" customWidth="1"/>
    <col min="14852" max="14852" width="7.33203125" style="2" customWidth="1"/>
    <col min="14853" max="14853" width="13.33203125" style="2" bestFit="1" customWidth="1"/>
    <col min="14854" max="14857" width="13.33203125" style="2" customWidth="1"/>
    <col min="14858" max="14858" width="15.44140625" style="2" bestFit="1" customWidth="1"/>
    <col min="14859" max="14859" width="4.33203125" style="2" customWidth="1"/>
    <col min="14860" max="15104" width="9.109375" style="2"/>
    <col min="15105" max="15105" width="8.44140625" style="2" customWidth="1"/>
    <col min="15106" max="15106" width="11" style="2" customWidth="1"/>
    <col min="15107" max="15107" width="35.5546875" style="2" customWidth="1"/>
    <col min="15108" max="15108" width="7.33203125" style="2" customWidth="1"/>
    <col min="15109" max="15109" width="13.33203125" style="2" bestFit="1" customWidth="1"/>
    <col min="15110" max="15113" width="13.33203125" style="2" customWidth="1"/>
    <col min="15114" max="15114" width="15.44140625" style="2" bestFit="1" customWidth="1"/>
    <col min="15115" max="15115" width="4.33203125" style="2" customWidth="1"/>
    <col min="15116" max="15360" width="9.109375" style="2"/>
    <col min="15361" max="15361" width="8.44140625" style="2" customWidth="1"/>
    <col min="15362" max="15362" width="11" style="2" customWidth="1"/>
    <col min="15363" max="15363" width="35.5546875" style="2" customWidth="1"/>
    <col min="15364" max="15364" width="7.33203125" style="2" customWidth="1"/>
    <col min="15365" max="15365" width="13.33203125" style="2" bestFit="1" customWidth="1"/>
    <col min="15366" max="15369" width="13.33203125" style="2" customWidth="1"/>
    <col min="15370" max="15370" width="15.44140625" style="2" bestFit="1" customWidth="1"/>
    <col min="15371" max="15371" width="4.33203125" style="2" customWidth="1"/>
    <col min="15372" max="15616" width="9.109375" style="2"/>
    <col min="15617" max="15617" width="8.44140625" style="2" customWidth="1"/>
    <col min="15618" max="15618" width="11" style="2" customWidth="1"/>
    <col min="15619" max="15619" width="35.5546875" style="2" customWidth="1"/>
    <col min="15620" max="15620" width="7.33203125" style="2" customWidth="1"/>
    <col min="15621" max="15621" width="13.33203125" style="2" bestFit="1" customWidth="1"/>
    <col min="15622" max="15625" width="13.33203125" style="2" customWidth="1"/>
    <col min="15626" max="15626" width="15.44140625" style="2" bestFit="1" customWidth="1"/>
    <col min="15627" max="15627" width="4.33203125" style="2" customWidth="1"/>
    <col min="15628" max="15872" width="9.109375" style="2"/>
    <col min="15873" max="15873" width="8.44140625" style="2" customWidth="1"/>
    <col min="15874" max="15874" width="11" style="2" customWidth="1"/>
    <col min="15875" max="15875" width="35.5546875" style="2" customWidth="1"/>
    <col min="15876" max="15876" width="7.33203125" style="2" customWidth="1"/>
    <col min="15877" max="15877" width="13.33203125" style="2" bestFit="1" customWidth="1"/>
    <col min="15878" max="15881" width="13.33203125" style="2" customWidth="1"/>
    <col min="15882" max="15882" width="15.44140625" style="2" bestFit="1" customWidth="1"/>
    <col min="15883" max="15883" width="4.33203125" style="2" customWidth="1"/>
    <col min="15884" max="16128" width="9.109375" style="2"/>
    <col min="16129" max="16129" width="8.44140625" style="2" customWidth="1"/>
    <col min="16130" max="16130" width="11" style="2" customWidth="1"/>
    <col min="16131" max="16131" width="35.5546875" style="2" customWidth="1"/>
    <col min="16132" max="16132" width="7.33203125" style="2" customWidth="1"/>
    <col min="16133" max="16133" width="13.33203125" style="2" bestFit="1" customWidth="1"/>
    <col min="16134" max="16137" width="13.33203125" style="2" customWidth="1"/>
    <col min="16138" max="16138" width="15.44140625" style="2" bestFit="1" customWidth="1"/>
    <col min="16139" max="16139" width="4.33203125" style="2" customWidth="1"/>
    <col min="16140" max="16384" width="9.109375" style="2"/>
  </cols>
  <sheetData>
    <row r="1" spans="1:11" ht="15.6">
      <c r="I1" s="154"/>
      <c r="J1" s="155" t="s">
        <v>192</v>
      </c>
    </row>
    <row r="2" spans="1:11" ht="8.25" customHeight="1">
      <c r="A2" s="1133"/>
      <c r="B2" s="1134"/>
      <c r="C2" s="1134"/>
      <c r="D2" s="1134"/>
      <c r="E2" s="1134"/>
      <c r="F2" s="1134"/>
      <c r="G2" s="1134"/>
      <c r="H2" s="1134"/>
      <c r="I2" s="1134"/>
      <c r="J2" s="1134"/>
    </row>
    <row r="3" spans="1:11" ht="15.75" customHeight="1">
      <c r="A3" s="1135" t="str">
        <f>'Pg 1 Payment'!C3</f>
        <v>GP2026/001/68120/2004</v>
      </c>
      <c r="B3" s="1136"/>
      <c r="C3" s="1136"/>
      <c r="D3" s="89"/>
      <c r="E3" s="489">
        <f>'F1  Cover'!L8</f>
        <v>46006</v>
      </c>
      <c r="F3" s="156"/>
      <c r="G3" s="1137" t="s">
        <v>193</v>
      </c>
      <c r="H3" s="1137"/>
      <c r="I3" s="1122">
        <f>'F1  Cover'!K8</f>
        <v>1</v>
      </c>
      <c r="J3" s="1138"/>
    </row>
    <row r="4" spans="1:11" ht="15.75" customHeight="1" thickBot="1">
      <c r="A4" s="1139"/>
      <c r="B4" s="1140"/>
      <c r="C4" s="1140"/>
      <c r="D4" s="1140"/>
      <c r="E4" s="1140"/>
      <c r="F4" s="1140"/>
      <c r="G4" s="1140"/>
      <c r="H4" s="1140"/>
      <c r="I4" s="1140"/>
      <c r="J4" s="1140"/>
      <c r="K4" s="157"/>
    </row>
    <row r="5" spans="1:11" ht="15.75" customHeight="1">
      <c r="A5" s="158"/>
      <c r="B5" s="159"/>
      <c r="C5" s="159"/>
      <c r="D5" s="159"/>
      <c r="E5" s="159"/>
      <c r="F5" s="159"/>
      <c r="G5" s="159"/>
      <c r="H5" s="159"/>
      <c r="I5" s="159"/>
      <c r="J5" s="160"/>
      <c r="K5" s="157"/>
    </row>
    <row r="6" spans="1:11" ht="15.75" customHeight="1">
      <c r="A6" s="1130" t="s">
        <v>194</v>
      </c>
      <c r="B6" s="1131"/>
      <c r="C6" s="1131"/>
      <c r="D6" s="1131"/>
      <c r="E6" s="1131"/>
      <c r="F6" s="1131"/>
      <c r="G6" s="1131"/>
      <c r="H6" s="1131"/>
      <c r="I6" s="1131"/>
      <c r="J6" s="1132"/>
      <c r="K6" s="157"/>
    </row>
    <row r="7" spans="1:11" ht="15.75" customHeight="1" thickBot="1">
      <c r="A7" s="161"/>
      <c r="B7" s="162"/>
      <c r="C7" s="162"/>
      <c r="D7" s="162"/>
      <c r="E7" s="162"/>
      <c r="F7" s="162"/>
      <c r="G7" s="162"/>
      <c r="H7" s="162"/>
      <c r="I7" s="162"/>
      <c r="J7" s="163"/>
      <c r="K7" s="157"/>
    </row>
    <row r="8" spans="1:11" ht="36" customHeight="1">
      <c r="A8" s="164" t="s">
        <v>195</v>
      </c>
      <c r="B8" s="1148" t="s">
        <v>0</v>
      </c>
      <c r="C8" s="1149"/>
      <c r="D8" s="165" t="s">
        <v>196</v>
      </c>
      <c r="E8" s="166" t="s">
        <v>197</v>
      </c>
      <c r="F8" s="166" t="s">
        <v>198</v>
      </c>
      <c r="G8" s="166" t="s">
        <v>199</v>
      </c>
      <c r="H8" s="166" t="s">
        <v>200</v>
      </c>
      <c r="I8" s="167" t="s">
        <v>201</v>
      </c>
      <c r="J8" s="168" t="s">
        <v>202</v>
      </c>
    </row>
    <row r="9" spans="1:11" ht="16.5" customHeight="1">
      <c r="A9" s="375">
        <f>'F1  Cover'!A14</f>
        <v>1200</v>
      </c>
      <c r="B9" s="1141" t="str">
        <f>'F1  Cover'!B14</f>
        <v>ESTABLISHMENT FOR FACILITY MANAGEMENT SERVICES PROVISION AND TIME RELATED OBLIGATIONS</v>
      </c>
      <c r="C9" s="1142"/>
      <c r="D9" s="169">
        <f>'F1  Cover'!L14</f>
        <v>1200</v>
      </c>
      <c r="E9" s="170">
        <f>'1200'!J10</f>
        <v>0</v>
      </c>
      <c r="F9" s="170">
        <f>'1200'!K10</f>
        <v>0</v>
      </c>
      <c r="G9" s="170">
        <f>'1200'!L10</f>
        <v>0</v>
      </c>
      <c r="H9" s="170">
        <f>'1200'!M10</f>
        <v>0</v>
      </c>
      <c r="I9" s="171">
        <f>'1200'!N10</f>
        <v>0</v>
      </c>
      <c r="J9" s="172">
        <f>IF(I9=0,1,((F9-I9)/F9))</f>
        <v>1</v>
      </c>
    </row>
    <row r="10" spans="1:11" ht="16.5" customHeight="1">
      <c r="A10" s="375">
        <f>'F1  Cover'!A16</f>
        <v>1300</v>
      </c>
      <c r="B10" s="1141" t="str">
        <f>'F1  Cover'!B16</f>
        <v>TRANSITIONAL ARRANGEMENTS</v>
      </c>
      <c r="C10" s="1142"/>
      <c r="D10" s="169">
        <f>'F1  Cover'!L16</f>
        <v>1300</v>
      </c>
      <c r="E10" s="170">
        <f>'1300'!J17</f>
        <v>70000</v>
      </c>
      <c r="F10" s="170">
        <f>'1300'!K17</f>
        <v>70000</v>
      </c>
      <c r="G10" s="170">
        <f>'1300'!L17</f>
        <v>0</v>
      </c>
      <c r="H10" s="170">
        <f>'1300'!M17</f>
        <v>0</v>
      </c>
      <c r="I10" s="170">
        <f>'1300'!N17</f>
        <v>0</v>
      </c>
      <c r="J10" s="172">
        <f t="shared" ref="J10:J17" si="0">IF(I10=0,1,((F10-I10)/F10))</f>
        <v>1</v>
      </c>
    </row>
    <row r="11" spans="1:11" ht="16.5" customHeight="1">
      <c r="A11" s="375">
        <f>'F1  Cover'!A18</f>
        <v>1500</v>
      </c>
      <c r="B11" s="1141" t="str">
        <f>'F1  Cover'!B18</f>
        <v>REIMBURSABLE COSTS</v>
      </c>
      <c r="C11" s="1142"/>
      <c r="D11" s="169">
        <f>'F1  Cover'!L18</f>
        <v>1500</v>
      </c>
      <c r="E11" s="170">
        <f>'1500'!J12</f>
        <v>75000</v>
      </c>
      <c r="F11" s="170">
        <f>'1500'!K12</f>
        <v>75000</v>
      </c>
      <c r="G11" s="170">
        <f>'1500'!L12</f>
        <v>0</v>
      </c>
      <c r="H11" s="170">
        <f>'1500'!M12</f>
        <v>0</v>
      </c>
      <c r="I11" s="171">
        <f>'1500'!N12</f>
        <v>0</v>
      </c>
      <c r="J11" s="172">
        <f t="shared" si="0"/>
        <v>1</v>
      </c>
    </row>
    <row r="12" spans="1:11" ht="16.5" customHeight="1">
      <c r="A12" s="375">
        <f>'F1  Cover'!A20</f>
        <v>2100</v>
      </c>
      <c r="B12" s="1141" t="str">
        <f>'F1  Cover'!B20</f>
        <v>PROCUREMENT AND CONTRACT PARTICIPATION</v>
      </c>
      <c r="C12" s="1142"/>
      <c r="D12" s="169">
        <f>'F1  Cover'!L20</f>
        <v>2100</v>
      </c>
      <c r="E12" s="170">
        <f>'2100'!J33</f>
        <v>52450000</v>
      </c>
      <c r="F12" s="170">
        <f>'2100'!K33</f>
        <v>52450000</v>
      </c>
      <c r="G12" s="170">
        <f>'2100'!L33</f>
        <v>0</v>
      </c>
      <c r="H12" s="170">
        <f>'2100'!M33</f>
        <v>0</v>
      </c>
      <c r="I12" s="171">
        <f>'2100'!N33</f>
        <v>0</v>
      </c>
      <c r="J12" s="172">
        <f t="shared" si="0"/>
        <v>1</v>
      </c>
    </row>
    <row r="13" spans="1:11" ht="16.5" customHeight="1">
      <c r="A13" s="375">
        <f>'F1  Cover'!A22</f>
        <v>2200</v>
      </c>
      <c r="B13" s="1141" t="str">
        <f>'F1  Cover'!B22</f>
        <v>UNSPECIFIED MINOR WORKS</v>
      </c>
      <c r="C13" s="1142"/>
      <c r="D13" s="169">
        <f>'F1  Cover'!L22</f>
        <v>2200</v>
      </c>
      <c r="E13" s="170">
        <f>'2200'!J14</f>
        <v>5500000</v>
      </c>
      <c r="F13" s="170">
        <f>'2200'!K14</f>
        <v>5500000</v>
      </c>
      <c r="G13" s="170">
        <f>'2200'!L14</f>
        <v>0</v>
      </c>
      <c r="H13" s="170">
        <f>'2200'!M14</f>
        <v>0</v>
      </c>
      <c r="I13" s="171">
        <f>'2200'!N14</f>
        <v>0</v>
      </c>
      <c r="J13" s="172">
        <f t="shared" si="0"/>
        <v>1</v>
      </c>
    </row>
    <row r="14" spans="1:11" ht="16.5" customHeight="1">
      <c r="A14" s="375">
        <f>'F1  Cover'!A24</f>
        <v>2300</v>
      </c>
      <c r="B14" s="1141" t="str">
        <f>'F1  Cover'!B24</f>
        <v>OFFICE FACILITY MAINTENANCE</v>
      </c>
      <c r="C14" s="1142"/>
      <c r="D14" s="169">
        <f>'F1  Cover'!L24</f>
        <v>2300</v>
      </c>
      <c r="E14" s="170">
        <f>'2300'!J13</f>
        <v>5150000</v>
      </c>
      <c r="F14" s="170">
        <f>'2300'!K13</f>
        <v>5150000</v>
      </c>
      <c r="G14" s="170">
        <f>'2300'!L13</f>
        <v>0</v>
      </c>
      <c r="H14" s="170">
        <f>'2300'!M13</f>
        <v>0</v>
      </c>
      <c r="I14" s="171">
        <f>'2300'!N13</f>
        <v>0</v>
      </c>
      <c r="J14" s="172">
        <f t="shared" si="0"/>
        <v>1</v>
      </c>
    </row>
    <row r="15" spans="1:11" ht="16.5" customHeight="1">
      <c r="A15" s="375">
        <f>'F1  Cover'!A26</f>
        <v>3100</v>
      </c>
      <c r="B15" s="1141" t="str">
        <f>'F1  Cover'!B26</f>
        <v>MEETING SERVICES</v>
      </c>
      <c r="C15" s="1142"/>
      <c r="D15" s="169">
        <f>'F1  Cover'!L26</f>
        <v>3100</v>
      </c>
      <c r="E15" s="170">
        <f>'3100'!J9</f>
        <v>0</v>
      </c>
      <c r="F15" s="170">
        <f>'3100'!K9</f>
        <v>0</v>
      </c>
      <c r="G15" s="170">
        <f>'3100'!L9</f>
        <v>0</v>
      </c>
      <c r="H15" s="170">
        <f>'3100'!M9</f>
        <v>0</v>
      </c>
      <c r="I15" s="170">
        <f>'3100'!N9</f>
        <v>0</v>
      </c>
      <c r="J15" s="172">
        <f t="shared" si="0"/>
        <v>1</v>
      </c>
    </row>
    <row r="16" spans="1:11" ht="16.5" customHeight="1">
      <c r="A16" s="375">
        <f>'F1  Cover'!A28</f>
        <v>3300</v>
      </c>
      <c r="B16" s="1141" t="str">
        <f>'F1  Cover'!B28</f>
        <v>MONTHLY REPORTING REQUIREMENTS</v>
      </c>
      <c r="C16" s="1142"/>
      <c r="D16" s="169">
        <f>'F1  Cover'!L28</f>
        <v>3300</v>
      </c>
      <c r="E16" s="170">
        <f>'3300'!J10</f>
        <v>0</v>
      </c>
      <c r="F16" s="170">
        <f>'3300'!K10</f>
        <v>0</v>
      </c>
      <c r="G16" s="170">
        <f>'3300'!L10</f>
        <v>0</v>
      </c>
      <c r="H16" s="170">
        <f>'3300'!M10</f>
        <v>0</v>
      </c>
      <c r="I16" s="170">
        <f>'3300'!N10</f>
        <v>0</v>
      </c>
      <c r="J16" s="172">
        <f t="shared" si="0"/>
        <v>1</v>
      </c>
    </row>
    <row r="17" spans="1:10" ht="16.5" customHeight="1">
      <c r="A17" s="174"/>
      <c r="B17" s="1143" t="s">
        <v>203</v>
      </c>
      <c r="C17" s="1143"/>
      <c r="D17" s="169"/>
      <c r="E17" s="175">
        <f>SUM(E9:E16)</f>
        <v>63245000</v>
      </c>
      <c r="F17" s="175">
        <f t="shared" ref="F17:I17" si="1">SUM(F9:F16)</f>
        <v>63245000</v>
      </c>
      <c r="G17" s="175">
        <f t="shared" si="1"/>
        <v>0</v>
      </c>
      <c r="H17" s="175">
        <f t="shared" si="1"/>
        <v>0</v>
      </c>
      <c r="I17" s="175">
        <f t="shared" si="1"/>
        <v>0</v>
      </c>
      <c r="J17" s="172">
        <f t="shared" si="0"/>
        <v>1</v>
      </c>
    </row>
    <row r="18" spans="1:10" ht="24" customHeight="1">
      <c r="A18" s="176"/>
      <c r="B18" s="1144" t="s">
        <v>584</v>
      </c>
      <c r="C18" s="1144"/>
      <c r="D18" s="1145"/>
      <c r="E18" s="177"/>
      <c r="F18" s="177"/>
      <c r="G18" s="177"/>
      <c r="H18" s="177"/>
      <c r="I18" s="178"/>
      <c r="J18" s="179">
        <f>SUM(I9:I16)</f>
        <v>0</v>
      </c>
    </row>
    <row r="19" spans="1:10" ht="24" customHeight="1" thickBot="1">
      <c r="A19" s="180"/>
      <c r="B19" s="1146"/>
      <c r="C19" s="1146"/>
      <c r="D19" s="1147"/>
      <c r="E19" s="181"/>
      <c r="F19" s="181"/>
      <c r="G19" s="181"/>
      <c r="H19" s="181"/>
      <c r="I19" s="182"/>
      <c r="J19" s="183"/>
    </row>
    <row r="20" spans="1:10">
      <c r="A20" s="184"/>
      <c r="B20" s="185"/>
      <c r="C20" s="185"/>
      <c r="D20" s="185"/>
      <c r="E20" s="185"/>
      <c r="F20" s="185"/>
      <c r="G20" s="185"/>
      <c r="H20" s="185"/>
      <c r="I20" s="186"/>
      <c r="J20" s="187"/>
    </row>
    <row r="21" spans="1:10" ht="15.75" customHeight="1">
      <c r="A21" s="188" t="s">
        <v>204</v>
      </c>
      <c r="B21" s="189"/>
      <c r="C21" s="189"/>
      <c r="D21" s="189"/>
      <c r="E21" s="189"/>
      <c r="F21" s="189"/>
      <c r="G21" s="189"/>
      <c r="H21" s="189"/>
      <c r="I21" s="190"/>
      <c r="J21" s="191"/>
    </row>
    <row r="22" spans="1:10" ht="16.5" customHeight="1" thickBot="1">
      <c r="A22" s="192"/>
      <c r="B22" s="193"/>
      <c r="C22" s="193"/>
      <c r="D22" s="193"/>
      <c r="E22" s="193"/>
      <c r="F22" s="193"/>
      <c r="G22" s="193"/>
      <c r="H22" s="642"/>
      <c r="I22" s="194" t="s">
        <v>263</v>
      </c>
      <c r="J22" s="195" t="s">
        <v>205</v>
      </c>
    </row>
    <row r="23" spans="1:10" ht="16.5" customHeight="1">
      <c r="A23" s="196"/>
      <c r="B23" s="197" t="s">
        <v>203</v>
      </c>
      <c r="C23" s="197"/>
      <c r="D23" s="197"/>
      <c r="E23" s="197"/>
      <c r="F23" s="197"/>
      <c r="G23" s="197"/>
      <c r="H23" s="643"/>
      <c r="I23" s="198">
        <f>J18</f>
        <v>0</v>
      </c>
      <c r="J23" s="199">
        <f>I17</f>
        <v>0</v>
      </c>
    </row>
    <row r="24" spans="1:10" ht="16.5" customHeight="1">
      <c r="A24" s="196"/>
      <c r="B24" s="197" t="s">
        <v>332</v>
      </c>
      <c r="C24" s="197"/>
      <c r="D24" s="197"/>
      <c r="E24" s="197"/>
      <c r="F24" s="197"/>
      <c r="G24" s="197"/>
      <c r="H24" s="644"/>
      <c r="I24" s="200">
        <f>'Pg 6 WAF with CPI'!L25</f>
        <v>0</v>
      </c>
      <c r="J24" s="199">
        <f>I24</f>
        <v>0</v>
      </c>
    </row>
    <row r="25" spans="1:10" ht="16.5" customHeight="1">
      <c r="A25" s="196"/>
      <c r="B25" s="197" t="s">
        <v>206</v>
      </c>
      <c r="C25" s="197"/>
      <c r="D25" s="197"/>
      <c r="E25" s="197"/>
      <c r="F25" s="197"/>
      <c r="G25" s="197"/>
      <c r="H25" s="644"/>
      <c r="I25" s="200">
        <f>'Pg 4 P Sums'!L558</f>
        <v>0</v>
      </c>
      <c r="J25" s="199">
        <f>I25</f>
        <v>0</v>
      </c>
    </row>
    <row r="26" spans="1:10" ht="16.5" customHeight="1">
      <c r="A26" s="196"/>
      <c r="B26" s="197"/>
      <c r="C26" s="197" t="s">
        <v>207</v>
      </c>
      <c r="D26" s="197"/>
      <c r="E26" s="197"/>
      <c r="F26" s="197"/>
      <c r="G26" s="197"/>
      <c r="H26" s="644"/>
      <c r="I26" s="200">
        <f>I23+I24-I25</f>
        <v>0</v>
      </c>
      <c r="J26" s="201">
        <f>J23+J24-J25</f>
        <v>0</v>
      </c>
    </row>
    <row r="27" spans="1:10" ht="16.5" customHeight="1">
      <c r="A27" s="202"/>
      <c r="B27" s="173" t="s">
        <v>208</v>
      </c>
      <c r="C27" s="173"/>
      <c r="D27" s="173"/>
      <c r="E27" s="173"/>
      <c r="F27" s="173"/>
      <c r="G27" s="173"/>
      <c r="H27" s="646"/>
      <c r="I27" s="488">
        <f>DATA!T52</f>
        <v>0</v>
      </c>
      <c r="J27" s="201">
        <f>H27+I27</f>
        <v>0</v>
      </c>
    </row>
    <row r="28" spans="1:10" ht="16.5" customHeight="1" thickBot="1">
      <c r="A28" s="203"/>
      <c r="B28" s="204" t="s">
        <v>209</v>
      </c>
      <c r="C28" s="205"/>
      <c r="D28" s="205"/>
      <c r="E28" s="205"/>
      <c r="F28" s="205"/>
      <c r="G28" s="205"/>
      <c r="H28" s="645"/>
      <c r="I28" s="206">
        <f>I26-I27</f>
        <v>0</v>
      </c>
      <c r="J28" s="207">
        <f>J26-J27</f>
        <v>0</v>
      </c>
    </row>
  </sheetData>
  <sheetProtection algorithmName="SHA-512" hashValue="WSAP6swfWdIQxQtD3QhP9bnxCynQuxo9jk+a/2NXusPiM5NPqfOG5xYbG3Pgs+BSTbS9MAJDilrV8uh7b7bXSA==" saltValue="wEzXFbd3WfUXpOt/M1OFVQ==" spinCount="100000" sheet="1" objects="1" scenarios="1"/>
  <mergeCells count="18">
    <mergeCell ref="B14:C14"/>
    <mergeCell ref="B17:C17"/>
    <mergeCell ref="B18:D18"/>
    <mergeCell ref="B19:D19"/>
    <mergeCell ref="B8:C8"/>
    <mergeCell ref="B9:C9"/>
    <mergeCell ref="B10:C10"/>
    <mergeCell ref="B11:C11"/>
    <mergeCell ref="B12:C12"/>
    <mergeCell ref="B13:C13"/>
    <mergeCell ref="B15:C15"/>
    <mergeCell ref="B16:C16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6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>
    <tabColor rgb="FF0070C0"/>
    <pageSetUpPr fitToPage="1"/>
  </sheetPr>
  <dimension ref="A1:R55"/>
  <sheetViews>
    <sheetView zoomScale="80" zoomScaleNormal="80" workbookViewId="0">
      <selection activeCell="N23" sqref="N23"/>
    </sheetView>
  </sheetViews>
  <sheetFormatPr defaultRowHeight="13.2"/>
  <cols>
    <col min="1" max="1" width="19.109375" style="2" customWidth="1"/>
    <col min="2" max="2" width="10.5546875" style="2" customWidth="1"/>
    <col min="3" max="4" width="9.6640625" style="2" customWidth="1"/>
    <col min="5" max="5" width="11.33203125" style="2" customWidth="1"/>
    <col min="6" max="6" width="7" style="2" customWidth="1"/>
    <col min="7" max="7" width="6.6640625" style="2" customWidth="1"/>
    <col min="8" max="8" width="9.88671875" style="2" customWidth="1"/>
    <col min="9" max="9" width="7" style="228" customWidth="1"/>
    <col min="10" max="10" width="9.44140625" style="2" customWidth="1"/>
    <col min="11" max="12" width="12" style="2" customWidth="1"/>
    <col min="13" max="13" width="13.6640625" style="2" customWidth="1"/>
    <col min="14" max="16" width="13.44140625" style="2" bestFit="1" customWidth="1"/>
    <col min="17" max="254" width="9.109375" style="2"/>
    <col min="255" max="255" width="19.109375" style="2" customWidth="1"/>
    <col min="256" max="256" width="10.5546875" style="2" customWidth="1"/>
    <col min="257" max="257" width="9.6640625" style="2" customWidth="1"/>
    <col min="258" max="258" width="11.33203125" style="2" customWidth="1"/>
    <col min="259" max="260" width="7" style="2" customWidth="1"/>
    <col min="261" max="261" width="6.6640625" style="2" customWidth="1"/>
    <col min="262" max="262" width="9.88671875" style="2" customWidth="1"/>
    <col min="263" max="263" width="7" style="2" customWidth="1"/>
    <col min="264" max="264" width="9.44140625" style="2" customWidth="1"/>
    <col min="265" max="266" width="11.5546875" style="2" customWidth="1"/>
    <col min="267" max="267" width="13.88671875" style="2" customWidth="1"/>
    <col min="268" max="268" width="13.6640625" style="2" customWidth="1"/>
    <col min="269" max="271" width="13.44140625" style="2" bestFit="1" customWidth="1"/>
    <col min="272" max="510" width="9.109375" style="2"/>
    <col min="511" max="511" width="19.109375" style="2" customWidth="1"/>
    <col min="512" max="512" width="10.5546875" style="2" customWidth="1"/>
    <col min="513" max="513" width="9.6640625" style="2" customWidth="1"/>
    <col min="514" max="514" width="11.33203125" style="2" customWidth="1"/>
    <col min="515" max="516" width="7" style="2" customWidth="1"/>
    <col min="517" max="517" width="6.6640625" style="2" customWidth="1"/>
    <col min="518" max="518" width="9.88671875" style="2" customWidth="1"/>
    <col min="519" max="519" width="7" style="2" customWidth="1"/>
    <col min="520" max="520" width="9.44140625" style="2" customWidth="1"/>
    <col min="521" max="522" width="11.5546875" style="2" customWidth="1"/>
    <col min="523" max="523" width="13.88671875" style="2" customWidth="1"/>
    <col min="524" max="524" width="13.6640625" style="2" customWidth="1"/>
    <col min="525" max="527" width="13.44140625" style="2" bestFit="1" customWidth="1"/>
    <col min="528" max="766" width="9.109375" style="2"/>
    <col min="767" max="767" width="19.109375" style="2" customWidth="1"/>
    <col min="768" max="768" width="10.5546875" style="2" customWidth="1"/>
    <col min="769" max="769" width="9.6640625" style="2" customWidth="1"/>
    <col min="770" max="770" width="11.33203125" style="2" customWidth="1"/>
    <col min="771" max="772" width="7" style="2" customWidth="1"/>
    <col min="773" max="773" width="6.6640625" style="2" customWidth="1"/>
    <col min="774" max="774" width="9.88671875" style="2" customWidth="1"/>
    <col min="775" max="775" width="7" style="2" customWidth="1"/>
    <col min="776" max="776" width="9.44140625" style="2" customWidth="1"/>
    <col min="777" max="778" width="11.5546875" style="2" customWidth="1"/>
    <col min="779" max="779" width="13.88671875" style="2" customWidth="1"/>
    <col min="780" max="780" width="13.6640625" style="2" customWidth="1"/>
    <col min="781" max="783" width="13.44140625" style="2" bestFit="1" customWidth="1"/>
    <col min="784" max="1022" width="9.109375" style="2"/>
    <col min="1023" max="1023" width="19.109375" style="2" customWidth="1"/>
    <col min="1024" max="1024" width="10.5546875" style="2" customWidth="1"/>
    <col min="1025" max="1025" width="9.6640625" style="2" customWidth="1"/>
    <col min="1026" max="1026" width="11.33203125" style="2" customWidth="1"/>
    <col min="1027" max="1028" width="7" style="2" customWidth="1"/>
    <col min="1029" max="1029" width="6.6640625" style="2" customWidth="1"/>
    <col min="1030" max="1030" width="9.88671875" style="2" customWidth="1"/>
    <col min="1031" max="1031" width="7" style="2" customWidth="1"/>
    <col min="1032" max="1032" width="9.44140625" style="2" customWidth="1"/>
    <col min="1033" max="1034" width="11.5546875" style="2" customWidth="1"/>
    <col min="1035" max="1035" width="13.88671875" style="2" customWidth="1"/>
    <col min="1036" max="1036" width="13.6640625" style="2" customWidth="1"/>
    <col min="1037" max="1039" width="13.44140625" style="2" bestFit="1" customWidth="1"/>
    <col min="1040" max="1278" width="9.109375" style="2"/>
    <col min="1279" max="1279" width="19.109375" style="2" customWidth="1"/>
    <col min="1280" max="1280" width="10.5546875" style="2" customWidth="1"/>
    <col min="1281" max="1281" width="9.6640625" style="2" customWidth="1"/>
    <col min="1282" max="1282" width="11.33203125" style="2" customWidth="1"/>
    <col min="1283" max="1284" width="7" style="2" customWidth="1"/>
    <col min="1285" max="1285" width="6.6640625" style="2" customWidth="1"/>
    <col min="1286" max="1286" width="9.88671875" style="2" customWidth="1"/>
    <col min="1287" max="1287" width="7" style="2" customWidth="1"/>
    <col min="1288" max="1288" width="9.44140625" style="2" customWidth="1"/>
    <col min="1289" max="1290" width="11.5546875" style="2" customWidth="1"/>
    <col min="1291" max="1291" width="13.88671875" style="2" customWidth="1"/>
    <col min="1292" max="1292" width="13.6640625" style="2" customWidth="1"/>
    <col min="1293" max="1295" width="13.44140625" style="2" bestFit="1" customWidth="1"/>
    <col min="1296" max="1534" width="9.109375" style="2"/>
    <col min="1535" max="1535" width="19.109375" style="2" customWidth="1"/>
    <col min="1536" max="1536" width="10.5546875" style="2" customWidth="1"/>
    <col min="1537" max="1537" width="9.6640625" style="2" customWidth="1"/>
    <col min="1538" max="1538" width="11.33203125" style="2" customWidth="1"/>
    <col min="1539" max="1540" width="7" style="2" customWidth="1"/>
    <col min="1541" max="1541" width="6.6640625" style="2" customWidth="1"/>
    <col min="1542" max="1542" width="9.88671875" style="2" customWidth="1"/>
    <col min="1543" max="1543" width="7" style="2" customWidth="1"/>
    <col min="1544" max="1544" width="9.44140625" style="2" customWidth="1"/>
    <col min="1545" max="1546" width="11.5546875" style="2" customWidth="1"/>
    <col min="1547" max="1547" width="13.88671875" style="2" customWidth="1"/>
    <col min="1548" max="1548" width="13.6640625" style="2" customWidth="1"/>
    <col min="1549" max="1551" width="13.44140625" style="2" bestFit="1" customWidth="1"/>
    <col min="1552" max="1790" width="9.109375" style="2"/>
    <col min="1791" max="1791" width="19.109375" style="2" customWidth="1"/>
    <col min="1792" max="1792" width="10.5546875" style="2" customWidth="1"/>
    <col min="1793" max="1793" width="9.6640625" style="2" customWidth="1"/>
    <col min="1794" max="1794" width="11.33203125" style="2" customWidth="1"/>
    <col min="1795" max="1796" width="7" style="2" customWidth="1"/>
    <col min="1797" max="1797" width="6.6640625" style="2" customWidth="1"/>
    <col min="1798" max="1798" width="9.88671875" style="2" customWidth="1"/>
    <col min="1799" max="1799" width="7" style="2" customWidth="1"/>
    <col min="1800" max="1800" width="9.44140625" style="2" customWidth="1"/>
    <col min="1801" max="1802" width="11.5546875" style="2" customWidth="1"/>
    <col min="1803" max="1803" width="13.88671875" style="2" customWidth="1"/>
    <col min="1804" max="1804" width="13.6640625" style="2" customWidth="1"/>
    <col min="1805" max="1807" width="13.44140625" style="2" bestFit="1" customWidth="1"/>
    <col min="1808" max="2046" width="9.109375" style="2"/>
    <col min="2047" max="2047" width="19.109375" style="2" customWidth="1"/>
    <col min="2048" max="2048" width="10.5546875" style="2" customWidth="1"/>
    <col min="2049" max="2049" width="9.6640625" style="2" customWidth="1"/>
    <col min="2050" max="2050" width="11.33203125" style="2" customWidth="1"/>
    <col min="2051" max="2052" width="7" style="2" customWidth="1"/>
    <col min="2053" max="2053" width="6.6640625" style="2" customWidth="1"/>
    <col min="2054" max="2054" width="9.88671875" style="2" customWidth="1"/>
    <col min="2055" max="2055" width="7" style="2" customWidth="1"/>
    <col min="2056" max="2056" width="9.44140625" style="2" customWidth="1"/>
    <col min="2057" max="2058" width="11.5546875" style="2" customWidth="1"/>
    <col min="2059" max="2059" width="13.88671875" style="2" customWidth="1"/>
    <col min="2060" max="2060" width="13.6640625" style="2" customWidth="1"/>
    <col min="2061" max="2063" width="13.44140625" style="2" bestFit="1" customWidth="1"/>
    <col min="2064" max="2302" width="9.109375" style="2"/>
    <col min="2303" max="2303" width="19.109375" style="2" customWidth="1"/>
    <col min="2304" max="2304" width="10.5546875" style="2" customWidth="1"/>
    <col min="2305" max="2305" width="9.6640625" style="2" customWidth="1"/>
    <col min="2306" max="2306" width="11.33203125" style="2" customWidth="1"/>
    <col min="2307" max="2308" width="7" style="2" customWidth="1"/>
    <col min="2309" max="2309" width="6.6640625" style="2" customWidth="1"/>
    <col min="2310" max="2310" width="9.88671875" style="2" customWidth="1"/>
    <col min="2311" max="2311" width="7" style="2" customWidth="1"/>
    <col min="2312" max="2312" width="9.44140625" style="2" customWidth="1"/>
    <col min="2313" max="2314" width="11.5546875" style="2" customWidth="1"/>
    <col min="2315" max="2315" width="13.88671875" style="2" customWidth="1"/>
    <col min="2316" max="2316" width="13.6640625" style="2" customWidth="1"/>
    <col min="2317" max="2319" width="13.44140625" style="2" bestFit="1" customWidth="1"/>
    <col min="2320" max="2558" width="9.109375" style="2"/>
    <col min="2559" max="2559" width="19.109375" style="2" customWidth="1"/>
    <col min="2560" max="2560" width="10.5546875" style="2" customWidth="1"/>
    <col min="2561" max="2561" width="9.6640625" style="2" customWidth="1"/>
    <col min="2562" max="2562" width="11.33203125" style="2" customWidth="1"/>
    <col min="2563" max="2564" width="7" style="2" customWidth="1"/>
    <col min="2565" max="2565" width="6.6640625" style="2" customWidth="1"/>
    <col min="2566" max="2566" width="9.88671875" style="2" customWidth="1"/>
    <col min="2567" max="2567" width="7" style="2" customWidth="1"/>
    <col min="2568" max="2568" width="9.44140625" style="2" customWidth="1"/>
    <col min="2569" max="2570" width="11.5546875" style="2" customWidth="1"/>
    <col min="2571" max="2571" width="13.88671875" style="2" customWidth="1"/>
    <col min="2572" max="2572" width="13.6640625" style="2" customWidth="1"/>
    <col min="2573" max="2575" width="13.44140625" style="2" bestFit="1" customWidth="1"/>
    <col min="2576" max="2814" width="9.109375" style="2"/>
    <col min="2815" max="2815" width="19.109375" style="2" customWidth="1"/>
    <col min="2816" max="2816" width="10.5546875" style="2" customWidth="1"/>
    <col min="2817" max="2817" width="9.6640625" style="2" customWidth="1"/>
    <col min="2818" max="2818" width="11.33203125" style="2" customWidth="1"/>
    <col min="2819" max="2820" width="7" style="2" customWidth="1"/>
    <col min="2821" max="2821" width="6.6640625" style="2" customWidth="1"/>
    <col min="2822" max="2822" width="9.88671875" style="2" customWidth="1"/>
    <col min="2823" max="2823" width="7" style="2" customWidth="1"/>
    <col min="2824" max="2824" width="9.44140625" style="2" customWidth="1"/>
    <col min="2825" max="2826" width="11.5546875" style="2" customWidth="1"/>
    <col min="2827" max="2827" width="13.88671875" style="2" customWidth="1"/>
    <col min="2828" max="2828" width="13.6640625" style="2" customWidth="1"/>
    <col min="2829" max="2831" width="13.44140625" style="2" bestFit="1" customWidth="1"/>
    <col min="2832" max="3070" width="9.109375" style="2"/>
    <col min="3071" max="3071" width="19.109375" style="2" customWidth="1"/>
    <col min="3072" max="3072" width="10.5546875" style="2" customWidth="1"/>
    <col min="3073" max="3073" width="9.6640625" style="2" customWidth="1"/>
    <col min="3074" max="3074" width="11.33203125" style="2" customWidth="1"/>
    <col min="3075" max="3076" width="7" style="2" customWidth="1"/>
    <col min="3077" max="3077" width="6.6640625" style="2" customWidth="1"/>
    <col min="3078" max="3078" width="9.88671875" style="2" customWidth="1"/>
    <col min="3079" max="3079" width="7" style="2" customWidth="1"/>
    <col min="3080" max="3080" width="9.44140625" style="2" customWidth="1"/>
    <col min="3081" max="3082" width="11.5546875" style="2" customWidth="1"/>
    <col min="3083" max="3083" width="13.88671875" style="2" customWidth="1"/>
    <col min="3084" max="3084" width="13.6640625" style="2" customWidth="1"/>
    <col min="3085" max="3087" width="13.44140625" style="2" bestFit="1" customWidth="1"/>
    <col min="3088" max="3326" width="9.109375" style="2"/>
    <col min="3327" max="3327" width="19.109375" style="2" customWidth="1"/>
    <col min="3328" max="3328" width="10.5546875" style="2" customWidth="1"/>
    <col min="3329" max="3329" width="9.6640625" style="2" customWidth="1"/>
    <col min="3330" max="3330" width="11.33203125" style="2" customWidth="1"/>
    <col min="3331" max="3332" width="7" style="2" customWidth="1"/>
    <col min="3333" max="3333" width="6.6640625" style="2" customWidth="1"/>
    <col min="3334" max="3334" width="9.88671875" style="2" customWidth="1"/>
    <col min="3335" max="3335" width="7" style="2" customWidth="1"/>
    <col min="3336" max="3336" width="9.44140625" style="2" customWidth="1"/>
    <col min="3337" max="3338" width="11.5546875" style="2" customWidth="1"/>
    <col min="3339" max="3339" width="13.88671875" style="2" customWidth="1"/>
    <col min="3340" max="3340" width="13.6640625" style="2" customWidth="1"/>
    <col min="3341" max="3343" width="13.44140625" style="2" bestFit="1" customWidth="1"/>
    <col min="3344" max="3582" width="9.109375" style="2"/>
    <col min="3583" max="3583" width="19.109375" style="2" customWidth="1"/>
    <col min="3584" max="3584" width="10.5546875" style="2" customWidth="1"/>
    <col min="3585" max="3585" width="9.6640625" style="2" customWidth="1"/>
    <col min="3586" max="3586" width="11.33203125" style="2" customWidth="1"/>
    <col min="3587" max="3588" width="7" style="2" customWidth="1"/>
    <col min="3589" max="3589" width="6.6640625" style="2" customWidth="1"/>
    <col min="3590" max="3590" width="9.88671875" style="2" customWidth="1"/>
    <col min="3591" max="3591" width="7" style="2" customWidth="1"/>
    <col min="3592" max="3592" width="9.44140625" style="2" customWidth="1"/>
    <col min="3593" max="3594" width="11.5546875" style="2" customWidth="1"/>
    <col min="3595" max="3595" width="13.88671875" style="2" customWidth="1"/>
    <col min="3596" max="3596" width="13.6640625" style="2" customWidth="1"/>
    <col min="3597" max="3599" width="13.44140625" style="2" bestFit="1" customWidth="1"/>
    <col min="3600" max="3838" width="9.109375" style="2"/>
    <col min="3839" max="3839" width="19.109375" style="2" customWidth="1"/>
    <col min="3840" max="3840" width="10.5546875" style="2" customWidth="1"/>
    <col min="3841" max="3841" width="9.6640625" style="2" customWidth="1"/>
    <col min="3842" max="3842" width="11.33203125" style="2" customWidth="1"/>
    <col min="3843" max="3844" width="7" style="2" customWidth="1"/>
    <col min="3845" max="3845" width="6.6640625" style="2" customWidth="1"/>
    <col min="3846" max="3846" width="9.88671875" style="2" customWidth="1"/>
    <col min="3847" max="3847" width="7" style="2" customWidth="1"/>
    <col min="3848" max="3848" width="9.44140625" style="2" customWidth="1"/>
    <col min="3849" max="3850" width="11.5546875" style="2" customWidth="1"/>
    <col min="3851" max="3851" width="13.88671875" style="2" customWidth="1"/>
    <col min="3852" max="3852" width="13.6640625" style="2" customWidth="1"/>
    <col min="3853" max="3855" width="13.44140625" style="2" bestFit="1" customWidth="1"/>
    <col min="3856" max="4094" width="9.109375" style="2"/>
    <col min="4095" max="4095" width="19.109375" style="2" customWidth="1"/>
    <col min="4096" max="4096" width="10.5546875" style="2" customWidth="1"/>
    <col min="4097" max="4097" width="9.6640625" style="2" customWidth="1"/>
    <col min="4098" max="4098" width="11.33203125" style="2" customWidth="1"/>
    <col min="4099" max="4100" width="7" style="2" customWidth="1"/>
    <col min="4101" max="4101" width="6.6640625" style="2" customWidth="1"/>
    <col min="4102" max="4102" width="9.88671875" style="2" customWidth="1"/>
    <col min="4103" max="4103" width="7" style="2" customWidth="1"/>
    <col min="4104" max="4104" width="9.44140625" style="2" customWidth="1"/>
    <col min="4105" max="4106" width="11.5546875" style="2" customWidth="1"/>
    <col min="4107" max="4107" width="13.88671875" style="2" customWidth="1"/>
    <col min="4108" max="4108" width="13.6640625" style="2" customWidth="1"/>
    <col min="4109" max="4111" width="13.44140625" style="2" bestFit="1" customWidth="1"/>
    <col min="4112" max="4350" width="9.109375" style="2"/>
    <col min="4351" max="4351" width="19.109375" style="2" customWidth="1"/>
    <col min="4352" max="4352" width="10.5546875" style="2" customWidth="1"/>
    <col min="4353" max="4353" width="9.6640625" style="2" customWidth="1"/>
    <col min="4354" max="4354" width="11.33203125" style="2" customWidth="1"/>
    <col min="4355" max="4356" width="7" style="2" customWidth="1"/>
    <col min="4357" max="4357" width="6.6640625" style="2" customWidth="1"/>
    <col min="4358" max="4358" width="9.88671875" style="2" customWidth="1"/>
    <col min="4359" max="4359" width="7" style="2" customWidth="1"/>
    <col min="4360" max="4360" width="9.44140625" style="2" customWidth="1"/>
    <col min="4361" max="4362" width="11.5546875" style="2" customWidth="1"/>
    <col min="4363" max="4363" width="13.88671875" style="2" customWidth="1"/>
    <col min="4364" max="4364" width="13.6640625" style="2" customWidth="1"/>
    <col min="4365" max="4367" width="13.44140625" style="2" bestFit="1" customWidth="1"/>
    <col min="4368" max="4606" width="9.109375" style="2"/>
    <col min="4607" max="4607" width="19.109375" style="2" customWidth="1"/>
    <col min="4608" max="4608" width="10.5546875" style="2" customWidth="1"/>
    <col min="4609" max="4609" width="9.6640625" style="2" customWidth="1"/>
    <col min="4610" max="4610" width="11.33203125" style="2" customWidth="1"/>
    <col min="4611" max="4612" width="7" style="2" customWidth="1"/>
    <col min="4613" max="4613" width="6.6640625" style="2" customWidth="1"/>
    <col min="4614" max="4614" width="9.88671875" style="2" customWidth="1"/>
    <col min="4615" max="4615" width="7" style="2" customWidth="1"/>
    <col min="4616" max="4616" width="9.44140625" style="2" customWidth="1"/>
    <col min="4617" max="4618" width="11.5546875" style="2" customWidth="1"/>
    <col min="4619" max="4619" width="13.88671875" style="2" customWidth="1"/>
    <col min="4620" max="4620" width="13.6640625" style="2" customWidth="1"/>
    <col min="4621" max="4623" width="13.44140625" style="2" bestFit="1" customWidth="1"/>
    <col min="4624" max="4862" width="9.109375" style="2"/>
    <col min="4863" max="4863" width="19.109375" style="2" customWidth="1"/>
    <col min="4864" max="4864" width="10.5546875" style="2" customWidth="1"/>
    <col min="4865" max="4865" width="9.6640625" style="2" customWidth="1"/>
    <col min="4866" max="4866" width="11.33203125" style="2" customWidth="1"/>
    <col min="4867" max="4868" width="7" style="2" customWidth="1"/>
    <col min="4869" max="4869" width="6.6640625" style="2" customWidth="1"/>
    <col min="4870" max="4870" width="9.88671875" style="2" customWidth="1"/>
    <col min="4871" max="4871" width="7" style="2" customWidth="1"/>
    <col min="4872" max="4872" width="9.44140625" style="2" customWidth="1"/>
    <col min="4873" max="4874" width="11.5546875" style="2" customWidth="1"/>
    <col min="4875" max="4875" width="13.88671875" style="2" customWidth="1"/>
    <col min="4876" max="4876" width="13.6640625" style="2" customWidth="1"/>
    <col min="4877" max="4879" width="13.44140625" style="2" bestFit="1" customWidth="1"/>
    <col min="4880" max="5118" width="9.109375" style="2"/>
    <col min="5119" max="5119" width="19.109375" style="2" customWidth="1"/>
    <col min="5120" max="5120" width="10.5546875" style="2" customWidth="1"/>
    <col min="5121" max="5121" width="9.6640625" style="2" customWidth="1"/>
    <col min="5122" max="5122" width="11.33203125" style="2" customWidth="1"/>
    <col min="5123" max="5124" width="7" style="2" customWidth="1"/>
    <col min="5125" max="5125" width="6.6640625" style="2" customWidth="1"/>
    <col min="5126" max="5126" width="9.88671875" style="2" customWidth="1"/>
    <col min="5127" max="5127" width="7" style="2" customWidth="1"/>
    <col min="5128" max="5128" width="9.44140625" style="2" customWidth="1"/>
    <col min="5129" max="5130" width="11.5546875" style="2" customWidth="1"/>
    <col min="5131" max="5131" width="13.88671875" style="2" customWidth="1"/>
    <col min="5132" max="5132" width="13.6640625" style="2" customWidth="1"/>
    <col min="5133" max="5135" width="13.44140625" style="2" bestFit="1" customWidth="1"/>
    <col min="5136" max="5374" width="9.109375" style="2"/>
    <col min="5375" max="5375" width="19.109375" style="2" customWidth="1"/>
    <col min="5376" max="5376" width="10.5546875" style="2" customWidth="1"/>
    <col min="5377" max="5377" width="9.6640625" style="2" customWidth="1"/>
    <col min="5378" max="5378" width="11.33203125" style="2" customWidth="1"/>
    <col min="5379" max="5380" width="7" style="2" customWidth="1"/>
    <col min="5381" max="5381" width="6.6640625" style="2" customWidth="1"/>
    <col min="5382" max="5382" width="9.88671875" style="2" customWidth="1"/>
    <col min="5383" max="5383" width="7" style="2" customWidth="1"/>
    <col min="5384" max="5384" width="9.44140625" style="2" customWidth="1"/>
    <col min="5385" max="5386" width="11.5546875" style="2" customWidth="1"/>
    <col min="5387" max="5387" width="13.88671875" style="2" customWidth="1"/>
    <col min="5388" max="5388" width="13.6640625" style="2" customWidth="1"/>
    <col min="5389" max="5391" width="13.44140625" style="2" bestFit="1" customWidth="1"/>
    <col min="5392" max="5630" width="9.109375" style="2"/>
    <col min="5631" max="5631" width="19.109375" style="2" customWidth="1"/>
    <col min="5632" max="5632" width="10.5546875" style="2" customWidth="1"/>
    <col min="5633" max="5633" width="9.6640625" style="2" customWidth="1"/>
    <col min="5634" max="5634" width="11.33203125" style="2" customWidth="1"/>
    <col min="5635" max="5636" width="7" style="2" customWidth="1"/>
    <col min="5637" max="5637" width="6.6640625" style="2" customWidth="1"/>
    <col min="5638" max="5638" width="9.88671875" style="2" customWidth="1"/>
    <col min="5639" max="5639" width="7" style="2" customWidth="1"/>
    <col min="5640" max="5640" width="9.44140625" style="2" customWidth="1"/>
    <col min="5641" max="5642" width="11.5546875" style="2" customWidth="1"/>
    <col min="5643" max="5643" width="13.88671875" style="2" customWidth="1"/>
    <col min="5644" max="5644" width="13.6640625" style="2" customWidth="1"/>
    <col min="5645" max="5647" width="13.44140625" style="2" bestFit="1" customWidth="1"/>
    <col min="5648" max="5886" width="9.109375" style="2"/>
    <col min="5887" max="5887" width="19.109375" style="2" customWidth="1"/>
    <col min="5888" max="5888" width="10.5546875" style="2" customWidth="1"/>
    <col min="5889" max="5889" width="9.6640625" style="2" customWidth="1"/>
    <col min="5890" max="5890" width="11.33203125" style="2" customWidth="1"/>
    <col min="5891" max="5892" width="7" style="2" customWidth="1"/>
    <col min="5893" max="5893" width="6.6640625" style="2" customWidth="1"/>
    <col min="5894" max="5894" width="9.88671875" style="2" customWidth="1"/>
    <col min="5895" max="5895" width="7" style="2" customWidth="1"/>
    <col min="5896" max="5896" width="9.44140625" style="2" customWidth="1"/>
    <col min="5897" max="5898" width="11.5546875" style="2" customWidth="1"/>
    <col min="5899" max="5899" width="13.88671875" style="2" customWidth="1"/>
    <col min="5900" max="5900" width="13.6640625" style="2" customWidth="1"/>
    <col min="5901" max="5903" width="13.44140625" style="2" bestFit="1" customWidth="1"/>
    <col min="5904" max="6142" width="9.109375" style="2"/>
    <col min="6143" max="6143" width="19.109375" style="2" customWidth="1"/>
    <col min="6144" max="6144" width="10.5546875" style="2" customWidth="1"/>
    <col min="6145" max="6145" width="9.6640625" style="2" customWidth="1"/>
    <col min="6146" max="6146" width="11.33203125" style="2" customWidth="1"/>
    <col min="6147" max="6148" width="7" style="2" customWidth="1"/>
    <col min="6149" max="6149" width="6.6640625" style="2" customWidth="1"/>
    <col min="6150" max="6150" width="9.88671875" style="2" customWidth="1"/>
    <col min="6151" max="6151" width="7" style="2" customWidth="1"/>
    <col min="6152" max="6152" width="9.44140625" style="2" customWidth="1"/>
    <col min="6153" max="6154" width="11.5546875" style="2" customWidth="1"/>
    <col min="6155" max="6155" width="13.88671875" style="2" customWidth="1"/>
    <col min="6156" max="6156" width="13.6640625" style="2" customWidth="1"/>
    <col min="6157" max="6159" width="13.44140625" style="2" bestFit="1" customWidth="1"/>
    <col min="6160" max="6398" width="9.109375" style="2"/>
    <col min="6399" max="6399" width="19.109375" style="2" customWidth="1"/>
    <col min="6400" max="6400" width="10.5546875" style="2" customWidth="1"/>
    <col min="6401" max="6401" width="9.6640625" style="2" customWidth="1"/>
    <col min="6402" max="6402" width="11.33203125" style="2" customWidth="1"/>
    <col min="6403" max="6404" width="7" style="2" customWidth="1"/>
    <col min="6405" max="6405" width="6.6640625" style="2" customWidth="1"/>
    <col min="6406" max="6406" width="9.88671875" style="2" customWidth="1"/>
    <col min="6407" max="6407" width="7" style="2" customWidth="1"/>
    <col min="6408" max="6408" width="9.44140625" style="2" customWidth="1"/>
    <col min="6409" max="6410" width="11.5546875" style="2" customWidth="1"/>
    <col min="6411" max="6411" width="13.88671875" style="2" customWidth="1"/>
    <col min="6412" max="6412" width="13.6640625" style="2" customWidth="1"/>
    <col min="6413" max="6415" width="13.44140625" style="2" bestFit="1" customWidth="1"/>
    <col min="6416" max="6654" width="9.109375" style="2"/>
    <col min="6655" max="6655" width="19.109375" style="2" customWidth="1"/>
    <col min="6656" max="6656" width="10.5546875" style="2" customWidth="1"/>
    <col min="6657" max="6657" width="9.6640625" style="2" customWidth="1"/>
    <col min="6658" max="6658" width="11.33203125" style="2" customWidth="1"/>
    <col min="6659" max="6660" width="7" style="2" customWidth="1"/>
    <col min="6661" max="6661" width="6.6640625" style="2" customWidth="1"/>
    <col min="6662" max="6662" width="9.88671875" style="2" customWidth="1"/>
    <col min="6663" max="6663" width="7" style="2" customWidth="1"/>
    <col min="6664" max="6664" width="9.44140625" style="2" customWidth="1"/>
    <col min="6665" max="6666" width="11.5546875" style="2" customWidth="1"/>
    <col min="6667" max="6667" width="13.88671875" style="2" customWidth="1"/>
    <col min="6668" max="6668" width="13.6640625" style="2" customWidth="1"/>
    <col min="6669" max="6671" width="13.44140625" style="2" bestFit="1" customWidth="1"/>
    <col min="6672" max="6910" width="9.109375" style="2"/>
    <col min="6911" max="6911" width="19.109375" style="2" customWidth="1"/>
    <col min="6912" max="6912" width="10.5546875" style="2" customWidth="1"/>
    <col min="6913" max="6913" width="9.6640625" style="2" customWidth="1"/>
    <col min="6914" max="6914" width="11.33203125" style="2" customWidth="1"/>
    <col min="6915" max="6916" width="7" style="2" customWidth="1"/>
    <col min="6917" max="6917" width="6.6640625" style="2" customWidth="1"/>
    <col min="6918" max="6918" width="9.88671875" style="2" customWidth="1"/>
    <col min="6919" max="6919" width="7" style="2" customWidth="1"/>
    <col min="6920" max="6920" width="9.44140625" style="2" customWidth="1"/>
    <col min="6921" max="6922" width="11.5546875" style="2" customWidth="1"/>
    <col min="6923" max="6923" width="13.88671875" style="2" customWidth="1"/>
    <col min="6924" max="6924" width="13.6640625" style="2" customWidth="1"/>
    <col min="6925" max="6927" width="13.44140625" style="2" bestFit="1" customWidth="1"/>
    <col min="6928" max="7166" width="9.109375" style="2"/>
    <col min="7167" max="7167" width="19.109375" style="2" customWidth="1"/>
    <col min="7168" max="7168" width="10.5546875" style="2" customWidth="1"/>
    <col min="7169" max="7169" width="9.6640625" style="2" customWidth="1"/>
    <col min="7170" max="7170" width="11.33203125" style="2" customWidth="1"/>
    <col min="7171" max="7172" width="7" style="2" customWidth="1"/>
    <col min="7173" max="7173" width="6.6640625" style="2" customWidth="1"/>
    <col min="7174" max="7174" width="9.88671875" style="2" customWidth="1"/>
    <col min="7175" max="7175" width="7" style="2" customWidth="1"/>
    <col min="7176" max="7176" width="9.44140625" style="2" customWidth="1"/>
    <col min="7177" max="7178" width="11.5546875" style="2" customWidth="1"/>
    <col min="7179" max="7179" width="13.88671875" style="2" customWidth="1"/>
    <col min="7180" max="7180" width="13.6640625" style="2" customWidth="1"/>
    <col min="7181" max="7183" width="13.44140625" style="2" bestFit="1" customWidth="1"/>
    <col min="7184" max="7422" width="9.109375" style="2"/>
    <col min="7423" max="7423" width="19.109375" style="2" customWidth="1"/>
    <col min="7424" max="7424" width="10.5546875" style="2" customWidth="1"/>
    <col min="7425" max="7425" width="9.6640625" style="2" customWidth="1"/>
    <col min="7426" max="7426" width="11.33203125" style="2" customWidth="1"/>
    <col min="7427" max="7428" width="7" style="2" customWidth="1"/>
    <col min="7429" max="7429" width="6.6640625" style="2" customWidth="1"/>
    <col min="7430" max="7430" width="9.88671875" style="2" customWidth="1"/>
    <col min="7431" max="7431" width="7" style="2" customWidth="1"/>
    <col min="7432" max="7432" width="9.44140625" style="2" customWidth="1"/>
    <col min="7433" max="7434" width="11.5546875" style="2" customWidth="1"/>
    <col min="7435" max="7435" width="13.88671875" style="2" customWidth="1"/>
    <col min="7436" max="7436" width="13.6640625" style="2" customWidth="1"/>
    <col min="7437" max="7439" width="13.44140625" style="2" bestFit="1" customWidth="1"/>
    <col min="7440" max="7678" width="9.109375" style="2"/>
    <col min="7679" max="7679" width="19.109375" style="2" customWidth="1"/>
    <col min="7680" max="7680" width="10.5546875" style="2" customWidth="1"/>
    <col min="7681" max="7681" width="9.6640625" style="2" customWidth="1"/>
    <col min="7682" max="7682" width="11.33203125" style="2" customWidth="1"/>
    <col min="7683" max="7684" width="7" style="2" customWidth="1"/>
    <col min="7685" max="7685" width="6.6640625" style="2" customWidth="1"/>
    <col min="7686" max="7686" width="9.88671875" style="2" customWidth="1"/>
    <col min="7687" max="7687" width="7" style="2" customWidth="1"/>
    <col min="7688" max="7688" width="9.44140625" style="2" customWidth="1"/>
    <col min="7689" max="7690" width="11.5546875" style="2" customWidth="1"/>
    <col min="7691" max="7691" width="13.88671875" style="2" customWidth="1"/>
    <col min="7692" max="7692" width="13.6640625" style="2" customWidth="1"/>
    <col min="7693" max="7695" width="13.44140625" style="2" bestFit="1" customWidth="1"/>
    <col min="7696" max="7934" width="9.109375" style="2"/>
    <col min="7935" max="7935" width="19.109375" style="2" customWidth="1"/>
    <col min="7936" max="7936" width="10.5546875" style="2" customWidth="1"/>
    <col min="7937" max="7937" width="9.6640625" style="2" customWidth="1"/>
    <col min="7938" max="7938" width="11.33203125" style="2" customWidth="1"/>
    <col min="7939" max="7940" width="7" style="2" customWidth="1"/>
    <col min="7941" max="7941" width="6.6640625" style="2" customWidth="1"/>
    <col min="7942" max="7942" width="9.88671875" style="2" customWidth="1"/>
    <col min="7943" max="7943" width="7" style="2" customWidth="1"/>
    <col min="7944" max="7944" width="9.44140625" style="2" customWidth="1"/>
    <col min="7945" max="7946" width="11.5546875" style="2" customWidth="1"/>
    <col min="7947" max="7947" width="13.88671875" style="2" customWidth="1"/>
    <col min="7948" max="7948" width="13.6640625" style="2" customWidth="1"/>
    <col min="7949" max="7951" width="13.44140625" style="2" bestFit="1" customWidth="1"/>
    <col min="7952" max="8190" width="9.109375" style="2"/>
    <col min="8191" max="8191" width="19.109375" style="2" customWidth="1"/>
    <col min="8192" max="8192" width="10.5546875" style="2" customWidth="1"/>
    <col min="8193" max="8193" width="9.6640625" style="2" customWidth="1"/>
    <col min="8194" max="8194" width="11.33203125" style="2" customWidth="1"/>
    <col min="8195" max="8196" width="7" style="2" customWidth="1"/>
    <col min="8197" max="8197" width="6.6640625" style="2" customWidth="1"/>
    <col min="8198" max="8198" width="9.88671875" style="2" customWidth="1"/>
    <col min="8199" max="8199" width="7" style="2" customWidth="1"/>
    <col min="8200" max="8200" width="9.44140625" style="2" customWidth="1"/>
    <col min="8201" max="8202" width="11.5546875" style="2" customWidth="1"/>
    <col min="8203" max="8203" width="13.88671875" style="2" customWidth="1"/>
    <col min="8204" max="8204" width="13.6640625" style="2" customWidth="1"/>
    <col min="8205" max="8207" width="13.44140625" style="2" bestFit="1" customWidth="1"/>
    <col min="8208" max="8446" width="9.109375" style="2"/>
    <col min="8447" max="8447" width="19.109375" style="2" customWidth="1"/>
    <col min="8448" max="8448" width="10.5546875" style="2" customWidth="1"/>
    <col min="8449" max="8449" width="9.6640625" style="2" customWidth="1"/>
    <col min="8450" max="8450" width="11.33203125" style="2" customWidth="1"/>
    <col min="8451" max="8452" width="7" style="2" customWidth="1"/>
    <col min="8453" max="8453" width="6.6640625" style="2" customWidth="1"/>
    <col min="8454" max="8454" width="9.88671875" style="2" customWidth="1"/>
    <col min="8455" max="8455" width="7" style="2" customWidth="1"/>
    <col min="8456" max="8456" width="9.44140625" style="2" customWidth="1"/>
    <col min="8457" max="8458" width="11.5546875" style="2" customWidth="1"/>
    <col min="8459" max="8459" width="13.88671875" style="2" customWidth="1"/>
    <col min="8460" max="8460" width="13.6640625" style="2" customWidth="1"/>
    <col min="8461" max="8463" width="13.44140625" style="2" bestFit="1" customWidth="1"/>
    <col min="8464" max="8702" width="9.109375" style="2"/>
    <col min="8703" max="8703" width="19.109375" style="2" customWidth="1"/>
    <col min="8704" max="8704" width="10.5546875" style="2" customWidth="1"/>
    <col min="8705" max="8705" width="9.6640625" style="2" customWidth="1"/>
    <col min="8706" max="8706" width="11.33203125" style="2" customWidth="1"/>
    <col min="8707" max="8708" width="7" style="2" customWidth="1"/>
    <col min="8709" max="8709" width="6.6640625" style="2" customWidth="1"/>
    <col min="8710" max="8710" width="9.88671875" style="2" customWidth="1"/>
    <col min="8711" max="8711" width="7" style="2" customWidth="1"/>
    <col min="8712" max="8712" width="9.44140625" style="2" customWidth="1"/>
    <col min="8713" max="8714" width="11.5546875" style="2" customWidth="1"/>
    <col min="8715" max="8715" width="13.88671875" style="2" customWidth="1"/>
    <col min="8716" max="8716" width="13.6640625" style="2" customWidth="1"/>
    <col min="8717" max="8719" width="13.44140625" style="2" bestFit="1" customWidth="1"/>
    <col min="8720" max="8958" width="9.109375" style="2"/>
    <col min="8959" max="8959" width="19.109375" style="2" customWidth="1"/>
    <col min="8960" max="8960" width="10.5546875" style="2" customWidth="1"/>
    <col min="8961" max="8961" width="9.6640625" style="2" customWidth="1"/>
    <col min="8962" max="8962" width="11.33203125" style="2" customWidth="1"/>
    <col min="8963" max="8964" width="7" style="2" customWidth="1"/>
    <col min="8965" max="8965" width="6.6640625" style="2" customWidth="1"/>
    <col min="8966" max="8966" width="9.88671875" style="2" customWidth="1"/>
    <col min="8967" max="8967" width="7" style="2" customWidth="1"/>
    <col min="8968" max="8968" width="9.44140625" style="2" customWidth="1"/>
    <col min="8969" max="8970" width="11.5546875" style="2" customWidth="1"/>
    <col min="8971" max="8971" width="13.88671875" style="2" customWidth="1"/>
    <col min="8972" max="8972" width="13.6640625" style="2" customWidth="1"/>
    <col min="8973" max="8975" width="13.44140625" style="2" bestFit="1" customWidth="1"/>
    <col min="8976" max="9214" width="9.109375" style="2"/>
    <col min="9215" max="9215" width="19.109375" style="2" customWidth="1"/>
    <col min="9216" max="9216" width="10.5546875" style="2" customWidth="1"/>
    <col min="9217" max="9217" width="9.6640625" style="2" customWidth="1"/>
    <col min="9218" max="9218" width="11.33203125" style="2" customWidth="1"/>
    <col min="9219" max="9220" width="7" style="2" customWidth="1"/>
    <col min="9221" max="9221" width="6.6640625" style="2" customWidth="1"/>
    <col min="9222" max="9222" width="9.88671875" style="2" customWidth="1"/>
    <col min="9223" max="9223" width="7" style="2" customWidth="1"/>
    <col min="9224" max="9224" width="9.44140625" style="2" customWidth="1"/>
    <col min="9225" max="9226" width="11.5546875" style="2" customWidth="1"/>
    <col min="9227" max="9227" width="13.88671875" style="2" customWidth="1"/>
    <col min="9228" max="9228" width="13.6640625" style="2" customWidth="1"/>
    <col min="9229" max="9231" width="13.44140625" style="2" bestFit="1" customWidth="1"/>
    <col min="9232" max="9470" width="9.109375" style="2"/>
    <col min="9471" max="9471" width="19.109375" style="2" customWidth="1"/>
    <col min="9472" max="9472" width="10.5546875" style="2" customWidth="1"/>
    <col min="9473" max="9473" width="9.6640625" style="2" customWidth="1"/>
    <col min="9474" max="9474" width="11.33203125" style="2" customWidth="1"/>
    <col min="9475" max="9476" width="7" style="2" customWidth="1"/>
    <col min="9477" max="9477" width="6.6640625" style="2" customWidth="1"/>
    <col min="9478" max="9478" width="9.88671875" style="2" customWidth="1"/>
    <col min="9479" max="9479" width="7" style="2" customWidth="1"/>
    <col min="9480" max="9480" width="9.44140625" style="2" customWidth="1"/>
    <col min="9481" max="9482" width="11.5546875" style="2" customWidth="1"/>
    <col min="9483" max="9483" width="13.88671875" style="2" customWidth="1"/>
    <col min="9484" max="9484" width="13.6640625" style="2" customWidth="1"/>
    <col min="9485" max="9487" width="13.44140625" style="2" bestFit="1" customWidth="1"/>
    <col min="9488" max="9726" width="9.109375" style="2"/>
    <col min="9727" max="9727" width="19.109375" style="2" customWidth="1"/>
    <col min="9728" max="9728" width="10.5546875" style="2" customWidth="1"/>
    <col min="9729" max="9729" width="9.6640625" style="2" customWidth="1"/>
    <col min="9730" max="9730" width="11.33203125" style="2" customWidth="1"/>
    <col min="9731" max="9732" width="7" style="2" customWidth="1"/>
    <col min="9733" max="9733" width="6.6640625" style="2" customWidth="1"/>
    <col min="9734" max="9734" width="9.88671875" style="2" customWidth="1"/>
    <col min="9735" max="9735" width="7" style="2" customWidth="1"/>
    <col min="9736" max="9736" width="9.44140625" style="2" customWidth="1"/>
    <col min="9737" max="9738" width="11.5546875" style="2" customWidth="1"/>
    <col min="9739" max="9739" width="13.88671875" style="2" customWidth="1"/>
    <col min="9740" max="9740" width="13.6640625" style="2" customWidth="1"/>
    <col min="9741" max="9743" width="13.44140625" style="2" bestFit="1" customWidth="1"/>
    <col min="9744" max="9982" width="9.109375" style="2"/>
    <col min="9983" max="9983" width="19.109375" style="2" customWidth="1"/>
    <col min="9984" max="9984" width="10.5546875" style="2" customWidth="1"/>
    <col min="9985" max="9985" width="9.6640625" style="2" customWidth="1"/>
    <col min="9986" max="9986" width="11.33203125" style="2" customWidth="1"/>
    <col min="9987" max="9988" width="7" style="2" customWidth="1"/>
    <col min="9989" max="9989" width="6.6640625" style="2" customWidth="1"/>
    <col min="9990" max="9990" width="9.88671875" style="2" customWidth="1"/>
    <col min="9991" max="9991" width="7" style="2" customWidth="1"/>
    <col min="9992" max="9992" width="9.44140625" style="2" customWidth="1"/>
    <col min="9993" max="9994" width="11.5546875" style="2" customWidth="1"/>
    <col min="9995" max="9995" width="13.88671875" style="2" customWidth="1"/>
    <col min="9996" max="9996" width="13.6640625" style="2" customWidth="1"/>
    <col min="9997" max="9999" width="13.44140625" style="2" bestFit="1" customWidth="1"/>
    <col min="10000" max="10238" width="9.109375" style="2"/>
    <col min="10239" max="10239" width="19.109375" style="2" customWidth="1"/>
    <col min="10240" max="10240" width="10.5546875" style="2" customWidth="1"/>
    <col min="10241" max="10241" width="9.6640625" style="2" customWidth="1"/>
    <col min="10242" max="10242" width="11.33203125" style="2" customWidth="1"/>
    <col min="10243" max="10244" width="7" style="2" customWidth="1"/>
    <col min="10245" max="10245" width="6.6640625" style="2" customWidth="1"/>
    <col min="10246" max="10246" width="9.88671875" style="2" customWidth="1"/>
    <col min="10247" max="10247" width="7" style="2" customWidth="1"/>
    <col min="10248" max="10248" width="9.44140625" style="2" customWidth="1"/>
    <col min="10249" max="10250" width="11.5546875" style="2" customWidth="1"/>
    <col min="10251" max="10251" width="13.88671875" style="2" customWidth="1"/>
    <col min="10252" max="10252" width="13.6640625" style="2" customWidth="1"/>
    <col min="10253" max="10255" width="13.44140625" style="2" bestFit="1" customWidth="1"/>
    <col min="10256" max="10494" width="9.109375" style="2"/>
    <col min="10495" max="10495" width="19.109375" style="2" customWidth="1"/>
    <col min="10496" max="10496" width="10.5546875" style="2" customWidth="1"/>
    <col min="10497" max="10497" width="9.6640625" style="2" customWidth="1"/>
    <col min="10498" max="10498" width="11.33203125" style="2" customWidth="1"/>
    <col min="10499" max="10500" width="7" style="2" customWidth="1"/>
    <col min="10501" max="10501" width="6.6640625" style="2" customWidth="1"/>
    <col min="10502" max="10502" width="9.88671875" style="2" customWidth="1"/>
    <col min="10503" max="10503" width="7" style="2" customWidth="1"/>
    <col min="10504" max="10504" width="9.44140625" style="2" customWidth="1"/>
    <col min="10505" max="10506" width="11.5546875" style="2" customWidth="1"/>
    <col min="10507" max="10507" width="13.88671875" style="2" customWidth="1"/>
    <col min="10508" max="10508" width="13.6640625" style="2" customWidth="1"/>
    <col min="10509" max="10511" width="13.44140625" style="2" bestFit="1" customWidth="1"/>
    <col min="10512" max="10750" width="9.109375" style="2"/>
    <col min="10751" max="10751" width="19.109375" style="2" customWidth="1"/>
    <col min="10752" max="10752" width="10.5546875" style="2" customWidth="1"/>
    <col min="10753" max="10753" width="9.6640625" style="2" customWidth="1"/>
    <col min="10754" max="10754" width="11.33203125" style="2" customWidth="1"/>
    <col min="10755" max="10756" width="7" style="2" customWidth="1"/>
    <col min="10757" max="10757" width="6.6640625" style="2" customWidth="1"/>
    <col min="10758" max="10758" width="9.88671875" style="2" customWidth="1"/>
    <col min="10759" max="10759" width="7" style="2" customWidth="1"/>
    <col min="10760" max="10760" width="9.44140625" style="2" customWidth="1"/>
    <col min="10761" max="10762" width="11.5546875" style="2" customWidth="1"/>
    <col min="10763" max="10763" width="13.88671875" style="2" customWidth="1"/>
    <col min="10764" max="10764" width="13.6640625" style="2" customWidth="1"/>
    <col min="10765" max="10767" width="13.44140625" style="2" bestFit="1" customWidth="1"/>
    <col min="10768" max="11006" width="9.109375" style="2"/>
    <col min="11007" max="11007" width="19.109375" style="2" customWidth="1"/>
    <col min="11008" max="11008" width="10.5546875" style="2" customWidth="1"/>
    <col min="11009" max="11009" width="9.6640625" style="2" customWidth="1"/>
    <col min="11010" max="11010" width="11.33203125" style="2" customWidth="1"/>
    <col min="11011" max="11012" width="7" style="2" customWidth="1"/>
    <col min="11013" max="11013" width="6.6640625" style="2" customWidth="1"/>
    <col min="11014" max="11014" width="9.88671875" style="2" customWidth="1"/>
    <col min="11015" max="11015" width="7" style="2" customWidth="1"/>
    <col min="11016" max="11016" width="9.44140625" style="2" customWidth="1"/>
    <col min="11017" max="11018" width="11.5546875" style="2" customWidth="1"/>
    <col min="11019" max="11019" width="13.88671875" style="2" customWidth="1"/>
    <col min="11020" max="11020" width="13.6640625" style="2" customWidth="1"/>
    <col min="11021" max="11023" width="13.44140625" style="2" bestFit="1" customWidth="1"/>
    <col min="11024" max="11262" width="9.109375" style="2"/>
    <col min="11263" max="11263" width="19.109375" style="2" customWidth="1"/>
    <col min="11264" max="11264" width="10.5546875" style="2" customWidth="1"/>
    <col min="11265" max="11265" width="9.6640625" style="2" customWidth="1"/>
    <col min="11266" max="11266" width="11.33203125" style="2" customWidth="1"/>
    <col min="11267" max="11268" width="7" style="2" customWidth="1"/>
    <col min="11269" max="11269" width="6.6640625" style="2" customWidth="1"/>
    <col min="11270" max="11270" width="9.88671875" style="2" customWidth="1"/>
    <col min="11271" max="11271" width="7" style="2" customWidth="1"/>
    <col min="11272" max="11272" width="9.44140625" style="2" customWidth="1"/>
    <col min="11273" max="11274" width="11.5546875" style="2" customWidth="1"/>
    <col min="11275" max="11275" width="13.88671875" style="2" customWidth="1"/>
    <col min="11276" max="11276" width="13.6640625" style="2" customWidth="1"/>
    <col min="11277" max="11279" width="13.44140625" style="2" bestFit="1" customWidth="1"/>
    <col min="11280" max="11518" width="9.109375" style="2"/>
    <col min="11519" max="11519" width="19.109375" style="2" customWidth="1"/>
    <col min="11520" max="11520" width="10.5546875" style="2" customWidth="1"/>
    <col min="11521" max="11521" width="9.6640625" style="2" customWidth="1"/>
    <col min="11522" max="11522" width="11.33203125" style="2" customWidth="1"/>
    <col min="11523" max="11524" width="7" style="2" customWidth="1"/>
    <col min="11525" max="11525" width="6.6640625" style="2" customWidth="1"/>
    <col min="11526" max="11526" width="9.88671875" style="2" customWidth="1"/>
    <col min="11527" max="11527" width="7" style="2" customWidth="1"/>
    <col min="11528" max="11528" width="9.44140625" style="2" customWidth="1"/>
    <col min="11529" max="11530" width="11.5546875" style="2" customWidth="1"/>
    <col min="11531" max="11531" width="13.88671875" style="2" customWidth="1"/>
    <col min="11532" max="11532" width="13.6640625" style="2" customWidth="1"/>
    <col min="11533" max="11535" width="13.44140625" style="2" bestFit="1" customWidth="1"/>
    <col min="11536" max="11774" width="9.109375" style="2"/>
    <col min="11775" max="11775" width="19.109375" style="2" customWidth="1"/>
    <col min="11776" max="11776" width="10.5546875" style="2" customWidth="1"/>
    <col min="11777" max="11777" width="9.6640625" style="2" customWidth="1"/>
    <col min="11778" max="11778" width="11.33203125" style="2" customWidth="1"/>
    <col min="11779" max="11780" width="7" style="2" customWidth="1"/>
    <col min="11781" max="11781" width="6.6640625" style="2" customWidth="1"/>
    <col min="11782" max="11782" width="9.88671875" style="2" customWidth="1"/>
    <col min="11783" max="11783" width="7" style="2" customWidth="1"/>
    <col min="11784" max="11784" width="9.44140625" style="2" customWidth="1"/>
    <col min="11785" max="11786" width="11.5546875" style="2" customWidth="1"/>
    <col min="11787" max="11787" width="13.88671875" style="2" customWidth="1"/>
    <col min="11788" max="11788" width="13.6640625" style="2" customWidth="1"/>
    <col min="11789" max="11791" width="13.44140625" style="2" bestFit="1" customWidth="1"/>
    <col min="11792" max="12030" width="9.109375" style="2"/>
    <col min="12031" max="12031" width="19.109375" style="2" customWidth="1"/>
    <col min="12032" max="12032" width="10.5546875" style="2" customWidth="1"/>
    <col min="12033" max="12033" width="9.6640625" style="2" customWidth="1"/>
    <col min="12034" max="12034" width="11.33203125" style="2" customWidth="1"/>
    <col min="12035" max="12036" width="7" style="2" customWidth="1"/>
    <col min="12037" max="12037" width="6.6640625" style="2" customWidth="1"/>
    <col min="12038" max="12038" width="9.88671875" style="2" customWidth="1"/>
    <col min="12039" max="12039" width="7" style="2" customWidth="1"/>
    <col min="12040" max="12040" width="9.44140625" style="2" customWidth="1"/>
    <col min="12041" max="12042" width="11.5546875" style="2" customWidth="1"/>
    <col min="12043" max="12043" width="13.88671875" style="2" customWidth="1"/>
    <col min="12044" max="12044" width="13.6640625" style="2" customWidth="1"/>
    <col min="12045" max="12047" width="13.44140625" style="2" bestFit="1" customWidth="1"/>
    <col min="12048" max="12286" width="9.109375" style="2"/>
    <col min="12287" max="12287" width="19.109375" style="2" customWidth="1"/>
    <col min="12288" max="12288" width="10.5546875" style="2" customWidth="1"/>
    <col min="12289" max="12289" width="9.6640625" style="2" customWidth="1"/>
    <col min="12290" max="12290" width="11.33203125" style="2" customWidth="1"/>
    <col min="12291" max="12292" width="7" style="2" customWidth="1"/>
    <col min="12293" max="12293" width="6.6640625" style="2" customWidth="1"/>
    <col min="12294" max="12294" width="9.88671875" style="2" customWidth="1"/>
    <col min="12295" max="12295" width="7" style="2" customWidth="1"/>
    <col min="12296" max="12296" width="9.44140625" style="2" customWidth="1"/>
    <col min="12297" max="12298" width="11.5546875" style="2" customWidth="1"/>
    <col min="12299" max="12299" width="13.88671875" style="2" customWidth="1"/>
    <col min="12300" max="12300" width="13.6640625" style="2" customWidth="1"/>
    <col min="12301" max="12303" width="13.44140625" style="2" bestFit="1" customWidth="1"/>
    <col min="12304" max="12542" width="9.109375" style="2"/>
    <col min="12543" max="12543" width="19.109375" style="2" customWidth="1"/>
    <col min="12544" max="12544" width="10.5546875" style="2" customWidth="1"/>
    <col min="12545" max="12545" width="9.6640625" style="2" customWidth="1"/>
    <col min="12546" max="12546" width="11.33203125" style="2" customWidth="1"/>
    <col min="12547" max="12548" width="7" style="2" customWidth="1"/>
    <col min="12549" max="12549" width="6.6640625" style="2" customWidth="1"/>
    <col min="12550" max="12550" width="9.88671875" style="2" customWidth="1"/>
    <col min="12551" max="12551" width="7" style="2" customWidth="1"/>
    <col min="12552" max="12552" width="9.44140625" style="2" customWidth="1"/>
    <col min="12553" max="12554" width="11.5546875" style="2" customWidth="1"/>
    <col min="12555" max="12555" width="13.88671875" style="2" customWidth="1"/>
    <col min="12556" max="12556" width="13.6640625" style="2" customWidth="1"/>
    <col min="12557" max="12559" width="13.44140625" style="2" bestFit="1" customWidth="1"/>
    <col min="12560" max="12798" width="9.109375" style="2"/>
    <col min="12799" max="12799" width="19.109375" style="2" customWidth="1"/>
    <col min="12800" max="12800" width="10.5546875" style="2" customWidth="1"/>
    <col min="12801" max="12801" width="9.6640625" style="2" customWidth="1"/>
    <col min="12802" max="12802" width="11.33203125" style="2" customWidth="1"/>
    <col min="12803" max="12804" width="7" style="2" customWidth="1"/>
    <col min="12805" max="12805" width="6.6640625" style="2" customWidth="1"/>
    <col min="12806" max="12806" width="9.88671875" style="2" customWidth="1"/>
    <col min="12807" max="12807" width="7" style="2" customWidth="1"/>
    <col min="12808" max="12808" width="9.44140625" style="2" customWidth="1"/>
    <col min="12809" max="12810" width="11.5546875" style="2" customWidth="1"/>
    <col min="12811" max="12811" width="13.88671875" style="2" customWidth="1"/>
    <col min="12812" max="12812" width="13.6640625" style="2" customWidth="1"/>
    <col min="12813" max="12815" width="13.44140625" style="2" bestFit="1" customWidth="1"/>
    <col min="12816" max="13054" width="9.109375" style="2"/>
    <col min="13055" max="13055" width="19.109375" style="2" customWidth="1"/>
    <col min="13056" max="13056" width="10.5546875" style="2" customWidth="1"/>
    <col min="13057" max="13057" width="9.6640625" style="2" customWidth="1"/>
    <col min="13058" max="13058" width="11.33203125" style="2" customWidth="1"/>
    <col min="13059" max="13060" width="7" style="2" customWidth="1"/>
    <col min="13061" max="13061" width="6.6640625" style="2" customWidth="1"/>
    <col min="13062" max="13062" width="9.88671875" style="2" customWidth="1"/>
    <col min="13063" max="13063" width="7" style="2" customWidth="1"/>
    <col min="13064" max="13064" width="9.44140625" style="2" customWidth="1"/>
    <col min="13065" max="13066" width="11.5546875" style="2" customWidth="1"/>
    <col min="13067" max="13067" width="13.88671875" style="2" customWidth="1"/>
    <col min="13068" max="13068" width="13.6640625" style="2" customWidth="1"/>
    <col min="13069" max="13071" width="13.44140625" style="2" bestFit="1" customWidth="1"/>
    <col min="13072" max="13310" width="9.109375" style="2"/>
    <col min="13311" max="13311" width="19.109375" style="2" customWidth="1"/>
    <col min="13312" max="13312" width="10.5546875" style="2" customWidth="1"/>
    <col min="13313" max="13313" width="9.6640625" style="2" customWidth="1"/>
    <col min="13314" max="13314" width="11.33203125" style="2" customWidth="1"/>
    <col min="13315" max="13316" width="7" style="2" customWidth="1"/>
    <col min="13317" max="13317" width="6.6640625" style="2" customWidth="1"/>
    <col min="13318" max="13318" width="9.88671875" style="2" customWidth="1"/>
    <col min="13319" max="13319" width="7" style="2" customWidth="1"/>
    <col min="13320" max="13320" width="9.44140625" style="2" customWidth="1"/>
    <col min="13321" max="13322" width="11.5546875" style="2" customWidth="1"/>
    <col min="13323" max="13323" width="13.88671875" style="2" customWidth="1"/>
    <col min="13324" max="13324" width="13.6640625" style="2" customWidth="1"/>
    <col min="13325" max="13327" width="13.44140625" style="2" bestFit="1" customWidth="1"/>
    <col min="13328" max="13566" width="9.109375" style="2"/>
    <col min="13567" max="13567" width="19.109375" style="2" customWidth="1"/>
    <col min="13568" max="13568" width="10.5546875" style="2" customWidth="1"/>
    <col min="13569" max="13569" width="9.6640625" style="2" customWidth="1"/>
    <col min="13570" max="13570" width="11.33203125" style="2" customWidth="1"/>
    <col min="13571" max="13572" width="7" style="2" customWidth="1"/>
    <col min="13573" max="13573" width="6.6640625" style="2" customWidth="1"/>
    <col min="13574" max="13574" width="9.88671875" style="2" customWidth="1"/>
    <col min="13575" max="13575" width="7" style="2" customWidth="1"/>
    <col min="13576" max="13576" width="9.44140625" style="2" customWidth="1"/>
    <col min="13577" max="13578" width="11.5546875" style="2" customWidth="1"/>
    <col min="13579" max="13579" width="13.88671875" style="2" customWidth="1"/>
    <col min="13580" max="13580" width="13.6640625" style="2" customWidth="1"/>
    <col min="13581" max="13583" width="13.44140625" style="2" bestFit="1" customWidth="1"/>
    <col min="13584" max="13822" width="9.109375" style="2"/>
    <col min="13823" max="13823" width="19.109375" style="2" customWidth="1"/>
    <col min="13824" max="13824" width="10.5546875" style="2" customWidth="1"/>
    <col min="13825" max="13825" width="9.6640625" style="2" customWidth="1"/>
    <col min="13826" max="13826" width="11.33203125" style="2" customWidth="1"/>
    <col min="13827" max="13828" width="7" style="2" customWidth="1"/>
    <col min="13829" max="13829" width="6.6640625" style="2" customWidth="1"/>
    <col min="13830" max="13830" width="9.88671875" style="2" customWidth="1"/>
    <col min="13831" max="13831" width="7" style="2" customWidth="1"/>
    <col min="13832" max="13832" width="9.44140625" style="2" customWidth="1"/>
    <col min="13833" max="13834" width="11.5546875" style="2" customWidth="1"/>
    <col min="13835" max="13835" width="13.88671875" style="2" customWidth="1"/>
    <col min="13836" max="13836" width="13.6640625" style="2" customWidth="1"/>
    <col min="13837" max="13839" width="13.44140625" style="2" bestFit="1" customWidth="1"/>
    <col min="13840" max="14078" width="9.109375" style="2"/>
    <col min="14079" max="14079" width="19.109375" style="2" customWidth="1"/>
    <col min="14080" max="14080" width="10.5546875" style="2" customWidth="1"/>
    <col min="14081" max="14081" width="9.6640625" style="2" customWidth="1"/>
    <col min="14082" max="14082" width="11.33203125" style="2" customWidth="1"/>
    <col min="14083" max="14084" width="7" style="2" customWidth="1"/>
    <col min="14085" max="14085" width="6.6640625" style="2" customWidth="1"/>
    <col min="14086" max="14086" width="9.88671875" style="2" customWidth="1"/>
    <col min="14087" max="14087" width="7" style="2" customWidth="1"/>
    <col min="14088" max="14088" width="9.44140625" style="2" customWidth="1"/>
    <col min="14089" max="14090" width="11.5546875" style="2" customWidth="1"/>
    <col min="14091" max="14091" width="13.88671875" style="2" customWidth="1"/>
    <col min="14092" max="14092" width="13.6640625" style="2" customWidth="1"/>
    <col min="14093" max="14095" width="13.44140625" style="2" bestFit="1" customWidth="1"/>
    <col min="14096" max="14334" width="9.109375" style="2"/>
    <col min="14335" max="14335" width="19.109375" style="2" customWidth="1"/>
    <col min="14336" max="14336" width="10.5546875" style="2" customWidth="1"/>
    <col min="14337" max="14337" width="9.6640625" style="2" customWidth="1"/>
    <col min="14338" max="14338" width="11.33203125" style="2" customWidth="1"/>
    <col min="14339" max="14340" width="7" style="2" customWidth="1"/>
    <col min="14341" max="14341" width="6.6640625" style="2" customWidth="1"/>
    <col min="14342" max="14342" width="9.88671875" style="2" customWidth="1"/>
    <col min="14343" max="14343" width="7" style="2" customWidth="1"/>
    <col min="14344" max="14344" width="9.44140625" style="2" customWidth="1"/>
    <col min="14345" max="14346" width="11.5546875" style="2" customWidth="1"/>
    <col min="14347" max="14347" width="13.88671875" style="2" customWidth="1"/>
    <col min="14348" max="14348" width="13.6640625" style="2" customWidth="1"/>
    <col min="14349" max="14351" width="13.44140625" style="2" bestFit="1" customWidth="1"/>
    <col min="14352" max="14590" width="9.109375" style="2"/>
    <col min="14591" max="14591" width="19.109375" style="2" customWidth="1"/>
    <col min="14592" max="14592" width="10.5546875" style="2" customWidth="1"/>
    <col min="14593" max="14593" width="9.6640625" style="2" customWidth="1"/>
    <col min="14594" max="14594" width="11.33203125" style="2" customWidth="1"/>
    <col min="14595" max="14596" width="7" style="2" customWidth="1"/>
    <col min="14597" max="14597" width="6.6640625" style="2" customWidth="1"/>
    <col min="14598" max="14598" width="9.88671875" style="2" customWidth="1"/>
    <col min="14599" max="14599" width="7" style="2" customWidth="1"/>
    <col min="14600" max="14600" width="9.44140625" style="2" customWidth="1"/>
    <col min="14601" max="14602" width="11.5546875" style="2" customWidth="1"/>
    <col min="14603" max="14603" width="13.88671875" style="2" customWidth="1"/>
    <col min="14604" max="14604" width="13.6640625" style="2" customWidth="1"/>
    <col min="14605" max="14607" width="13.44140625" style="2" bestFit="1" customWidth="1"/>
    <col min="14608" max="14846" width="9.109375" style="2"/>
    <col min="14847" max="14847" width="19.109375" style="2" customWidth="1"/>
    <col min="14848" max="14848" width="10.5546875" style="2" customWidth="1"/>
    <col min="14849" max="14849" width="9.6640625" style="2" customWidth="1"/>
    <col min="14850" max="14850" width="11.33203125" style="2" customWidth="1"/>
    <col min="14851" max="14852" width="7" style="2" customWidth="1"/>
    <col min="14853" max="14853" width="6.6640625" style="2" customWidth="1"/>
    <col min="14854" max="14854" width="9.88671875" style="2" customWidth="1"/>
    <col min="14855" max="14855" width="7" style="2" customWidth="1"/>
    <col min="14856" max="14856" width="9.44140625" style="2" customWidth="1"/>
    <col min="14857" max="14858" width="11.5546875" style="2" customWidth="1"/>
    <col min="14859" max="14859" width="13.88671875" style="2" customWidth="1"/>
    <col min="14860" max="14860" width="13.6640625" style="2" customWidth="1"/>
    <col min="14861" max="14863" width="13.44140625" style="2" bestFit="1" customWidth="1"/>
    <col min="14864" max="15102" width="9.109375" style="2"/>
    <col min="15103" max="15103" width="19.109375" style="2" customWidth="1"/>
    <col min="15104" max="15104" width="10.5546875" style="2" customWidth="1"/>
    <col min="15105" max="15105" width="9.6640625" style="2" customWidth="1"/>
    <col min="15106" max="15106" width="11.33203125" style="2" customWidth="1"/>
    <col min="15107" max="15108" width="7" style="2" customWidth="1"/>
    <col min="15109" max="15109" width="6.6640625" style="2" customWidth="1"/>
    <col min="15110" max="15110" width="9.88671875" style="2" customWidth="1"/>
    <col min="15111" max="15111" width="7" style="2" customWidth="1"/>
    <col min="15112" max="15112" width="9.44140625" style="2" customWidth="1"/>
    <col min="15113" max="15114" width="11.5546875" style="2" customWidth="1"/>
    <col min="15115" max="15115" width="13.88671875" style="2" customWidth="1"/>
    <col min="15116" max="15116" width="13.6640625" style="2" customWidth="1"/>
    <col min="15117" max="15119" width="13.44140625" style="2" bestFit="1" customWidth="1"/>
    <col min="15120" max="15358" width="9.109375" style="2"/>
    <col min="15359" max="15359" width="19.109375" style="2" customWidth="1"/>
    <col min="15360" max="15360" width="10.5546875" style="2" customWidth="1"/>
    <col min="15361" max="15361" width="9.6640625" style="2" customWidth="1"/>
    <col min="15362" max="15362" width="11.33203125" style="2" customWidth="1"/>
    <col min="15363" max="15364" width="7" style="2" customWidth="1"/>
    <col min="15365" max="15365" width="6.6640625" style="2" customWidth="1"/>
    <col min="15366" max="15366" width="9.88671875" style="2" customWidth="1"/>
    <col min="15367" max="15367" width="7" style="2" customWidth="1"/>
    <col min="15368" max="15368" width="9.44140625" style="2" customWidth="1"/>
    <col min="15369" max="15370" width="11.5546875" style="2" customWidth="1"/>
    <col min="15371" max="15371" width="13.88671875" style="2" customWidth="1"/>
    <col min="15372" max="15372" width="13.6640625" style="2" customWidth="1"/>
    <col min="15373" max="15375" width="13.44140625" style="2" bestFit="1" customWidth="1"/>
    <col min="15376" max="15614" width="9.109375" style="2"/>
    <col min="15615" max="15615" width="19.109375" style="2" customWidth="1"/>
    <col min="15616" max="15616" width="10.5546875" style="2" customWidth="1"/>
    <col min="15617" max="15617" width="9.6640625" style="2" customWidth="1"/>
    <col min="15618" max="15618" width="11.33203125" style="2" customWidth="1"/>
    <col min="15619" max="15620" width="7" style="2" customWidth="1"/>
    <col min="15621" max="15621" width="6.6640625" style="2" customWidth="1"/>
    <col min="15622" max="15622" width="9.88671875" style="2" customWidth="1"/>
    <col min="15623" max="15623" width="7" style="2" customWidth="1"/>
    <col min="15624" max="15624" width="9.44140625" style="2" customWidth="1"/>
    <col min="15625" max="15626" width="11.5546875" style="2" customWidth="1"/>
    <col min="15627" max="15627" width="13.88671875" style="2" customWidth="1"/>
    <col min="15628" max="15628" width="13.6640625" style="2" customWidth="1"/>
    <col min="15629" max="15631" width="13.44140625" style="2" bestFit="1" customWidth="1"/>
    <col min="15632" max="15870" width="9.109375" style="2"/>
    <col min="15871" max="15871" width="19.109375" style="2" customWidth="1"/>
    <col min="15872" max="15872" width="10.5546875" style="2" customWidth="1"/>
    <col min="15873" max="15873" width="9.6640625" style="2" customWidth="1"/>
    <col min="15874" max="15874" width="11.33203125" style="2" customWidth="1"/>
    <col min="15875" max="15876" width="7" style="2" customWidth="1"/>
    <col min="15877" max="15877" width="6.6640625" style="2" customWidth="1"/>
    <col min="15878" max="15878" width="9.88671875" style="2" customWidth="1"/>
    <col min="15879" max="15879" width="7" style="2" customWidth="1"/>
    <col min="15880" max="15880" width="9.44140625" style="2" customWidth="1"/>
    <col min="15881" max="15882" width="11.5546875" style="2" customWidth="1"/>
    <col min="15883" max="15883" width="13.88671875" style="2" customWidth="1"/>
    <col min="15884" max="15884" width="13.6640625" style="2" customWidth="1"/>
    <col min="15885" max="15887" width="13.44140625" style="2" bestFit="1" customWidth="1"/>
    <col min="15888" max="16126" width="9.109375" style="2"/>
    <col min="16127" max="16127" width="19.109375" style="2" customWidth="1"/>
    <col min="16128" max="16128" width="10.5546875" style="2" customWidth="1"/>
    <col min="16129" max="16129" width="9.6640625" style="2" customWidth="1"/>
    <col min="16130" max="16130" width="11.33203125" style="2" customWidth="1"/>
    <col min="16131" max="16132" width="7" style="2" customWidth="1"/>
    <col min="16133" max="16133" width="6.6640625" style="2" customWidth="1"/>
    <col min="16134" max="16134" width="9.88671875" style="2" customWidth="1"/>
    <col min="16135" max="16135" width="7" style="2" customWidth="1"/>
    <col min="16136" max="16136" width="9.44140625" style="2" customWidth="1"/>
    <col min="16137" max="16138" width="11.5546875" style="2" customWidth="1"/>
    <col min="16139" max="16139" width="13.88671875" style="2" customWidth="1"/>
    <col min="16140" max="16140" width="13.6640625" style="2" customWidth="1"/>
    <col min="16141" max="16143" width="13.44140625" style="2" bestFit="1" customWidth="1"/>
    <col min="16144" max="16384" width="9.109375" style="2"/>
  </cols>
  <sheetData>
    <row r="1" spans="1:16" ht="15.75" customHeight="1">
      <c r="I1" s="2"/>
      <c r="J1" s="228"/>
      <c r="P1" s="84" t="s">
        <v>210</v>
      </c>
    </row>
    <row r="2" spans="1:16" ht="15.75" customHeight="1">
      <c r="I2" s="2"/>
      <c r="J2" s="228"/>
      <c r="P2" s="85"/>
    </row>
    <row r="3" spans="1:16" ht="12.75" customHeight="1">
      <c r="A3" s="563" t="str">
        <f>'Pg 2 Sum Scheduled'!$A$3</f>
        <v>GP2026/001/68120/2004</v>
      </c>
      <c r="B3" s="87"/>
      <c r="C3" s="87"/>
      <c r="D3" s="87"/>
      <c r="E3" s="87"/>
      <c r="F3" s="87"/>
      <c r="G3" s="89"/>
      <c r="H3" s="1167">
        <f>'F1  Cover'!$L$8</f>
        <v>46006</v>
      </c>
      <c r="I3" s="1167"/>
      <c r="J3" s="209"/>
      <c r="K3" s="1137" t="s">
        <v>193</v>
      </c>
      <c r="L3" s="1137"/>
      <c r="M3" s="1122">
        <f>'F1  Cover'!$K$8</f>
        <v>1</v>
      </c>
      <c r="N3" s="1120"/>
      <c r="O3" s="1120"/>
      <c r="P3" s="1123"/>
    </row>
    <row r="4" spans="1:16" ht="13.5" customHeight="1" thickBot="1">
      <c r="A4" s="572"/>
      <c r="B4" s="572"/>
      <c r="C4" s="572"/>
      <c r="D4" s="572"/>
      <c r="E4" s="569"/>
      <c r="F4" s="569"/>
      <c r="G4" s="569"/>
      <c r="H4" s="569"/>
      <c r="I4" s="569"/>
      <c r="J4" s="571"/>
      <c r="K4" s="574"/>
      <c r="L4" s="575"/>
      <c r="M4" s="575"/>
      <c r="N4" s="575"/>
      <c r="O4" s="575"/>
      <c r="P4" s="575"/>
    </row>
    <row r="5" spans="1:16" ht="12.75" customHeight="1">
      <c r="A5" s="210"/>
      <c r="B5" s="211"/>
      <c r="C5" s="211"/>
      <c r="D5" s="211"/>
      <c r="E5" s="212"/>
      <c r="F5" s="212"/>
      <c r="G5" s="212"/>
      <c r="H5" s="212"/>
      <c r="I5" s="212"/>
      <c r="J5" s="213"/>
      <c r="K5" s="214"/>
      <c r="L5" s="566"/>
      <c r="M5" s="566"/>
      <c r="N5" s="566"/>
      <c r="O5" s="566"/>
      <c r="P5" s="567"/>
    </row>
    <row r="6" spans="1:16" ht="15.75" customHeight="1">
      <c r="A6" s="1150" t="s">
        <v>459</v>
      </c>
      <c r="B6" s="981"/>
      <c r="C6" s="981"/>
      <c r="D6" s="981"/>
      <c r="E6" s="981"/>
      <c r="F6" s="981"/>
      <c r="G6" s="981"/>
      <c r="H6" s="981"/>
      <c r="I6" s="981"/>
      <c r="J6" s="981"/>
      <c r="K6" s="981"/>
      <c r="L6" s="981"/>
      <c r="M6" s="981"/>
      <c r="N6" s="981"/>
      <c r="O6" s="981"/>
      <c r="P6" s="1151"/>
    </row>
    <row r="7" spans="1:16" ht="15.75" customHeight="1" thickBot="1">
      <c r="A7" s="564"/>
      <c r="B7" s="576"/>
      <c r="C7" s="576"/>
      <c r="D7" s="576"/>
      <c r="E7" s="576"/>
      <c r="F7" s="576"/>
      <c r="G7" s="576"/>
      <c r="H7" s="576"/>
      <c r="I7" s="576"/>
      <c r="J7" s="577"/>
      <c r="K7" s="576"/>
      <c r="L7" s="576"/>
      <c r="M7" s="576"/>
      <c r="N7" s="576"/>
      <c r="O7" s="576"/>
      <c r="P7" s="565"/>
    </row>
    <row r="8" spans="1:16" ht="15" customHeight="1">
      <c r="A8" s="215" t="s">
        <v>211</v>
      </c>
      <c r="B8" s="1152" t="s">
        <v>458</v>
      </c>
      <c r="C8" s="1166"/>
      <c r="D8" s="1152" t="s">
        <v>212</v>
      </c>
      <c r="E8" s="1153"/>
      <c r="F8" s="1154"/>
      <c r="G8" s="1155" t="s">
        <v>3</v>
      </c>
      <c r="H8" s="1156"/>
      <c r="I8" s="1157"/>
      <c r="J8" s="1161" t="s">
        <v>219</v>
      </c>
      <c r="K8" s="1163" t="s">
        <v>455</v>
      </c>
      <c r="L8" s="1163"/>
      <c r="M8" s="1164" t="s">
        <v>456</v>
      </c>
      <c r="N8" s="1165"/>
      <c r="O8" s="1153" t="s">
        <v>201</v>
      </c>
      <c r="P8" s="1154"/>
    </row>
    <row r="9" spans="1:16" s="219" customFormat="1" ht="26.25" customHeight="1" thickBot="1">
      <c r="A9" s="216"/>
      <c r="B9" s="556" t="s">
        <v>215</v>
      </c>
      <c r="C9" s="217" t="s">
        <v>216</v>
      </c>
      <c r="D9" s="217" t="s">
        <v>462</v>
      </c>
      <c r="E9" s="217" t="s">
        <v>217</v>
      </c>
      <c r="F9" s="547" t="s">
        <v>218</v>
      </c>
      <c r="G9" s="1158"/>
      <c r="H9" s="1159"/>
      <c r="I9" s="1160"/>
      <c r="J9" s="1162"/>
      <c r="K9" s="545" t="s">
        <v>213</v>
      </c>
      <c r="L9" s="544" t="s">
        <v>214</v>
      </c>
      <c r="M9" s="553" t="s">
        <v>220</v>
      </c>
      <c r="N9" s="554" t="s">
        <v>214</v>
      </c>
      <c r="O9" s="546" t="s">
        <v>213</v>
      </c>
      <c r="P9" s="218" t="s">
        <v>214</v>
      </c>
    </row>
    <row r="10" spans="1:16" ht="12.75" customHeight="1">
      <c r="A10" s="220"/>
      <c r="B10" s="221"/>
      <c r="C10" s="222"/>
      <c r="D10" s="222"/>
      <c r="E10" s="222"/>
      <c r="F10" s="225"/>
      <c r="G10" s="550" t="s">
        <v>221</v>
      </c>
      <c r="H10" s="223" t="s">
        <v>222</v>
      </c>
      <c r="I10" s="223" t="s">
        <v>223</v>
      </c>
      <c r="J10" s="551"/>
      <c r="K10" s="548"/>
      <c r="L10" s="224"/>
      <c r="M10" s="1168" t="s">
        <v>472</v>
      </c>
      <c r="N10" s="1169"/>
      <c r="O10" s="552"/>
      <c r="P10" s="226"/>
    </row>
    <row r="11" spans="1:16" ht="12.75" customHeight="1">
      <c r="A11" s="607" t="s">
        <v>443</v>
      </c>
      <c r="B11" s="625"/>
      <c r="C11" s="625"/>
      <c r="D11" s="630"/>
      <c r="E11" s="608"/>
      <c r="F11" s="560"/>
      <c r="G11" s="561" t="str" cm="1">
        <f t="array" ref="G11">IF(OR(ISBLANK($D11),ISBLANK($F11)), "",
_xlfn.IFS($D11="A", VLOOKUP($F11, $A$39:$L$44, 3, TRUE),
$D11="B", VLOOKUP($F11, $A$39:$L$44, 5, TRUE),
$D11="C", VLOOKUP($F11, $A$39:$L$44, 7, TRUE),
$D11="D", VLOOKUP($F11, $A$39:$L$44, 9, TRUE),
$D11="E", VLOOKUP($F11, $A$39:$L$44, 11, TRUE)))</f>
        <v/>
      </c>
      <c r="H11" s="561" t="str" cm="1">
        <f t="array" ref="H11">_xlfn.IFS(OR(ISBLANK($D11), ISBLANK($F11)), "",
$D11="A", VLOOKUP($F11, $A$39:$L$44, 4, TRUE),
$D11="B", VLOOKUP($F11, $A$39:$L$44, 6, TRUE),
$D11="C", VLOOKUP($F11, $A$39:$L$44, 8, TRUE),
$D11="D", VLOOKUP($F11, $A$39:$L$44, 10, TRUE),
$D11="E", VLOOKUP($F11, $A$39:$L$44, 12, TRUE))</f>
        <v/>
      </c>
      <c r="I11" s="609"/>
      <c r="J11" s="610" t="str">
        <f>IF(OR(ISBLANK($D11),ISBLANK($F11)), "", 1/100*(G11+(H11*I11)))</f>
        <v/>
      </c>
      <c r="K11" s="611"/>
      <c r="L11" s="557" t="str">
        <f>IF(OR(ISBLANK($D11),ISBLANK($F11)), "", ROUND(J11*K11,2))</f>
        <v/>
      </c>
      <c r="M11" s="620">
        <v>0</v>
      </c>
      <c r="N11" s="621"/>
      <c r="O11" s="612">
        <f>K11+M11</f>
        <v>0</v>
      </c>
      <c r="P11" s="613" t="str">
        <f>IF(OR(ISBLANK($D11),ISBLANK($F11)), "", L11+N11)</f>
        <v/>
      </c>
    </row>
    <row r="12" spans="1:16" ht="12.75" customHeight="1">
      <c r="A12" s="607" t="s">
        <v>463</v>
      </c>
      <c r="B12" s="625"/>
      <c r="C12" s="625"/>
      <c r="D12" s="630"/>
      <c r="E12" s="608"/>
      <c r="F12" s="560"/>
      <c r="G12" s="561" t="str" cm="1">
        <f t="array" ref="G12">IF(OR(ISBLANK($D12),ISBLANK($F12)), "",
_xlfn.IFS($D12="A", VLOOKUP($F12, $A$39:$J$44, 3, TRUE),
$D12="B", VLOOKUP($F12, $A$39:$J$44, 5, TRUE),
$D12="C", VLOOKUP($F12, $A$39:$J$44, 7, TRUE),
$D12="D", VLOOKUP($F12, $A$39:$J$44, 9, TRUE),
$D12="E", VLOOKUP($F12, $A$39:$L$44, 11, TRUE)))</f>
        <v/>
      </c>
      <c r="H12" s="561" t="str" cm="1">
        <f t="array" ref="H12">_xlfn.IFS(OR(ISBLANK($D12), ISBLANK($F12)), "",
$D12="A", VLOOKUP($F12, $A$39:$J$44, 4, TRUE),
$D12="B", VLOOKUP($F12, $A$39:$J$44, 6, TRUE),
$D12="C", VLOOKUP($F12, $A$39:$J$44, 8, TRUE),
$D12="D", VLOOKUP($F12, $A$39:$J$44, 10, TRUE),
$D12="E", VLOOKUP($F12, $A$39:$L$44, 12, TRUE))</f>
        <v/>
      </c>
      <c r="I12" s="609"/>
      <c r="J12" s="610" t="str">
        <f>IF(OR(ISBLANK($D12),ISBLANK($F12)), "", 1/100*(G12+(H12*I12)))</f>
        <v/>
      </c>
      <c r="K12" s="611"/>
      <c r="L12" s="557" t="str">
        <f>IF(OR(ISBLANK($D12),ISBLANK($F12)), "", ROUND(J12*K12,2))</f>
        <v/>
      </c>
      <c r="M12" s="620">
        <v>0</v>
      </c>
      <c r="N12" s="621"/>
      <c r="O12" s="612">
        <f t="shared" ref="O12:O22" si="0">K12+M12</f>
        <v>0</v>
      </c>
      <c r="P12" s="613" t="str">
        <f t="shared" ref="P12:P22" si="1">IF(OR(ISBLANK($D12),ISBLANK($F12)), "", L12+N12)</f>
        <v/>
      </c>
    </row>
    <row r="13" spans="1:16" ht="12.75" customHeight="1">
      <c r="A13" s="607" t="s">
        <v>464</v>
      </c>
      <c r="B13" s="625"/>
      <c r="C13" s="625"/>
      <c r="D13" s="630"/>
      <c r="E13" s="608"/>
      <c r="F13" s="560"/>
      <c r="G13" s="561" t="str" cm="1">
        <f t="array" ref="G13">IF(OR(ISBLANK($D13),ISBLANK($F13)), "",
_xlfn.IFS($D13="A", VLOOKUP($F13, $A$39:$J$44, 3, TRUE),
$D13="B", VLOOKUP($F13, $A$39:$J$44, 5, TRUE),
$D13="C", VLOOKUP($F13, $A$39:$J$44, 7, TRUE),
$D13="D", VLOOKUP($F13, $A$39:$J$44, 9, TRUE),
$D13="E", VLOOKUP($F13, $A$39:$L$44, 11, TRUE)))</f>
        <v/>
      </c>
      <c r="H13" s="561" t="str" cm="1">
        <f t="array" ref="H13">_xlfn.IFS(OR(ISBLANK($D13), ISBLANK($F13)), "",
$D13="A", VLOOKUP($F13, $A$39:$J$44, 4, TRUE),
$D13="B", VLOOKUP($F13, $A$39:$J$44, 6, TRUE),
$D13="C", VLOOKUP($F13, $A$39:$J$44, 8, TRUE),
$D13="D", VLOOKUP($F13, $A$39:$J$44, 10, TRUE),
$D13="E", VLOOKUP($F13, $A$39:$L$44, 12, TRUE))</f>
        <v/>
      </c>
      <c r="I13" s="609"/>
      <c r="J13" s="610" t="str">
        <f t="shared" ref="J13:J22" si="2">IF(OR(ISBLANK($D13),ISBLANK($F13)), "", 1/100*(G13+(H13*I13)))</f>
        <v/>
      </c>
      <c r="K13" s="611"/>
      <c r="L13" s="557" t="str">
        <f t="shared" ref="L13:L22" si="3">IF(OR(ISBLANK($D13),ISBLANK($F13)), "", ROUND(J13*K13,2))</f>
        <v/>
      </c>
      <c r="M13" s="620">
        <v>0</v>
      </c>
      <c r="N13" s="621"/>
      <c r="O13" s="612">
        <f t="shared" si="0"/>
        <v>0</v>
      </c>
      <c r="P13" s="613" t="str">
        <f t="shared" si="1"/>
        <v/>
      </c>
    </row>
    <row r="14" spans="1:16" ht="12.75" customHeight="1">
      <c r="A14" s="607" t="s">
        <v>465</v>
      </c>
      <c r="B14" s="625"/>
      <c r="C14" s="625"/>
      <c r="D14" s="630"/>
      <c r="E14" s="608"/>
      <c r="F14" s="560"/>
      <c r="G14" s="561" t="str" cm="1">
        <f t="array" ref="G14">IF(OR(ISBLANK($D14),ISBLANK($F14)), "",
_xlfn.IFS($D14="A", VLOOKUP($F14, $A$39:$J$44, 3, TRUE),
$D14="B", VLOOKUP($F14, $A$39:$J$44, 5, TRUE),
$D14="C", VLOOKUP($F14, $A$39:$J$44, 7, TRUE),
$D14="D", VLOOKUP($F14, $A$39:$J$44, 9, TRUE),
$D14="E", VLOOKUP($F14, $A$39:$L$44, 11, TRUE)))</f>
        <v/>
      </c>
      <c r="H14" s="561" t="str" cm="1">
        <f t="array" ref="H14">_xlfn.IFS(OR(ISBLANK($D14), ISBLANK($F14)), "",
$D14="A", VLOOKUP($F14, $A$39:$J$44, 4, TRUE),
$D14="B", VLOOKUP($F14, $A$39:$J$44, 6, TRUE),
$D14="C", VLOOKUP($F14, $A$39:$J$44, 8, TRUE),
$D14="D", VLOOKUP($F14, $A$39:$J$44, 10, TRUE),
$D14="E", VLOOKUP($F14, $A$39:$L$44, 12, TRUE))</f>
        <v/>
      </c>
      <c r="I14" s="609"/>
      <c r="J14" s="610" t="str">
        <f t="shared" si="2"/>
        <v/>
      </c>
      <c r="K14" s="611"/>
      <c r="L14" s="557" t="str">
        <f t="shared" si="3"/>
        <v/>
      </c>
      <c r="M14" s="620">
        <v>0</v>
      </c>
      <c r="N14" s="621"/>
      <c r="O14" s="612">
        <f t="shared" si="0"/>
        <v>0</v>
      </c>
      <c r="P14" s="613" t="str">
        <f t="shared" si="1"/>
        <v/>
      </c>
    </row>
    <row r="15" spans="1:16" ht="12.75" customHeight="1">
      <c r="A15" s="607"/>
      <c r="B15" s="625"/>
      <c r="C15" s="625"/>
      <c r="D15" s="630"/>
      <c r="E15" s="608"/>
      <c r="F15" s="560"/>
      <c r="G15" s="561" t="str" cm="1">
        <f t="array" ref="G15">IF(OR(ISBLANK($D15),ISBLANK($F15)), "",
_xlfn.IFS($D15="A", VLOOKUP($F15, $A$39:$J$44, 3, TRUE),
$D15="B", VLOOKUP($F15, $A$39:$J$44, 5, TRUE),
$D15="C", VLOOKUP($F15, $A$39:$J$44, 7, TRUE),
$D15="D", VLOOKUP($F15, $A$39:$J$44, 9, TRUE),
$D15="E", VLOOKUP($F15, $A$39:$L$44, 11, TRUE)))</f>
        <v/>
      </c>
      <c r="H15" s="561" t="str" cm="1">
        <f t="array" ref="H15">_xlfn.IFS(OR(ISBLANK($D15), ISBLANK($F15)), "",
$D15="A", VLOOKUP($F15, $A$39:$J$44, 4, TRUE),
$D15="B", VLOOKUP($F15, $A$39:$J$44, 6, TRUE),
$D15="C", VLOOKUP($F15, $A$39:$J$44, 8, TRUE),
$D15="D", VLOOKUP($F15, $A$39:$J$44, 10, TRUE),
$D15="E", VLOOKUP($F15, $A$39:$L$44, 12, TRUE))</f>
        <v/>
      </c>
      <c r="I15" s="609"/>
      <c r="J15" s="610" t="str">
        <f t="shared" si="2"/>
        <v/>
      </c>
      <c r="K15" s="611"/>
      <c r="L15" s="557" t="str">
        <f t="shared" si="3"/>
        <v/>
      </c>
      <c r="M15" s="622">
        <v>0</v>
      </c>
      <c r="N15" s="621"/>
      <c r="O15" s="612">
        <f t="shared" si="0"/>
        <v>0</v>
      </c>
      <c r="P15" s="613" t="str">
        <f t="shared" si="1"/>
        <v/>
      </c>
    </row>
    <row r="16" spans="1:16" ht="12.75" customHeight="1">
      <c r="A16" s="607"/>
      <c r="B16" s="625"/>
      <c r="C16" s="625"/>
      <c r="D16" s="630"/>
      <c r="E16" s="608"/>
      <c r="F16" s="560"/>
      <c r="G16" s="561" t="str" cm="1">
        <f t="array" ref="G16">IF(OR(ISBLANK($D16),ISBLANK($F16)), "",
_xlfn.IFS($D16="A", VLOOKUP($F16, $A$39:$J$44, 3, TRUE),
$D16="B", VLOOKUP($F16, $A$39:$J$44, 5, TRUE),
$D16="C", VLOOKUP($F16, $A$39:$J$44, 7, TRUE),
$D16="D", VLOOKUP($F16, $A$39:$J$44, 9, TRUE),
$D16="E", VLOOKUP($F16, $A$39:$L$44, 11, TRUE)))</f>
        <v/>
      </c>
      <c r="H16" s="561" t="str" cm="1">
        <f t="array" ref="H16">_xlfn.IFS(OR(ISBLANK($D16), ISBLANK($F16)), "",
$D16="A", VLOOKUP($F16, $A$39:$J$44, 4, TRUE),
$D16="B", VLOOKUP($F16, $A$39:$J$44, 6, TRUE),
$D16="C", VLOOKUP($F16, $A$39:$J$44, 8, TRUE),
$D16="D", VLOOKUP($F16, $A$39:$J$44, 10, TRUE),
$D16="E", VLOOKUP($F16, $A$39:$L$44, 12, TRUE))</f>
        <v/>
      </c>
      <c r="I16" s="609"/>
      <c r="J16" s="610" t="str">
        <f t="shared" si="2"/>
        <v/>
      </c>
      <c r="K16" s="614"/>
      <c r="L16" s="557" t="str">
        <f t="shared" si="3"/>
        <v/>
      </c>
      <c r="M16" s="622">
        <v>0</v>
      </c>
      <c r="N16" s="621"/>
      <c r="O16" s="612">
        <f t="shared" si="0"/>
        <v>0</v>
      </c>
      <c r="P16" s="613" t="str">
        <f t="shared" si="1"/>
        <v/>
      </c>
    </row>
    <row r="17" spans="1:16" ht="12.75" customHeight="1">
      <c r="A17" s="607"/>
      <c r="B17" s="625"/>
      <c r="C17" s="625"/>
      <c r="D17" s="630"/>
      <c r="E17" s="608"/>
      <c r="F17" s="560"/>
      <c r="G17" s="561" t="str" cm="1">
        <f t="array" ref="G17">IF(OR(ISBLANK($D17),ISBLANK($F17)), "",
_xlfn.IFS($D17="A", VLOOKUP($F17, $A$39:$J$44, 3, TRUE),
$D17="B", VLOOKUP($F17, $A$39:$J$44, 5, TRUE),
$D17="C", VLOOKUP($F17, $A$39:$J$44, 7, TRUE),
$D17="D", VLOOKUP($F17, $A$39:$J$44, 9, TRUE),
$D17="E", VLOOKUP($F17, $A$39:$L$44, 11, TRUE)))</f>
        <v/>
      </c>
      <c r="H17" s="561" t="str" cm="1">
        <f t="array" ref="H17">_xlfn.IFS(OR(ISBLANK($D17), ISBLANK($F17)), "",
$D17="A", VLOOKUP($F17, $A$39:$J$44, 4, TRUE),
$D17="B", VLOOKUP($F17, $A$39:$J$44, 6, TRUE),
$D17="C", VLOOKUP($F17, $A$39:$J$44, 8, TRUE),
$D17="D", VLOOKUP($F17, $A$39:$J$44, 10, TRUE),
$D17="E", VLOOKUP($F17, $A$39:$L$44, 12, TRUE))</f>
        <v/>
      </c>
      <c r="I17" s="609"/>
      <c r="J17" s="610" t="str">
        <f t="shared" si="2"/>
        <v/>
      </c>
      <c r="K17" s="614"/>
      <c r="L17" s="557" t="str">
        <f t="shared" si="3"/>
        <v/>
      </c>
      <c r="M17" s="622">
        <v>0</v>
      </c>
      <c r="N17" s="621"/>
      <c r="O17" s="612">
        <f t="shared" si="0"/>
        <v>0</v>
      </c>
      <c r="P17" s="613" t="str">
        <f t="shared" si="1"/>
        <v/>
      </c>
    </row>
    <row r="18" spans="1:16" ht="12.75" customHeight="1">
      <c r="A18" s="607"/>
      <c r="B18" s="625"/>
      <c r="C18" s="625"/>
      <c r="D18" s="630"/>
      <c r="E18" s="608"/>
      <c r="F18" s="560"/>
      <c r="G18" s="561" t="str" cm="1">
        <f t="array" ref="G18">IF(OR(ISBLANK($D18),ISBLANK($F18)), "",
_xlfn.IFS($D18="A", VLOOKUP($F18, $A$39:$J$44, 3, TRUE),
$D18="B", VLOOKUP($F18, $A$39:$J$44, 5, TRUE),
$D18="C", VLOOKUP($F18, $A$39:$J$44, 7, TRUE),
$D18="D", VLOOKUP($F18, $A$39:$J$44, 9, TRUE),
$D18="E", VLOOKUP($F18, $A$39:$L$44, 11, TRUE)))</f>
        <v/>
      </c>
      <c r="H18" s="561" t="str" cm="1">
        <f t="array" ref="H18">_xlfn.IFS(OR(ISBLANK($D18), ISBLANK($F18)), "",
$D18="A", VLOOKUP($F18, $A$39:$J$44, 4, TRUE),
$D18="B", VLOOKUP($F18, $A$39:$J$44, 6, TRUE),
$D18="C", VLOOKUP($F18, $A$39:$J$44, 8, TRUE),
$D18="D", VLOOKUP($F18, $A$39:$J$44, 10, TRUE),
$D18="E", VLOOKUP($F18, $A$39:$L$44, 12, TRUE))</f>
        <v/>
      </c>
      <c r="I18" s="609"/>
      <c r="J18" s="610" t="str">
        <f t="shared" si="2"/>
        <v/>
      </c>
      <c r="K18" s="614"/>
      <c r="L18" s="557" t="str">
        <f t="shared" si="3"/>
        <v/>
      </c>
      <c r="M18" s="622">
        <v>0</v>
      </c>
      <c r="N18" s="621"/>
      <c r="O18" s="612">
        <f t="shared" si="0"/>
        <v>0</v>
      </c>
      <c r="P18" s="613" t="str">
        <f t="shared" si="1"/>
        <v/>
      </c>
    </row>
    <row r="19" spans="1:16" ht="12.75" customHeight="1">
      <c r="A19" s="607"/>
      <c r="B19" s="625"/>
      <c r="C19" s="625"/>
      <c r="D19" s="630"/>
      <c r="E19" s="608"/>
      <c r="F19" s="560"/>
      <c r="G19" s="561" t="str" cm="1">
        <f t="array" ref="G19">IF(OR(ISBLANK($D19),ISBLANK($F19)), "",
_xlfn.IFS($D19="A", VLOOKUP($F19, $A$39:$J$44, 3, TRUE),
$D19="B", VLOOKUP($F19, $A$39:$J$44, 5, TRUE),
$D19="C", VLOOKUP($F19, $A$39:$J$44, 7, TRUE),
$D19="D", VLOOKUP($F19, $A$39:$J$44, 9, TRUE),
$D19="E", VLOOKUP($F19, $A$39:$L$44, 11, TRUE)))</f>
        <v/>
      </c>
      <c r="H19" s="561" t="str" cm="1">
        <f t="array" ref="H19">_xlfn.IFS(OR(ISBLANK($D19), ISBLANK($F19)), "",
$D19="A", VLOOKUP($F19, $A$39:$J$44, 4, TRUE),
$D19="B", VLOOKUP($F19, $A$39:$J$44, 6, TRUE),
$D19="C", VLOOKUP($F19, $A$39:$J$44, 8, TRUE),
$D19="D", VLOOKUP($F19, $A$39:$J$44, 10, TRUE),
$D19="E", VLOOKUP($F19, $A$39:$L$44, 12, TRUE))</f>
        <v/>
      </c>
      <c r="I19" s="609"/>
      <c r="J19" s="610" t="str">
        <f t="shared" si="2"/>
        <v/>
      </c>
      <c r="K19" s="614"/>
      <c r="L19" s="557" t="str">
        <f t="shared" si="3"/>
        <v/>
      </c>
      <c r="M19" s="622">
        <v>0</v>
      </c>
      <c r="N19" s="621"/>
      <c r="O19" s="612">
        <f t="shared" si="0"/>
        <v>0</v>
      </c>
      <c r="P19" s="613" t="str">
        <f t="shared" si="1"/>
        <v/>
      </c>
    </row>
    <row r="20" spans="1:16" ht="12.75" customHeight="1">
      <c r="A20" s="607"/>
      <c r="B20" s="625"/>
      <c r="C20" s="625"/>
      <c r="D20" s="630"/>
      <c r="E20" s="608"/>
      <c r="F20" s="560"/>
      <c r="G20" s="561" t="str" cm="1">
        <f t="array" ref="G20">IF(OR(ISBLANK($D20),ISBLANK($F20)), "",
_xlfn.IFS($D20="A", VLOOKUP($F20, $A$39:$J$44, 3, TRUE),
$D20="B", VLOOKUP($F20, $A$39:$J$44, 5, TRUE),
$D20="C", VLOOKUP($F20, $A$39:$J$44, 7, TRUE),
$D20="D", VLOOKUP($F20, $A$39:$J$44, 9, TRUE),
$D20="E", VLOOKUP($F20, $A$39:$L$44, 11, TRUE)))</f>
        <v/>
      </c>
      <c r="H20" s="561" t="str" cm="1">
        <f t="array" ref="H20">_xlfn.IFS(OR(ISBLANK($D20), ISBLANK($F20)), "",
$D20="A", VLOOKUP($F20, $A$39:$J$44, 4, TRUE),
$D20="B", VLOOKUP($F20, $A$39:$J$44, 6, TRUE),
$D20="C", VLOOKUP($F20, $A$39:$J$44, 8, TRUE),
$D20="D", VLOOKUP($F20, $A$39:$J$44, 10, TRUE),
$D20="E", VLOOKUP($F20, $A$39:$L$44, 12, TRUE))</f>
        <v/>
      </c>
      <c r="I20" s="609"/>
      <c r="J20" s="610" t="str">
        <f t="shared" si="2"/>
        <v/>
      </c>
      <c r="K20" s="614"/>
      <c r="L20" s="557" t="str">
        <f t="shared" si="3"/>
        <v/>
      </c>
      <c r="M20" s="622">
        <v>0</v>
      </c>
      <c r="N20" s="621"/>
      <c r="O20" s="612">
        <f t="shared" si="0"/>
        <v>0</v>
      </c>
      <c r="P20" s="613" t="str">
        <f t="shared" si="1"/>
        <v/>
      </c>
    </row>
    <row r="21" spans="1:16" ht="12.75" customHeight="1">
      <c r="A21" s="607"/>
      <c r="B21" s="625"/>
      <c r="C21" s="625"/>
      <c r="D21" s="630"/>
      <c r="E21" s="608"/>
      <c r="F21" s="560"/>
      <c r="G21" s="561" t="str" cm="1">
        <f t="array" ref="G21">IF(OR(ISBLANK($D21),ISBLANK($F21)), "",
_xlfn.IFS($D21="A", VLOOKUP($F21, $A$39:$J$44, 3, TRUE),
$D21="B", VLOOKUP($F21, $A$39:$J$44, 5, TRUE),
$D21="C", VLOOKUP($F21, $A$39:$J$44, 7, TRUE),
$D21="D", VLOOKUP($F21, $A$39:$J$44, 9, TRUE),
$D21="E", VLOOKUP($F21, $A$39:$L$44, 11, TRUE)))</f>
        <v/>
      </c>
      <c r="H21" s="561" t="str" cm="1">
        <f t="array" ref="H21">_xlfn.IFS(OR(ISBLANK($D21), ISBLANK($F21)), "",
$D21="A", VLOOKUP($F21, $A$39:$J$44, 4, TRUE),
$D21="B", VLOOKUP($F21, $A$39:$J$44, 6, TRUE),
$D21="C", VLOOKUP($F21, $A$39:$J$44, 8, TRUE),
$D21="D", VLOOKUP($F21, $A$39:$J$44, 10, TRUE),
$D21="E", VLOOKUP($F21, $A$39:$L$44, 12, TRUE))</f>
        <v/>
      </c>
      <c r="I21" s="609"/>
      <c r="J21" s="610" t="str">
        <f t="shared" si="2"/>
        <v/>
      </c>
      <c r="K21" s="614"/>
      <c r="L21" s="557" t="str">
        <f t="shared" si="3"/>
        <v/>
      </c>
      <c r="M21" s="622">
        <v>0</v>
      </c>
      <c r="N21" s="621"/>
      <c r="O21" s="612">
        <f t="shared" si="0"/>
        <v>0</v>
      </c>
      <c r="P21" s="613" t="str">
        <f t="shared" si="1"/>
        <v/>
      </c>
    </row>
    <row r="22" spans="1:16" ht="12.75" customHeight="1" thickBot="1">
      <c r="A22" s="607"/>
      <c r="B22" s="625"/>
      <c r="C22" s="625"/>
      <c r="D22" s="630"/>
      <c r="E22" s="608"/>
      <c r="F22" s="560"/>
      <c r="G22" s="561" t="str" cm="1">
        <f t="array" ref="G22">IF(OR(ISBLANK($D22),ISBLANK($F22)), "",
_xlfn.IFS($D22="A", VLOOKUP($F22, $A$39:$J$44, 3, TRUE),
$D22="B", VLOOKUP($F22, $A$39:$J$44, 5, TRUE),
$D22="C", VLOOKUP($F22, $A$39:$J$44, 7, TRUE),
$D22="D", VLOOKUP($F22, $A$39:$J$44, 9, TRUE),
$D22="E", VLOOKUP($F22, $A$39:$L$44, 11, TRUE)))</f>
        <v/>
      </c>
      <c r="H22" s="561" t="str" cm="1">
        <f t="array" ref="H22">_xlfn.IFS(OR(ISBLANK($D22), ISBLANK($F22)), "",
$D22="A", VLOOKUP($F22, $A$39:$J$44, 4, TRUE),
$D22="B", VLOOKUP($F22, $A$39:$J$44, 6, TRUE),
$D22="C", VLOOKUP($F22, $A$39:$J$44, 8, TRUE),
$D22="D", VLOOKUP($F22, $A$39:$J$44, 10, TRUE),
$D22="E", VLOOKUP($F22, $A$39:$L$44, 12, TRUE))</f>
        <v/>
      </c>
      <c r="I22" s="609"/>
      <c r="J22" s="610" t="str">
        <f t="shared" si="2"/>
        <v/>
      </c>
      <c r="K22" s="614"/>
      <c r="L22" s="557" t="str">
        <f t="shared" si="3"/>
        <v/>
      </c>
      <c r="M22" s="623">
        <v>0</v>
      </c>
      <c r="N22" s="624"/>
      <c r="O22" s="612">
        <f t="shared" si="0"/>
        <v>0</v>
      </c>
      <c r="P22" s="613" t="str">
        <f t="shared" si="1"/>
        <v/>
      </c>
    </row>
    <row r="23" spans="1:16" ht="13.5" customHeight="1" thickBot="1">
      <c r="A23" s="1170" t="s">
        <v>457</v>
      </c>
      <c r="B23" s="1171"/>
      <c r="C23" s="1171"/>
      <c r="D23" s="1171"/>
      <c r="E23" s="1171"/>
      <c r="F23" s="1171"/>
      <c r="G23" s="1171"/>
      <c r="H23" s="1171"/>
      <c r="I23" s="1171"/>
      <c r="J23" s="1172"/>
      <c r="K23" s="549">
        <f>SUMIFS(K11:K22,D11:D22,"a")+SUMIFS(K11:K22,D11:D22,"b")+SUMIFS(K11:K22,D11:D22,"c")+SUMIFS(K11:K22,D11:D22,"d")</f>
        <v>0</v>
      </c>
      <c r="L23" s="558">
        <f>SUM(L11:L22)</f>
        <v>0</v>
      </c>
      <c r="M23" s="555">
        <f>SUM(M11:M22)</f>
        <v>0</v>
      </c>
      <c r="N23" s="559">
        <f>SUM(N11:N22)</f>
        <v>0</v>
      </c>
      <c r="O23" s="615">
        <f>SUM(O11:O22)</f>
        <v>0</v>
      </c>
      <c r="P23" s="616">
        <f>IF(K23&gt;10000,0,SUM(P11:P22))</f>
        <v>0</v>
      </c>
    </row>
    <row r="24" spans="1:16" ht="23.25" customHeight="1">
      <c r="A24" s="1173" t="str">
        <f>IF(K23&gt;10000," The total kilometres for all travel per calendar month for all supervisory staff, including PLO; shall be limited to 10 000 kilometers.  Any excess travel above 10 000 kilometers shall be for the Service Provider’s account." &amp;" Please amend your clam above to limit the monthly kilometer amount to 10 000.","")</f>
        <v/>
      </c>
      <c r="B24" s="1173"/>
      <c r="C24" s="1173"/>
      <c r="D24" s="1173"/>
      <c r="E24" s="1173"/>
      <c r="F24" s="1173"/>
      <c r="G24" s="1173"/>
      <c r="H24" s="1173"/>
      <c r="I24" s="1173"/>
      <c r="J24" s="1173"/>
      <c r="K24" s="1173"/>
      <c r="L24" s="1173"/>
      <c r="M24" s="1173"/>
      <c r="N24" s="1173"/>
      <c r="O24" s="1173"/>
      <c r="P24" s="1173"/>
    </row>
    <row r="25" spans="1:16" ht="2.85" customHeight="1">
      <c r="A25" s="617"/>
      <c r="B25" s="562"/>
      <c r="C25" s="562"/>
      <c r="D25" s="562"/>
      <c r="E25" s="562"/>
      <c r="F25" s="562"/>
      <c r="G25" s="562"/>
      <c r="H25" s="562"/>
      <c r="I25" s="562"/>
      <c r="J25" s="618"/>
      <c r="K25" s="604"/>
      <c r="L25" s="604"/>
      <c r="M25" s="604"/>
      <c r="N25" s="604"/>
      <c r="O25" s="604"/>
      <c r="P25" s="604"/>
    </row>
    <row r="26" spans="1:16" ht="2.85" customHeight="1">
      <c r="I26" s="2"/>
      <c r="J26" s="228"/>
    </row>
    <row r="27" spans="1:16" ht="2.85" customHeight="1">
      <c r="I27" s="2"/>
      <c r="J27" s="228"/>
    </row>
    <row r="28" spans="1:16" ht="2.85" customHeight="1">
      <c r="I28" s="2"/>
      <c r="J28" s="228"/>
    </row>
    <row r="29" spans="1:16" ht="2.85" customHeight="1">
      <c r="I29" s="2"/>
      <c r="J29" s="228"/>
    </row>
    <row r="30" spans="1:16" ht="2.85" customHeight="1">
      <c r="I30" s="2"/>
      <c r="J30" s="228"/>
    </row>
    <row r="31" spans="1:16" ht="2.85" customHeight="1">
      <c r="I31" s="2"/>
      <c r="J31" s="228"/>
    </row>
    <row r="32" spans="1:16" ht="2.85" customHeight="1">
      <c r="I32" s="2"/>
      <c r="J32" s="228"/>
    </row>
    <row r="33" spans="1:18">
      <c r="I33" s="2"/>
      <c r="J33" s="228"/>
    </row>
    <row r="34" spans="1:18">
      <c r="A34" s="1176" t="s">
        <v>474</v>
      </c>
      <c r="B34" s="1176"/>
      <c r="C34" s="1176"/>
      <c r="D34" s="1176"/>
      <c r="E34" s="1176"/>
      <c r="F34" s="1176"/>
      <c r="G34" s="1176"/>
      <c r="H34" s="1176"/>
      <c r="I34" s="1176"/>
      <c r="J34" s="1176"/>
      <c r="K34" s="1176"/>
      <c r="L34" s="1176"/>
      <c r="M34" s="1176"/>
      <c r="N34" s="1176"/>
      <c r="O34" s="1176"/>
      <c r="P34" s="1176"/>
    </row>
    <row r="35" spans="1:18">
      <c r="I35" s="2"/>
      <c r="J35" s="228"/>
    </row>
    <row r="36" spans="1:18">
      <c r="A36" s="1" t="s">
        <v>477</v>
      </c>
      <c r="I36" s="2"/>
      <c r="J36" s="228"/>
    </row>
    <row r="37" spans="1:18">
      <c r="A37" s="1174" t="s">
        <v>466</v>
      </c>
      <c r="B37" s="1174"/>
      <c r="C37" s="1175" t="s">
        <v>18</v>
      </c>
      <c r="D37" s="1175"/>
      <c r="E37" s="1175" t="s">
        <v>19</v>
      </c>
      <c r="F37" s="1175"/>
      <c r="G37" s="1175" t="s">
        <v>20</v>
      </c>
      <c r="H37" s="1175"/>
      <c r="I37" s="1174" t="s">
        <v>21</v>
      </c>
      <c r="J37" s="1174"/>
      <c r="K37" s="1174" t="s">
        <v>486</v>
      </c>
      <c r="L37" s="1174"/>
      <c r="N37" s="629" t="s">
        <v>475</v>
      </c>
      <c r="O37" s="629"/>
    </row>
    <row r="38" spans="1:18">
      <c r="A38" s="619" t="s">
        <v>467</v>
      </c>
      <c r="B38" s="619" t="s">
        <v>468</v>
      </c>
      <c r="C38" s="619" t="s">
        <v>469</v>
      </c>
      <c r="D38" s="619" t="s">
        <v>470</v>
      </c>
      <c r="E38" s="619" t="s">
        <v>469</v>
      </c>
      <c r="F38" s="619" t="s">
        <v>470</v>
      </c>
      <c r="G38" s="619" t="s">
        <v>469</v>
      </c>
      <c r="H38" s="619" t="s">
        <v>470</v>
      </c>
      <c r="I38" s="619" t="s">
        <v>469</v>
      </c>
      <c r="J38" s="619" t="s">
        <v>470</v>
      </c>
      <c r="K38" s="619" t="s">
        <v>469</v>
      </c>
      <c r="L38" s="619" t="s">
        <v>470</v>
      </c>
      <c r="N38" s="627" t="s">
        <v>480</v>
      </c>
      <c r="O38" s="627"/>
      <c r="P38" s="627"/>
      <c r="Q38" s="627"/>
      <c r="R38" s="627"/>
    </row>
    <row r="39" spans="1:18">
      <c r="A39" s="619">
        <v>0</v>
      </c>
      <c r="B39" s="619">
        <v>1400</v>
      </c>
      <c r="C39" s="619">
        <v>279</v>
      </c>
      <c r="D39" s="619">
        <v>7.24</v>
      </c>
      <c r="E39" s="619">
        <v>204</v>
      </c>
      <c r="F39" s="619">
        <v>9.8000000000000007</v>
      </c>
      <c r="G39" s="619" t="s">
        <v>471</v>
      </c>
      <c r="H39" s="619" t="s">
        <v>471</v>
      </c>
      <c r="I39" s="619" t="s">
        <v>471</v>
      </c>
      <c r="J39" s="619" t="s">
        <v>471</v>
      </c>
      <c r="K39" s="631"/>
      <c r="L39" s="631"/>
      <c r="N39" s="627" t="s">
        <v>479</v>
      </c>
      <c r="O39" s="627"/>
      <c r="P39" s="627"/>
      <c r="Q39" s="627"/>
      <c r="R39" s="627"/>
    </row>
    <row r="40" spans="1:18" ht="12.75" customHeight="1">
      <c r="A40" s="619">
        <v>1401</v>
      </c>
      <c r="B40" s="619">
        <v>1600</v>
      </c>
      <c r="C40" s="619">
        <v>314</v>
      </c>
      <c r="D40" s="619">
        <v>7.88</v>
      </c>
      <c r="E40" s="619">
        <v>230</v>
      </c>
      <c r="F40" s="619">
        <v>9.8000000000000007</v>
      </c>
      <c r="G40" s="619" t="s">
        <v>471</v>
      </c>
      <c r="H40" s="619" t="s">
        <v>471</v>
      </c>
      <c r="I40" s="619" t="s">
        <v>471</v>
      </c>
      <c r="J40" s="619" t="s">
        <v>471</v>
      </c>
      <c r="K40" s="631"/>
      <c r="L40" s="631"/>
      <c r="N40" s="627" t="s">
        <v>482</v>
      </c>
      <c r="O40" s="627"/>
      <c r="P40" s="627"/>
      <c r="Q40" s="627"/>
      <c r="R40" s="627"/>
    </row>
    <row r="41" spans="1:18" ht="12.75" customHeight="1">
      <c r="A41" s="619">
        <v>1601</v>
      </c>
      <c r="B41" s="619">
        <v>1800</v>
      </c>
      <c r="C41" s="619">
        <v>363</v>
      </c>
      <c r="D41" s="619">
        <v>7.88</v>
      </c>
      <c r="E41" s="619">
        <v>230</v>
      </c>
      <c r="F41" s="619">
        <v>9.8000000000000007</v>
      </c>
      <c r="G41" s="619" t="s">
        <v>471</v>
      </c>
      <c r="H41" s="619" t="s">
        <v>471</v>
      </c>
      <c r="I41" s="619">
        <f>E41</f>
        <v>230</v>
      </c>
      <c r="J41" s="619">
        <f>F41</f>
        <v>9.8000000000000007</v>
      </c>
      <c r="K41" s="631"/>
      <c r="L41" s="631"/>
      <c r="N41" s="2" t="s">
        <v>483</v>
      </c>
    </row>
    <row r="42" spans="1:18">
      <c r="A42" s="619">
        <v>1801</v>
      </c>
      <c r="B42" s="619">
        <v>2000</v>
      </c>
      <c r="C42" s="619">
        <f>C41</f>
        <v>363</v>
      </c>
      <c r="D42" s="619">
        <f>D41</f>
        <v>7.88</v>
      </c>
      <c r="E42" s="619">
        <f>E41</f>
        <v>230</v>
      </c>
      <c r="F42" s="619">
        <f>F41</f>
        <v>9.8000000000000007</v>
      </c>
      <c r="G42" s="619">
        <f>E42</f>
        <v>230</v>
      </c>
      <c r="H42" s="619">
        <f>F42</f>
        <v>9.8000000000000007</v>
      </c>
      <c r="I42" s="619">
        <f>E42</f>
        <v>230</v>
      </c>
      <c r="J42" s="619">
        <f>F42</f>
        <v>9.8000000000000007</v>
      </c>
      <c r="K42" s="631"/>
      <c r="L42" s="631"/>
      <c r="N42" s="2" t="s">
        <v>481</v>
      </c>
    </row>
    <row r="43" spans="1:18" ht="12.75" customHeight="1">
      <c r="A43" s="619">
        <v>2001</v>
      </c>
      <c r="B43" s="619">
        <v>2500</v>
      </c>
      <c r="C43" s="619">
        <f>C41</f>
        <v>363</v>
      </c>
      <c r="D43" s="619">
        <f>D41</f>
        <v>7.88</v>
      </c>
      <c r="E43" s="619">
        <f>E41</f>
        <v>230</v>
      </c>
      <c r="F43" s="619">
        <f>F41</f>
        <v>9.8000000000000007</v>
      </c>
      <c r="G43" s="619">
        <f t="shared" ref="G43:G44" si="4">E43</f>
        <v>230</v>
      </c>
      <c r="H43" s="619">
        <f t="shared" ref="H43:H44" si="5">F43</f>
        <v>9.8000000000000007</v>
      </c>
      <c r="I43" s="619">
        <f t="shared" ref="I43:I44" si="6">E43</f>
        <v>230</v>
      </c>
      <c r="J43" s="619">
        <f t="shared" ref="J43:J44" si="7">F43</f>
        <v>9.8000000000000007</v>
      </c>
      <c r="K43" s="631"/>
      <c r="L43" s="631"/>
      <c r="N43" s="627" t="s">
        <v>485</v>
      </c>
      <c r="O43" s="627"/>
      <c r="P43" s="627"/>
      <c r="Q43" s="627"/>
      <c r="R43" s="627"/>
    </row>
    <row r="44" spans="1:18" ht="12.75" customHeight="1">
      <c r="A44" s="619">
        <v>2501</v>
      </c>
      <c r="B44" s="619">
        <v>10000</v>
      </c>
      <c r="C44" s="619">
        <f>C41</f>
        <v>363</v>
      </c>
      <c r="D44" s="619">
        <f>D41</f>
        <v>7.88</v>
      </c>
      <c r="E44" s="619">
        <f>E41</f>
        <v>230</v>
      </c>
      <c r="F44" s="619">
        <f>F41</f>
        <v>9.8000000000000007</v>
      </c>
      <c r="G44" s="619">
        <f t="shared" si="4"/>
        <v>230</v>
      </c>
      <c r="H44" s="619">
        <f t="shared" si="5"/>
        <v>9.8000000000000007</v>
      </c>
      <c r="I44" s="619">
        <f t="shared" si="6"/>
        <v>230</v>
      </c>
      <c r="J44" s="619">
        <f t="shared" si="7"/>
        <v>9.8000000000000007</v>
      </c>
      <c r="K44" s="631"/>
      <c r="L44" s="631"/>
      <c r="N44" s="627" t="s">
        <v>484</v>
      </c>
      <c r="O44" s="627"/>
      <c r="P44" s="627"/>
      <c r="Q44" s="627"/>
      <c r="R44" s="627"/>
    </row>
    <row r="45" spans="1:18" ht="12.75" customHeight="1">
      <c r="A45" s="626"/>
      <c r="B45" s="626"/>
      <c r="C45" s="626"/>
      <c r="D45" s="626"/>
      <c r="E45" s="626"/>
      <c r="F45" s="626"/>
      <c r="G45" s="626"/>
      <c r="H45" s="626"/>
      <c r="I45" s="626"/>
      <c r="J45" s="626"/>
      <c r="N45" s="627" t="s">
        <v>476</v>
      </c>
      <c r="O45" s="628"/>
      <c r="P45" s="628"/>
      <c r="Q45" s="628"/>
      <c r="R45" s="628"/>
    </row>
    <row r="46" spans="1:18">
      <c r="I46" s="2"/>
      <c r="J46" s="228"/>
      <c r="N46" s="627" t="s">
        <v>488</v>
      </c>
    </row>
    <row r="47" spans="1:18">
      <c r="A47" s="1" t="s">
        <v>478</v>
      </c>
      <c r="I47" s="2"/>
      <c r="J47" s="228"/>
    </row>
    <row r="48" spans="1:18">
      <c r="A48" s="1174" t="s">
        <v>466</v>
      </c>
      <c r="B48" s="1174"/>
      <c r="C48" s="1175" t="s">
        <v>18</v>
      </c>
      <c r="D48" s="1175"/>
      <c r="E48" s="1175" t="s">
        <v>19</v>
      </c>
      <c r="F48" s="1175"/>
      <c r="G48" s="1175" t="s">
        <v>20</v>
      </c>
      <c r="H48" s="1175"/>
      <c r="I48" s="1174" t="s">
        <v>21</v>
      </c>
      <c r="J48" s="1174"/>
      <c r="L48" s="2" t="s">
        <v>487</v>
      </c>
    </row>
    <row r="49" spans="1:16">
      <c r="A49" s="619" t="s">
        <v>467</v>
      </c>
      <c r="B49" s="619" t="s">
        <v>468</v>
      </c>
      <c r="C49" s="619" t="s">
        <v>469</v>
      </c>
      <c r="D49" s="619" t="s">
        <v>470</v>
      </c>
      <c r="E49" s="619" t="s">
        <v>469</v>
      </c>
      <c r="F49" s="619" t="s">
        <v>470</v>
      </c>
      <c r="G49" s="619" t="s">
        <v>469</v>
      </c>
      <c r="H49" s="619" t="s">
        <v>470</v>
      </c>
      <c r="I49" s="619" t="s">
        <v>469</v>
      </c>
      <c r="J49" s="619" t="s">
        <v>470</v>
      </c>
      <c r="L49" s="1177"/>
      <c r="M49" s="1177"/>
      <c r="N49" s="1177"/>
      <c r="O49" s="1177"/>
      <c r="P49" s="1177"/>
    </row>
    <row r="50" spans="1:16">
      <c r="A50" s="619">
        <v>0</v>
      </c>
      <c r="B50" s="619">
        <v>1400</v>
      </c>
      <c r="C50" s="619">
        <v>279</v>
      </c>
      <c r="D50" s="619">
        <v>7.24</v>
      </c>
      <c r="E50" s="619">
        <v>204</v>
      </c>
      <c r="F50" s="619">
        <v>9.8000000000000007</v>
      </c>
      <c r="G50" s="619" t="s">
        <v>471</v>
      </c>
      <c r="H50" s="619" t="s">
        <v>471</v>
      </c>
      <c r="I50" s="619" t="s">
        <v>471</v>
      </c>
      <c r="J50" s="619" t="s">
        <v>471</v>
      </c>
      <c r="L50" s="1177"/>
      <c r="M50" s="1177"/>
      <c r="N50" s="1177"/>
      <c r="O50" s="1177"/>
      <c r="P50" s="1177"/>
    </row>
    <row r="51" spans="1:16">
      <c r="A51" s="619">
        <v>1401</v>
      </c>
      <c r="B51" s="619">
        <v>1600</v>
      </c>
      <c r="C51" s="619">
        <v>314</v>
      </c>
      <c r="D51" s="619">
        <v>7.88</v>
      </c>
      <c r="E51" s="619">
        <v>230</v>
      </c>
      <c r="F51" s="619">
        <v>9.8000000000000007</v>
      </c>
      <c r="G51" s="619" t="s">
        <v>471</v>
      </c>
      <c r="H51" s="619" t="s">
        <v>471</v>
      </c>
      <c r="I51" s="619" t="s">
        <v>471</v>
      </c>
      <c r="J51" s="619" t="s">
        <v>471</v>
      </c>
      <c r="L51" s="1177"/>
      <c r="M51" s="1177"/>
      <c r="N51" s="1177"/>
      <c r="O51" s="1177"/>
      <c r="P51" s="1177"/>
    </row>
    <row r="52" spans="1:16">
      <c r="A52" s="619">
        <v>1601</v>
      </c>
      <c r="B52" s="619">
        <v>1800</v>
      </c>
      <c r="C52" s="619">
        <v>363</v>
      </c>
      <c r="D52" s="619">
        <v>7.88</v>
      </c>
      <c r="E52" s="619">
        <v>230</v>
      </c>
      <c r="F52" s="619">
        <v>9.8000000000000007</v>
      </c>
      <c r="G52" s="619" t="s">
        <v>471</v>
      </c>
      <c r="H52" s="619" t="s">
        <v>471</v>
      </c>
      <c r="I52" s="619">
        <v>363</v>
      </c>
      <c r="J52" s="619">
        <v>7.88</v>
      </c>
      <c r="L52" s="1177"/>
      <c r="M52" s="1177"/>
      <c r="N52" s="1177"/>
      <c r="O52" s="1177"/>
      <c r="P52" s="1177"/>
    </row>
    <row r="53" spans="1:16">
      <c r="A53" s="619">
        <v>1801</v>
      </c>
      <c r="B53" s="619">
        <v>2000</v>
      </c>
      <c r="C53" s="619">
        <v>421</v>
      </c>
      <c r="D53" s="619">
        <v>8.77</v>
      </c>
      <c r="E53" s="619">
        <v>311</v>
      </c>
      <c r="F53" s="619">
        <v>9.8800000000000008</v>
      </c>
      <c r="G53" s="619">
        <v>311</v>
      </c>
      <c r="H53" s="619">
        <v>9.8000000000000007</v>
      </c>
      <c r="I53" s="619">
        <v>372</v>
      </c>
      <c r="J53" s="619">
        <v>8.77</v>
      </c>
      <c r="L53" s="1177"/>
      <c r="M53" s="1177"/>
      <c r="N53" s="1177"/>
      <c r="O53" s="1177"/>
      <c r="P53" s="1177"/>
    </row>
    <row r="54" spans="1:16">
      <c r="A54" s="619">
        <v>2001</v>
      </c>
      <c r="B54" s="619">
        <v>2500</v>
      </c>
      <c r="C54" s="619">
        <v>469</v>
      </c>
      <c r="D54" s="619">
        <v>10.56</v>
      </c>
      <c r="E54" s="619">
        <v>315</v>
      </c>
      <c r="F54" s="619">
        <v>13.1</v>
      </c>
      <c r="G54" s="619">
        <v>413</v>
      </c>
      <c r="H54" s="619">
        <v>13.1</v>
      </c>
      <c r="I54" s="619">
        <v>469</v>
      </c>
      <c r="J54" s="619">
        <v>10.56</v>
      </c>
      <c r="L54" s="1177"/>
      <c r="M54" s="1177"/>
      <c r="N54" s="1177"/>
      <c r="O54" s="1177"/>
      <c r="P54" s="1177"/>
    </row>
    <row r="55" spans="1:16">
      <c r="A55" s="619">
        <v>2501</v>
      </c>
      <c r="B55" s="619">
        <v>10000</v>
      </c>
      <c r="C55" s="619">
        <v>482</v>
      </c>
      <c r="D55" s="619">
        <v>10.98</v>
      </c>
      <c r="E55" s="619">
        <v>415</v>
      </c>
      <c r="F55" s="619">
        <v>13.8</v>
      </c>
      <c r="G55" s="619">
        <v>456</v>
      </c>
      <c r="H55" s="619">
        <v>13.8</v>
      </c>
      <c r="I55" s="619">
        <v>482</v>
      </c>
      <c r="J55" s="619">
        <v>10.98</v>
      </c>
      <c r="L55" s="1177"/>
      <c r="M55" s="1177"/>
      <c r="N55" s="1177"/>
      <c r="O55" s="1177"/>
      <c r="P55" s="1177"/>
    </row>
  </sheetData>
  <sheetProtection algorithmName="SHA-512" hashValue="23vZm9/m3leOGjbQZg0Cdfy6Kz++OAWaajUkqatMdujGrhbiIlCJkfE0j9KDM7PIL48i9+fLo5x/IeJfCU4V7w==" saltValue="Q+I7eCEZ+wWniGCHLTkXlA==" spinCount="100000" sheet="1" objects="1" scenarios="1"/>
  <mergeCells count="27">
    <mergeCell ref="L49:P55"/>
    <mergeCell ref="A48:B48"/>
    <mergeCell ref="C48:D48"/>
    <mergeCell ref="E48:F48"/>
    <mergeCell ref="G48:H48"/>
    <mergeCell ref="I48:J48"/>
    <mergeCell ref="M10:N10"/>
    <mergeCell ref="A23:J23"/>
    <mergeCell ref="A24:P24"/>
    <mergeCell ref="A37:B37"/>
    <mergeCell ref="C37:D37"/>
    <mergeCell ref="E37:F37"/>
    <mergeCell ref="G37:H37"/>
    <mergeCell ref="I37:J37"/>
    <mergeCell ref="A34:P34"/>
    <mergeCell ref="K37:L37"/>
    <mergeCell ref="M3:P3"/>
    <mergeCell ref="A6:P6"/>
    <mergeCell ref="D8:F8"/>
    <mergeCell ref="G8:I9"/>
    <mergeCell ref="J8:J9"/>
    <mergeCell ref="K8:L8"/>
    <mergeCell ref="M8:N8"/>
    <mergeCell ref="O8:P8"/>
    <mergeCell ref="B8:C8"/>
    <mergeCell ref="H3:I3"/>
    <mergeCell ref="K3:L3"/>
  </mergeCells>
  <conditionalFormatting sqref="K23">
    <cfRule type="cellIs" dxfId="116" priority="1" operator="greaterThan">
      <formula>10000</formula>
    </cfRule>
  </conditionalFormatting>
  <dataValidations count="1">
    <dataValidation type="list" allowBlank="1" showInputMessage="1" showErrorMessage="1" sqref="D11:D22" xr:uid="{00000000-0002-0000-0800-000000000000}">
      <formula1>$C$37:$L$37</formula1>
    </dataValidation>
  </dataValidations>
  <pageMargins left="0.23622047244094491" right="0" top="0.27559055118110237" bottom="0.27559055118110237" header="0.11811023622047245" footer="0.11811023622047245"/>
  <pageSetup paperSize="9" scale="80" fitToHeight="0" orientation="landscape" horizontalDpi="300" verticalDpi="300" r:id="rId1"/>
  <headerFooter alignWithMargins="0"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tabColor rgb="FF0070C0"/>
    <pageSetUpPr fitToPage="1"/>
  </sheetPr>
  <dimension ref="A1:P1502"/>
  <sheetViews>
    <sheetView zoomScaleNormal="100" workbookViewId="0">
      <selection activeCell="A3" sqref="A3"/>
    </sheetView>
  </sheetViews>
  <sheetFormatPr defaultRowHeight="13.2"/>
  <cols>
    <col min="1" max="1" width="19.109375" style="2" customWidth="1"/>
    <col min="2" max="2" width="10.5546875" style="2" customWidth="1"/>
    <col min="3" max="4" width="9.6640625" style="2" customWidth="1"/>
    <col min="5" max="5" width="11.33203125" style="2" customWidth="1"/>
    <col min="6" max="6" width="7" style="2" customWidth="1"/>
    <col min="7" max="7" width="6.6640625" style="2" customWidth="1"/>
    <col min="8" max="8" width="9.88671875" style="2" customWidth="1"/>
    <col min="9" max="9" width="7" style="2" customWidth="1"/>
    <col min="10" max="10" width="9.44140625" style="228" customWidth="1"/>
    <col min="11" max="12" width="12" style="2" customWidth="1"/>
    <col min="13" max="13" width="13.6640625" style="2" customWidth="1"/>
    <col min="14" max="16" width="13.44140625" style="2" bestFit="1" customWidth="1"/>
    <col min="17" max="255" width="9.109375" style="2"/>
    <col min="256" max="256" width="19.109375" style="2" customWidth="1"/>
    <col min="257" max="257" width="10.5546875" style="2" customWidth="1"/>
    <col min="258" max="258" width="9.6640625" style="2" customWidth="1"/>
    <col min="259" max="259" width="11.33203125" style="2" customWidth="1"/>
    <col min="260" max="261" width="7" style="2" customWidth="1"/>
    <col min="262" max="262" width="6.6640625" style="2" customWidth="1"/>
    <col min="263" max="263" width="9.88671875" style="2" customWidth="1"/>
    <col min="264" max="264" width="7" style="2" customWidth="1"/>
    <col min="265" max="265" width="9.44140625" style="2" customWidth="1"/>
    <col min="266" max="267" width="11.5546875" style="2" customWidth="1"/>
    <col min="268" max="268" width="13.88671875" style="2" customWidth="1"/>
    <col min="269" max="269" width="13.6640625" style="2" customWidth="1"/>
    <col min="270" max="272" width="13.44140625" style="2" bestFit="1" customWidth="1"/>
    <col min="273" max="511" width="9.109375" style="2"/>
    <col min="512" max="512" width="19.109375" style="2" customWidth="1"/>
    <col min="513" max="513" width="10.5546875" style="2" customWidth="1"/>
    <col min="514" max="514" width="9.6640625" style="2" customWidth="1"/>
    <col min="515" max="515" width="11.33203125" style="2" customWidth="1"/>
    <col min="516" max="517" width="7" style="2" customWidth="1"/>
    <col min="518" max="518" width="6.6640625" style="2" customWidth="1"/>
    <col min="519" max="519" width="9.88671875" style="2" customWidth="1"/>
    <col min="520" max="520" width="7" style="2" customWidth="1"/>
    <col min="521" max="521" width="9.44140625" style="2" customWidth="1"/>
    <col min="522" max="523" width="11.5546875" style="2" customWidth="1"/>
    <col min="524" max="524" width="13.88671875" style="2" customWidth="1"/>
    <col min="525" max="525" width="13.6640625" style="2" customWidth="1"/>
    <col min="526" max="528" width="13.44140625" style="2" bestFit="1" customWidth="1"/>
    <col min="529" max="767" width="9.109375" style="2"/>
    <col min="768" max="768" width="19.109375" style="2" customWidth="1"/>
    <col min="769" max="769" width="10.5546875" style="2" customWidth="1"/>
    <col min="770" max="770" width="9.6640625" style="2" customWidth="1"/>
    <col min="771" max="771" width="11.33203125" style="2" customWidth="1"/>
    <col min="772" max="773" width="7" style="2" customWidth="1"/>
    <col min="774" max="774" width="6.6640625" style="2" customWidth="1"/>
    <col min="775" max="775" width="9.88671875" style="2" customWidth="1"/>
    <col min="776" max="776" width="7" style="2" customWidth="1"/>
    <col min="777" max="777" width="9.44140625" style="2" customWidth="1"/>
    <col min="778" max="779" width="11.5546875" style="2" customWidth="1"/>
    <col min="780" max="780" width="13.88671875" style="2" customWidth="1"/>
    <col min="781" max="781" width="13.6640625" style="2" customWidth="1"/>
    <col min="782" max="784" width="13.44140625" style="2" bestFit="1" customWidth="1"/>
    <col min="785" max="1023" width="9.109375" style="2"/>
    <col min="1024" max="1024" width="19.109375" style="2" customWidth="1"/>
    <col min="1025" max="1025" width="10.5546875" style="2" customWidth="1"/>
    <col min="1026" max="1026" width="9.6640625" style="2" customWidth="1"/>
    <col min="1027" max="1027" width="11.33203125" style="2" customWidth="1"/>
    <col min="1028" max="1029" width="7" style="2" customWidth="1"/>
    <col min="1030" max="1030" width="6.6640625" style="2" customWidth="1"/>
    <col min="1031" max="1031" width="9.88671875" style="2" customWidth="1"/>
    <col min="1032" max="1032" width="7" style="2" customWidth="1"/>
    <col min="1033" max="1033" width="9.44140625" style="2" customWidth="1"/>
    <col min="1034" max="1035" width="11.5546875" style="2" customWidth="1"/>
    <col min="1036" max="1036" width="13.88671875" style="2" customWidth="1"/>
    <col min="1037" max="1037" width="13.6640625" style="2" customWidth="1"/>
    <col min="1038" max="1040" width="13.44140625" style="2" bestFit="1" customWidth="1"/>
    <col min="1041" max="1279" width="9.109375" style="2"/>
    <col min="1280" max="1280" width="19.109375" style="2" customWidth="1"/>
    <col min="1281" max="1281" width="10.5546875" style="2" customWidth="1"/>
    <col min="1282" max="1282" width="9.6640625" style="2" customWidth="1"/>
    <col min="1283" max="1283" width="11.33203125" style="2" customWidth="1"/>
    <col min="1284" max="1285" width="7" style="2" customWidth="1"/>
    <col min="1286" max="1286" width="6.6640625" style="2" customWidth="1"/>
    <col min="1287" max="1287" width="9.88671875" style="2" customWidth="1"/>
    <col min="1288" max="1288" width="7" style="2" customWidth="1"/>
    <col min="1289" max="1289" width="9.44140625" style="2" customWidth="1"/>
    <col min="1290" max="1291" width="11.5546875" style="2" customWidth="1"/>
    <col min="1292" max="1292" width="13.88671875" style="2" customWidth="1"/>
    <col min="1293" max="1293" width="13.6640625" style="2" customWidth="1"/>
    <col min="1294" max="1296" width="13.44140625" style="2" bestFit="1" customWidth="1"/>
    <col min="1297" max="1535" width="9.109375" style="2"/>
    <col min="1536" max="1536" width="19.109375" style="2" customWidth="1"/>
    <col min="1537" max="1537" width="10.5546875" style="2" customWidth="1"/>
    <col min="1538" max="1538" width="9.6640625" style="2" customWidth="1"/>
    <col min="1539" max="1539" width="11.33203125" style="2" customWidth="1"/>
    <col min="1540" max="1541" width="7" style="2" customWidth="1"/>
    <col min="1542" max="1542" width="6.6640625" style="2" customWidth="1"/>
    <col min="1543" max="1543" width="9.88671875" style="2" customWidth="1"/>
    <col min="1544" max="1544" width="7" style="2" customWidth="1"/>
    <col min="1545" max="1545" width="9.44140625" style="2" customWidth="1"/>
    <col min="1546" max="1547" width="11.5546875" style="2" customWidth="1"/>
    <col min="1548" max="1548" width="13.88671875" style="2" customWidth="1"/>
    <col min="1549" max="1549" width="13.6640625" style="2" customWidth="1"/>
    <col min="1550" max="1552" width="13.44140625" style="2" bestFit="1" customWidth="1"/>
    <col min="1553" max="1791" width="9.109375" style="2"/>
    <col min="1792" max="1792" width="19.109375" style="2" customWidth="1"/>
    <col min="1793" max="1793" width="10.5546875" style="2" customWidth="1"/>
    <col min="1794" max="1794" width="9.6640625" style="2" customWidth="1"/>
    <col min="1795" max="1795" width="11.33203125" style="2" customWidth="1"/>
    <col min="1796" max="1797" width="7" style="2" customWidth="1"/>
    <col min="1798" max="1798" width="6.6640625" style="2" customWidth="1"/>
    <col min="1799" max="1799" width="9.88671875" style="2" customWidth="1"/>
    <col min="1800" max="1800" width="7" style="2" customWidth="1"/>
    <col min="1801" max="1801" width="9.44140625" style="2" customWidth="1"/>
    <col min="1802" max="1803" width="11.5546875" style="2" customWidth="1"/>
    <col min="1804" max="1804" width="13.88671875" style="2" customWidth="1"/>
    <col min="1805" max="1805" width="13.6640625" style="2" customWidth="1"/>
    <col min="1806" max="1808" width="13.44140625" style="2" bestFit="1" customWidth="1"/>
    <col min="1809" max="2047" width="9.109375" style="2"/>
    <col min="2048" max="2048" width="19.109375" style="2" customWidth="1"/>
    <col min="2049" max="2049" width="10.5546875" style="2" customWidth="1"/>
    <col min="2050" max="2050" width="9.6640625" style="2" customWidth="1"/>
    <col min="2051" max="2051" width="11.33203125" style="2" customWidth="1"/>
    <col min="2052" max="2053" width="7" style="2" customWidth="1"/>
    <col min="2054" max="2054" width="6.6640625" style="2" customWidth="1"/>
    <col min="2055" max="2055" width="9.88671875" style="2" customWidth="1"/>
    <col min="2056" max="2056" width="7" style="2" customWidth="1"/>
    <col min="2057" max="2057" width="9.44140625" style="2" customWidth="1"/>
    <col min="2058" max="2059" width="11.5546875" style="2" customWidth="1"/>
    <col min="2060" max="2060" width="13.88671875" style="2" customWidth="1"/>
    <col min="2061" max="2061" width="13.6640625" style="2" customWidth="1"/>
    <col min="2062" max="2064" width="13.44140625" style="2" bestFit="1" customWidth="1"/>
    <col min="2065" max="2303" width="9.109375" style="2"/>
    <col min="2304" max="2304" width="19.109375" style="2" customWidth="1"/>
    <col min="2305" max="2305" width="10.5546875" style="2" customWidth="1"/>
    <col min="2306" max="2306" width="9.6640625" style="2" customWidth="1"/>
    <col min="2307" max="2307" width="11.33203125" style="2" customWidth="1"/>
    <col min="2308" max="2309" width="7" style="2" customWidth="1"/>
    <col min="2310" max="2310" width="6.6640625" style="2" customWidth="1"/>
    <col min="2311" max="2311" width="9.88671875" style="2" customWidth="1"/>
    <col min="2312" max="2312" width="7" style="2" customWidth="1"/>
    <col min="2313" max="2313" width="9.44140625" style="2" customWidth="1"/>
    <col min="2314" max="2315" width="11.5546875" style="2" customWidth="1"/>
    <col min="2316" max="2316" width="13.88671875" style="2" customWidth="1"/>
    <col min="2317" max="2317" width="13.6640625" style="2" customWidth="1"/>
    <col min="2318" max="2320" width="13.44140625" style="2" bestFit="1" customWidth="1"/>
    <col min="2321" max="2559" width="9.109375" style="2"/>
    <col min="2560" max="2560" width="19.109375" style="2" customWidth="1"/>
    <col min="2561" max="2561" width="10.5546875" style="2" customWidth="1"/>
    <col min="2562" max="2562" width="9.6640625" style="2" customWidth="1"/>
    <col min="2563" max="2563" width="11.33203125" style="2" customWidth="1"/>
    <col min="2564" max="2565" width="7" style="2" customWidth="1"/>
    <col min="2566" max="2566" width="6.6640625" style="2" customWidth="1"/>
    <col min="2567" max="2567" width="9.88671875" style="2" customWidth="1"/>
    <col min="2568" max="2568" width="7" style="2" customWidth="1"/>
    <col min="2569" max="2569" width="9.44140625" style="2" customWidth="1"/>
    <col min="2570" max="2571" width="11.5546875" style="2" customWidth="1"/>
    <col min="2572" max="2572" width="13.88671875" style="2" customWidth="1"/>
    <col min="2573" max="2573" width="13.6640625" style="2" customWidth="1"/>
    <col min="2574" max="2576" width="13.44140625" style="2" bestFit="1" customWidth="1"/>
    <col min="2577" max="2815" width="9.109375" style="2"/>
    <col min="2816" max="2816" width="19.109375" style="2" customWidth="1"/>
    <col min="2817" max="2817" width="10.5546875" style="2" customWidth="1"/>
    <col min="2818" max="2818" width="9.6640625" style="2" customWidth="1"/>
    <col min="2819" max="2819" width="11.33203125" style="2" customWidth="1"/>
    <col min="2820" max="2821" width="7" style="2" customWidth="1"/>
    <col min="2822" max="2822" width="6.6640625" style="2" customWidth="1"/>
    <col min="2823" max="2823" width="9.88671875" style="2" customWidth="1"/>
    <col min="2824" max="2824" width="7" style="2" customWidth="1"/>
    <col min="2825" max="2825" width="9.44140625" style="2" customWidth="1"/>
    <col min="2826" max="2827" width="11.5546875" style="2" customWidth="1"/>
    <col min="2828" max="2828" width="13.88671875" style="2" customWidth="1"/>
    <col min="2829" max="2829" width="13.6640625" style="2" customWidth="1"/>
    <col min="2830" max="2832" width="13.44140625" style="2" bestFit="1" customWidth="1"/>
    <col min="2833" max="3071" width="9.109375" style="2"/>
    <col min="3072" max="3072" width="19.109375" style="2" customWidth="1"/>
    <col min="3073" max="3073" width="10.5546875" style="2" customWidth="1"/>
    <col min="3074" max="3074" width="9.6640625" style="2" customWidth="1"/>
    <col min="3075" max="3075" width="11.33203125" style="2" customWidth="1"/>
    <col min="3076" max="3077" width="7" style="2" customWidth="1"/>
    <col min="3078" max="3078" width="6.6640625" style="2" customWidth="1"/>
    <col min="3079" max="3079" width="9.88671875" style="2" customWidth="1"/>
    <col min="3080" max="3080" width="7" style="2" customWidth="1"/>
    <col min="3081" max="3081" width="9.44140625" style="2" customWidth="1"/>
    <col min="3082" max="3083" width="11.5546875" style="2" customWidth="1"/>
    <col min="3084" max="3084" width="13.88671875" style="2" customWidth="1"/>
    <col min="3085" max="3085" width="13.6640625" style="2" customWidth="1"/>
    <col min="3086" max="3088" width="13.44140625" style="2" bestFit="1" customWidth="1"/>
    <col min="3089" max="3327" width="9.109375" style="2"/>
    <col min="3328" max="3328" width="19.109375" style="2" customWidth="1"/>
    <col min="3329" max="3329" width="10.5546875" style="2" customWidth="1"/>
    <col min="3330" max="3330" width="9.6640625" style="2" customWidth="1"/>
    <col min="3331" max="3331" width="11.33203125" style="2" customWidth="1"/>
    <col min="3332" max="3333" width="7" style="2" customWidth="1"/>
    <col min="3334" max="3334" width="6.6640625" style="2" customWidth="1"/>
    <col min="3335" max="3335" width="9.88671875" style="2" customWidth="1"/>
    <col min="3336" max="3336" width="7" style="2" customWidth="1"/>
    <col min="3337" max="3337" width="9.44140625" style="2" customWidth="1"/>
    <col min="3338" max="3339" width="11.5546875" style="2" customWidth="1"/>
    <col min="3340" max="3340" width="13.88671875" style="2" customWidth="1"/>
    <col min="3341" max="3341" width="13.6640625" style="2" customWidth="1"/>
    <col min="3342" max="3344" width="13.44140625" style="2" bestFit="1" customWidth="1"/>
    <col min="3345" max="3583" width="9.109375" style="2"/>
    <col min="3584" max="3584" width="19.109375" style="2" customWidth="1"/>
    <col min="3585" max="3585" width="10.5546875" style="2" customWidth="1"/>
    <col min="3586" max="3586" width="9.6640625" style="2" customWidth="1"/>
    <col min="3587" max="3587" width="11.33203125" style="2" customWidth="1"/>
    <col min="3588" max="3589" width="7" style="2" customWidth="1"/>
    <col min="3590" max="3590" width="6.6640625" style="2" customWidth="1"/>
    <col min="3591" max="3591" width="9.88671875" style="2" customWidth="1"/>
    <col min="3592" max="3592" width="7" style="2" customWidth="1"/>
    <col min="3593" max="3593" width="9.44140625" style="2" customWidth="1"/>
    <col min="3594" max="3595" width="11.5546875" style="2" customWidth="1"/>
    <col min="3596" max="3596" width="13.88671875" style="2" customWidth="1"/>
    <col min="3597" max="3597" width="13.6640625" style="2" customWidth="1"/>
    <col min="3598" max="3600" width="13.44140625" style="2" bestFit="1" customWidth="1"/>
    <col min="3601" max="3839" width="9.109375" style="2"/>
    <col min="3840" max="3840" width="19.109375" style="2" customWidth="1"/>
    <col min="3841" max="3841" width="10.5546875" style="2" customWidth="1"/>
    <col min="3842" max="3842" width="9.6640625" style="2" customWidth="1"/>
    <col min="3843" max="3843" width="11.33203125" style="2" customWidth="1"/>
    <col min="3844" max="3845" width="7" style="2" customWidth="1"/>
    <col min="3846" max="3846" width="6.6640625" style="2" customWidth="1"/>
    <col min="3847" max="3847" width="9.88671875" style="2" customWidth="1"/>
    <col min="3848" max="3848" width="7" style="2" customWidth="1"/>
    <col min="3849" max="3849" width="9.44140625" style="2" customWidth="1"/>
    <col min="3850" max="3851" width="11.5546875" style="2" customWidth="1"/>
    <col min="3852" max="3852" width="13.88671875" style="2" customWidth="1"/>
    <col min="3853" max="3853" width="13.6640625" style="2" customWidth="1"/>
    <col min="3854" max="3856" width="13.44140625" style="2" bestFit="1" customWidth="1"/>
    <col min="3857" max="4095" width="9.109375" style="2"/>
    <col min="4096" max="4096" width="19.109375" style="2" customWidth="1"/>
    <col min="4097" max="4097" width="10.5546875" style="2" customWidth="1"/>
    <col min="4098" max="4098" width="9.6640625" style="2" customWidth="1"/>
    <col min="4099" max="4099" width="11.33203125" style="2" customWidth="1"/>
    <col min="4100" max="4101" width="7" style="2" customWidth="1"/>
    <col min="4102" max="4102" width="6.6640625" style="2" customWidth="1"/>
    <col min="4103" max="4103" width="9.88671875" style="2" customWidth="1"/>
    <col min="4104" max="4104" width="7" style="2" customWidth="1"/>
    <col min="4105" max="4105" width="9.44140625" style="2" customWidth="1"/>
    <col min="4106" max="4107" width="11.5546875" style="2" customWidth="1"/>
    <col min="4108" max="4108" width="13.88671875" style="2" customWidth="1"/>
    <col min="4109" max="4109" width="13.6640625" style="2" customWidth="1"/>
    <col min="4110" max="4112" width="13.44140625" style="2" bestFit="1" customWidth="1"/>
    <col min="4113" max="4351" width="9.109375" style="2"/>
    <col min="4352" max="4352" width="19.109375" style="2" customWidth="1"/>
    <col min="4353" max="4353" width="10.5546875" style="2" customWidth="1"/>
    <col min="4354" max="4354" width="9.6640625" style="2" customWidth="1"/>
    <col min="4355" max="4355" width="11.33203125" style="2" customWidth="1"/>
    <col min="4356" max="4357" width="7" style="2" customWidth="1"/>
    <col min="4358" max="4358" width="6.6640625" style="2" customWidth="1"/>
    <col min="4359" max="4359" width="9.88671875" style="2" customWidth="1"/>
    <col min="4360" max="4360" width="7" style="2" customWidth="1"/>
    <col min="4361" max="4361" width="9.44140625" style="2" customWidth="1"/>
    <col min="4362" max="4363" width="11.5546875" style="2" customWidth="1"/>
    <col min="4364" max="4364" width="13.88671875" style="2" customWidth="1"/>
    <col min="4365" max="4365" width="13.6640625" style="2" customWidth="1"/>
    <col min="4366" max="4368" width="13.44140625" style="2" bestFit="1" customWidth="1"/>
    <col min="4369" max="4607" width="9.109375" style="2"/>
    <col min="4608" max="4608" width="19.109375" style="2" customWidth="1"/>
    <col min="4609" max="4609" width="10.5546875" style="2" customWidth="1"/>
    <col min="4610" max="4610" width="9.6640625" style="2" customWidth="1"/>
    <col min="4611" max="4611" width="11.33203125" style="2" customWidth="1"/>
    <col min="4612" max="4613" width="7" style="2" customWidth="1"/>
    <col min="4614" max="4614" width="6.6640625" style="2" customWidth="1"/>
    <col min="4615" max="4615" width="9.88671875" style="2" customWidth="1"/>
    <col min="4616" max="4616" width="7" style="2" customWidth="1"/>
    <col min="4617" max="4617" width="9.44140625" style="2" customWidth="1"/>
    <col min="4618" max="4619" width="11.5546875" style="2" customWidth="1"/>
    <col min="4620" max="4620" width="13.88671875" style="2" customWidth="1"/>
    <col min="4621" max="4621" width="13.6640625" style="2" customWidth="1"/>
    <col min="4622" max="4624" width="13.44140625" style="2" bestFit="1" customWidth="1"/>
    <col min="4625" max="4863" width="9.109375" style="2"/>
    <col min="4864" max="4864" width="19.109375" style="2" customWidth="1"/>
    <col min="4865" max="4865" width="10.5546875" style="2" customWidth="1"/>
    <col min="4866" max="4866" width="9.6640625" style="2" customWidth="1"/>
    <col min="4867" max="4867" width="11.33203125" style="2" customWidth="1"/>
    <col min="4868" max="4869" width="7" style="2" customWidth="1"/>
    <col min="4870" max="4870" width="6.6640625" style="2" customWidth="1"/>
    <col min="4871" max="4871" width="9.88671875" style="2" customWidth="1"/>
    <col min="4872" max="4872" width="7" style="2" customWidth="1"/>
    <col min="4873" max="4873" width="9.44140625" style="2" customWidth="1"/>
    <col min="4874" max="4875" width="11.5546875" style="2" customWidth="1"/>
    <col min="4876" max="4876" width="13.88671875" style="2" customWidth="1"/>
    <col min="4877" max="4877" width="13.6640625" style="2" customWidth="1"/>
    <col min="4878" max="4880" width="13.44140625" style="2" bestFit="1" customWidth="1"/>
    <col min="4881" max="5119" width="9.109375" style="2"/>
    <col min="5120" max="5120" width="19.109375" style="2" customWidth="1"/>
    <col min="5121" max="5121" width="10.5546875" style="2" customWidth="1"/>
    <col min="5122" max="5122" width="9.6640625" style="2" customWidth="1"/>
    <col min="5123" max="5123" width="11.33203125" style="2" customWidth="1"/>
    <col min="5124" max="5125" width="7" style="2" customWidth="1"/>
    <col min="5126" max="5126" width="6.6640625" style="2" customWidth="1"/>
    <col min="5127" max="5127" width="9.88671875" style="2" customWidth="1"/>
    <col min="5128" max="5128" width="7" style="2" customWidth="1"/>
    <col min="5129" max="5129" width="9.44140625" style="2" customWidth="1"/>
    <col min="5130" max="5131" width="11.5546875" style="2" customWidth="1"/>
    <col min="5132" max="5132" width="13.88671875" style="2" customWidth="1"/>
    <col min="5133" max="5133" width="13.6640625" style="2" customWidth="1"/>
    <col min="5134" max="5136" width="13.44140625" style="2" bestFit="1" customWidth="1"/>
    <col min="5137" max="5375" width="9.109375" style="2"/>
    <col min="5376" max="5376" width="19.109375" style="2" customWidth="1"/>
    <col min="5377" max="5377" width="10.5546875" style="2" customWidth="1"/>
    <col min="5378" max="5378" width="9.6640625" style="2" customWidth="1"/>
    <col min="5379" max="5379" width="11.33203125" style="2" customWidth="1"/>
    <col min="5380" max="5381" width="7" style="2" customWidth="1"/>
    <col min="5382" max="5382" width="6.6640625" style="2" customWidth="1"/>
    <col min="5383" max="5383" width="9.88671875" style="2" customWidth="1"/>
    <col min="5384" max="5384" width="7" style="2" customWidth="1"/>
    <col min="5385" max="5385" width="9.44140625" style="2" customWidth="1"/>
    <col min="5386" max="5387" width="11.5546875" style="2" customWidth="1"/>
    <col min="5388" max="5388" width="13.88671875" style="2" customWidth="1"/>
    <col min="5389" max="5389" width="13.6640625" style="2" customWidth="1"/>
    <col min="5390" max="5392" width="13.44140625" style="2" bestFit="1" customWidth="1"/>
    <col min="5393" max="5631" width="9.109375" style="2"/>
    <col min="5632" max="5632" width="19.109375" style="2" customWidth="1"/>
    <col min="5633" max="5633" width="10.5546875" style="2" customWidth="1"/>
    <col min="5634" max="5634" width="9.6640625" style="2" customWidth="1"/>
    <col min="5635" max="5635" width="11.33203125" style="2" customWidth="1"/>
    <col min="5636" max="5637" width="7" style="2" customWidth="1"/>
    <col min="5638" max="5638" width="6.6640625" style="2" customWidth="1"/>
    <col min="5639" max="5639" width="9.88671875" style="2" customWidth="1"/>
    <col min="5640" max="5640" width="7" style="2" customWidth="1"/>
    <col min="5641" max="5641" width="9.44140625" style="2" customWidth="1"/>
    <col min="5642" max="5643" width="11.5546875" style="2" customWidth="1"/>
    <col min="5644" max="5644" width="13.88671875" style="2" customWidth="1"/>
    <col min="5645" max="5645" width="13.6640625" style="2" customWidth="1"/>
    <col min="5646" max="5648" width="13.44140625" style="2" bestFit="1" customWidth="1"/>
    <col min="5649" max="5887" width="9.109375" style="2"/>
    <col min="5888" max="5888" width="19.109375" style="2" customWidth="1"/>
    <col min="5889" max="5889" width="10.5546875" style="2" customWidth="1"/>
    <col min="5890" max="5890" width="9.6640625" style="2" customWidth="1"/>
    <col min="5891" max="5891" width="11.33203125" style="2" customWidth="1"/>
    <col min="5892" max="5893" width="7" style="2" customWidth="1"/>
    <col min="5894" max="5894" width="6.6640625" style="2" customWidth="1"/>
    <col min="5895" max="5895" width="9.88671875" style="2" customWidth="1"/>
    <col min="5896" max="5896" width="7" style="2" customWidth="1"/>
    <col min="5897" max="5897" width="9.44140625" style="2" customWidth="1"/>
    <col min="5898" max="5899" width="11.5546875" style="2" customWidth="1"/>
    <col min="5900" max="5900" width="13.88671875" style="2" customWidth="1"/>
    <col min="5901" max="5901" width="13.6640625" style="2" customWidth="1"/>
    <col min="5902" max="5904" width="13.44140625" style="2" bestFit="1" customWidth="1"/>
    <col min="5905" max="6143" width="9.109375" style="2"/>
    <col min="6144" max="6144" width="19.109375" style="2" customWidth="1"/>
    <col min="6145" max="6145" width="10.5546875" style="2" customWidth="1"/>
    <col min="6146" max="6146" width="9.6640625" style="2" customWidth="1"/>
    <col min="6147" max="6147" width="11.33203125" style="2" customWidth="1"/>
    <col min="6148" max="6149" width="7" style="2" customWidth="1"/>
    <col min="6150" max="6150" width="6.6640625" style="2" customWidth="1"/>
    <col min="6151" max="6151" width="9.88671875" style="2" customWidth="1"/>
    <col min="6152" max="6152" width="7" style="2" customWidth="1"/>
    <col min="6153" max="6153" width="9.44140625" style="2" customWidth="1"/>
    <col min="6154" max="6155" width="11.5546875" style="2" customWidth="1"/>
    <col min="6156" max="6156" width="13.88671875" style="2" customWidth="1"/>
    <col min="6157" max="6157" width="13.6640625" style="2" customWidth="1"/>
    <col min="6158" max="6160" width="13.44140625" style="2" bestFit="1" customWidth="1"/>
    <col min="6161" max="6399" width="9.109375" style="2"/>
    <col min="6400" max="6400" width="19.109375" style="2" customWidth="1"/>
    <col min="6401" max="6401" width="10.5546875" style="2" customWidth="1"/>
    <col min="6402" max="6402" width="9.6640625" style="2" customWidth="1"/>
    <col min="6403" max="6403" width="11.33203125" style="2" customWidth="1"/>
    <col min="6404" max="6405" width="7" style="2" customWidth="1"/>
    <col min="6406" max="6406" width="6.6640625" style="2" customWidth="1"/>
    <col min="6407" max="6407" width="9.88671875" style="2" customWidth="1"/>
    <col min="6408" max="6408" width="7" style="2" customWidth="1"/>
    <col min="6409" max="6409" width="9.44140625" style="2" customWidth="1"/>
    <col min="6410" max="6411" width="11.5546875" style="2" customWidth="1"/>
    <col min="6412" max="6412" width="13.88671875" style="2" customWidth="1"/>
    <col min="6413" max="6413" width="13.6640625" style="2" customWidth="1"/>
    <col min="6414" max="6416" width="13.44140625" style="2" bestFit="1" customWidth="1"/>
    <col min="6417" max="6655" width="9.109375" style="2"/>
    <col min="6656" max="6656" width="19.109375" style="2" customWidth="1"/>
    <col min="6657" max="6657" width="10.5546875" style="2" customWidth="1"/>
    <col min="6658" max="6658" width="9.6640625" style="2" customWidth="1"/>
    <col min="6659" max="6659" width="11.33203125" style="2" customWidth="1"/>
    <col min="6660" max="6661" width="7" style="2" customWidth="1"/>
    <col min="6662" max="6662" width="6.6640625" style="2" customWidth="1"/>
    <col min="6663" max="6663" width="9.88671875" style="2" customWidth="1"/>
    <col min="6664" max="6664" width="7" style="2" customWidth="1"/>
    <col min="6665" max="6665" width="9.44140625" style="2" customWidth="1"/>
    <col min="6666" max="6667" width="11.5546875" style="2" customWidth="1"/>
    <col min="6668" max="6668" width="13.88671875" style="2" customWidth="1"/>
    <col min="6669" max="6669" width="13.6640625" style="2" customWidth="1"/>
    <col min="6670" max="6672" width="13.44140625" style="2" bestFit="1" customWidth="1"/>
    <col min="6673" max="6911" width="9.109375" style="2"/>
    <col min="6912" max="6912" width="19.109375" style="2" customWidth="1"/>
    <col min="6913" max="6913" width="10.5546875" style="2" customWidth="1"/>
    <col min="6914" max="6914" width="9.6640625" style="2" customWidth="1"/>
    <col min="6915" max="6915" width="11.33203125" style="2" customWidth="1"/>
    <col min="6916" max="6917" width="7" style="2" customWidth="1"/>
    <col min="6918" max="6918" width="6.6640625" style="2" customWidth="1"/>
    <col min="6919" max="6919" width="9.88671875" style="2" customWidth="1"/>
    <col min="6920" max="6920" width="7" style="2" customWidth="1"/>
    <col min="6921" max="6921" width="9.44140625" style="2" customWidth="1"/>
    <col min="6922" max="6923" width="11.5546875" style="2" customWidth="1"/>
    <col min="6924" max="6924" width="13.88671875" style="2" customWidth="1"/>
    <col min="6925" max="6925" width="13.6640625" style="2" customWidth="1"/>
    <col min="6926" max="6928" width="13.44140625" style="2" bestFit="1" customWidth="1"/>
    <col min="6929" max="7167" width="9.109375" style="2"/>
    <col min="7168" max="7168" width="19.109375" style="2" customWidth="1"/>
    <col min="7169" max="7169" width="10.5546875" style="2" customWidth="1"/>
    <col min="7170" max="7170" width="9.6640625" style="2" customWidth="1"/>
    <col min="7171" max="7171" width="11.33203125" style="2" customWidth="1"/>
    <col min="7172" max="7173" width="7" style="2" customWidth="1"/>
    <col min="7174" max="7174" width="6.6640625" style="2" customWidth="1"/>
    <col min="7175" max="7175" width="9.88671875" style="2" customWidth="1"/>
    <col min="7176" max="7176" width="7" style="2" customWidth="1"/>
    <col min="7177" max="7177" width="9.44140625" style="2" customWidth="1"/>
    <col min="7178" max="7179" width="11.5546875" style="2" customWidth="1"/>
    <col min="7180" max="7180" width="13.88671875" style="2" customWidth="1"/>
    <col min="7181" max="7181" width="13.6640625" style="2" customWidth="1"/>
    <col min="7182" max="7184" width="13.44140625" style="2" bestFit="1" customWidth="1"/>
    <col min="7185" max="7423" width="9.109375" style="2"/>
    <col min="7424" max="7424" width="19.109375" style="2" customWidth="1"/>
    <col min="7425" max="7425" width="10.5546875" style="2" customWidth="1"/>
    <col min="7426" max="7426" width="9.6640625" style="2" customWidth="1"/>
    <col min="7427" max="7427" width="11.33203125" style="2" customWidth="1"/>
    <col min="7428" max="7429" width="7" style="2" customWidth="1"/>
    <col min="7430" max="7430" width="6.6640625" style="2" customWidth="1"/>
    <col min="7431" max="7431" width="9.88671875" style="2" customWidth="1"/>
    <col min="7432" max="7432" width="7" style="2" customWidth="1"/>
    <col min="7433" max="7433" width="9.44140625" style="2" customWidth="1"/>
    <col min="7434" max="7435" width="11.5546875" style="2" customWidth="1"/>
    <col min="7436" max="7436" width="13.88671875" style="2" customWidth="1"/>
    <col min="7437" max="7437" width="13.6640625" style="2" customWidth="1"/>
    <col min="7438" max="7440" width="13.44140625" style="2" bestFit="1" customWidth="1"/>
    <col min="7441" max="7679" width="9.109375" style="2"/>
    <col min="7680" max="7680" width="19.109375" style="2" customWidth="1"/>
    <col min="7681" max="7681" width="10.5546875" style="2" customWidth="1"/>
    <col min="7682" max="7682" width="9.6640625" style="2" customWidth="1"/>
    <col min="7683" max="7683" width="11.33203125" style="2" customWidth="1"/>
    <col min="7684" max="7685" width="7" style="2" customWidth="1"/>
    <col min="7686" max="7686" width="6.6640625" style="2" customWidth="1"/>
    <col min="7687" max="7687" width="9.88671875" style="2" customWidth="1"/>
    <col min="7688" max="7688" width="7" style="2" customWidth="1"/>
    <col min="7689" max="7689" width="9.44140625" style="2" customWidth="1"/>
    <col min="7690" max="7691" width="11.5546875" style="2" customWidth="1"/>
    <col min="7692" max="7692" width="13.88671875" style="2" customWidth="1"/>
    <col min="7693" max="7693" width="13.6640625" style="2" customWidth="1"/>
    <col min="7694" max="7696" width="13.44140625" style="2" bestFit="1" customWidth="1"/>
    <col min="7697" max="7935" width="9.109375" style="2"/>
    <col min="7936" max="7936" width="19.109375" style="2" customWidth="1"/>
    <col min="7937" max="7937" width="10.5546875" style="2" customWidth="1"/>
    <col min="7938" max="7938" width="9.6640625" style="2" customWidth="1"/>
    <col min="7939" max="7939" width="11.33203125" style="2" customWidth="1"/>
    <col min="7940" max="7941" width="7" style="2" customWidth="1"/>
    <col min="7942" max="7942" width="6.6640625" style="2" customWidth="1"/>
    <col min="7943" max="7943" width="9.88671875" style="2" customWidth="1"/>
    <col min="7944" max="7944" width="7" style="2" customWidth="1"/>
    <col min="7945" max="7945" width="9.44140625" style="2" customWidth="1"/>
    <col min="7946" max="7947" width="11.5546875" style="2" customWidth="1"/>
    <col min="7948" max="7948" width="13.88671875" style="2" customWidth="1"/>
    <col min="7949" max="7949" width="13.6640625" style="2" customWidth="1"/>
    <col min="7950" max="7952" width="13.44140625" style="2" bestFit="1" customWidth="1"/>
    <col min="7953" max="8191" width="9.109375" style="2"/>
    <col min="8192" max="8192" width="19.109375" style="2" customWidth="1"/>
    <col min="8193" max="8193" width="10.5546875" style="2" customWidth="1"/>
    <col min="8194" max="8194" width="9.6640625" style="2" customWidth="1"/>
    <col min="8195" max="8195" width="11.33203125" style="2" customWidth="1"/>
    <col min="8196" max="8197" width="7" style="2" customWidth="1"/>
    <col min="8198" max="8198" width="6.6640625" style="2" customWidth="1"/>
    <col min="8199" max="8199" width="9.88671875" style="2" customWidth="1"/>
    <col min="8200" max="8200" width="7" style="2" customWidth="1"/>
    <col min="8201" max="8201" width="9.44140625" style="2" customWidth="1"/>
    <col min="8202" max="8203" width="11.5546875" style="2" customWidth="1"/>
    <col min="8204" max="8204" width="13.88671875" style="2" customWidth="1"/>
    <col min="8205" max="8205" width="13.6640625" style="2" customWidth="1"/>
    <col min="8206" max="8208" width="13.44140625" style="2" bestFit="1" customWidth="1"/>
    <col min="8209" max="8447" width="9.109375" style="2"/>
    <col min="8448" max="8448" width="19.109375" style="2" customWidth="1"/>
    <col min="8449" max="8449" width="10.5546875" style="2" customWidth="1"/>
    <col min="8450" max="8450" width="9.6640625" style="2" customWidth="1"/>
    <col min="8451" max="8451" width="11.33203125" style="2" customWidth="1"/>
    <col min="8452" max="8453" width="7" style="2" customWidth="1"/>
    <col min="8454" max="8454" width="6.6640625" style="2" customWidth="1"/>
    <col min="8455" max="8455" width="9.88671875" style="2" customWidth="1"/>
    <col min="8456" max="8456" width="7" style="2" customWidth="1"/>
    <col min="8457" max="8457" width="9.44140625" style="2" customWidth="1"/>
    <col min="8458" max="8459" width="11.5546875" style="2" customWidth="1"/>
    <col min="8460" max="8460" width="13.88671875" style="2" customWidth="1"/>
    <col min="8461" max="8461" width="13.6640625" style="2" customWidth="1"/>
    <col min="8462" max="8464" width="13.44140625" style="2" bestFit="1" customWidth="1"/>
    <col min="8465" max="8703" width="9.109375" style="2"/>
    <col min="8704" max="8704" width="19.109375" style="2" customWidth="1"/>
    <col min="8705" max="8705" width="10.5546875" style="2" customWidth="1"/>
    <col min="8706" max="8706" width="9.6640625" style="2" customWidth="1"/>
    <col min="8707" max="8707" width="11.33203125" style="2" customWidth="1"/>
    <col min="8708" max="8709" width="7" style="2" customWidth="1"/>
    <col min="8710" max="8710" width="6.6640625" style="2" customWidth="1"/>
    <col min="8711" max="8711" width="9.88671875" style="2" customWidth="1"/>
    <col min="8712" max="8712" width="7" style="2" customWidth="1"/>
    <col min="8713" max="8713" width="9.44140625" style="2" customWidth="1"/>
    <col min="8714" max="8715" width="11.5546875" style="2" customWidth="1"/>
    <col min="8716" max="8716" width="13.88671875" style="2" customWidth="1"/>
    <col min="8717" max="8717" width="13.6640625" style="2" customWidth="1"/>
    <col min="8718" max="8720" width="13.44140625" style="2" bestFit="1" customWidth="1"/>
    <col min="8721" max="8959" width="9.109375" style="2"/>
    <col min="8960" max="8960" width="19.109375" style="2" customWidth="1"/>
    <col min="8961" max="8961" width="10.5546875" style="2" customWidth="1"/>
    <col min="8962" max="8962" width="9.6640625" style="2" customWidth="1"/>
    <col min="8963" max="8963" width="11.33203125" style="2" customWidth="1"/>
    <col min="8964" max="8965" width="7" style="2" customWidth="1"/>
    <col min="8966" max="8966" width="6.6640625" style="2" customWidth="1"/>
    <col min="8967" max="8967" width="9.88671875" style="2" customWidth="1"/>
    <col min="8968" max="8968" width="7" style="2" customWidth="1"/>
    <col min="8969" max="8969" width="9.44140625" style="2" customWidth="1"/>
    <col min="8970" max="8971" width="11.5546875" style="2" customWidth="1"/>
    <col min="8972" max="8972" width="13.88671875" style="2" customWidth="1"/>
    <col min="8973" max="8973" width="13.6640625" style="2" customWidth="1"/>
    <col min="8974" max="8976" width="13.44140625" style="2" bestFit="1" customWidth="1"/>
    <col min="8977" max="9215" width="9.109375" style="2"/>
    <col min="9216" max="9216" width="19.109375" style="2" customWidth="1"/>
    <col min="9217" max="9217" width="10.5546875" style="2" customWidth="1"/>
    <col min="9218" max="9218" width="9.6640625" style="2" customWidth="1"/>
    <col min="9219" max="9219" width="11.33203125" style="2" customWidth="1"/>
    <col min="9220" max="9221" width="7" style="2" customWidth="1"/>
    <col min="9222" max="9222" width="6.6640625" style="2" customWidth="1"/>
    <col min="9223" max="9223" width="9.88671875" style="2" customWidth="1"/>
    <col min="9224" max="9224" width="7" style="2" customWidth="1"/>
    <col min="9225" max="9225" width="9.44140625" style="2" customWidth="1"/>
    <col min="9226" max="9227" width="11.5546875" style="2" customWidth="1"/>
    <col min="9228" max="9228" width="13.88671875" style="2" customWidth="1"/>
    <col min="9229" max="9229" width="13.6640625" style="2" customWidth="1"/>
    <col min="9230" max="9232" width="13.44140625" style="2" bestFit="1" customWidth="1"/>
    <col min="9233" max="9471" width="9.109375" style="2"/>
    <col min="9472" max="9472" width="19.109375" style="2" customWidth="1"/>
    <col min="9473" max="9473" width="10.5546875" style="2" customWidth="1"/>
    <col min="9474" max="9474" width="9.6640625" style="2" customWidth="1"/>
    <col min="9475" max="9475" width="11.33203125" style="2" customWidth="1"/>
    <col min="9476" max="9477" width="7" style="2" customWidth="1"/>
    <col min="9478" max="9478" width="6.6640625" style="2" customWidth="1"/>
    <col min="9479" max="9479" width="9.88671875" style="2" customWidth="1"/>
    <col min="9480" max="9480" width="7" style="2" customWidth="1"/>
    <col min="9481" max="9481" width="9.44140625" style="2" customWidth="1"/>
    <col min="9482" max="9483" width="11.5546875" style="2" customWidth="1"/>
    <col min="9484" max="9484" width="13.88671875" style="2" customWidth="1"/>
    <col min="9485" max="9485" width="13.6640625" style="2" customWidth="1"/>
    <col min="9486" max="9488" width="13.44140625" style="2" bestFit="1" customWidth="1"/>
    <col min="9489" max="9727" width="9.109375" style="2"/>
    <col min="9728" max="9728" width="19.109375" style="2" customWidth="1"/>
    <col min="9729" max="9729" width="10.5546875" style="2" customWidth="1"/>
    <col min="9730" max="9730" width="9.6640625" style="2" customWidth="1"/>
    <col min="9731" max="9731" width="11.33203125" style="2" customWidth="1"/>
    <col min="9732" max="9733" width="7" style="2" customWidth="1"/>
    <col min="9734" max="9734" width="6.6640625" style="2" customWidth="1"/>
    <col min="9735" max="9735" width="9.88671875" style="2" customWidth="1"/>
    <col min="9736" max="9736" width="7" style="2" customWidth="1"/>
    <col min="9737" max="9737" width="9.44140625" style="2" customWidth="1"/>
    <col min="9738" max="9739" width="11.5546875" style="2" customWidth="1"/>
    <col min="9740" max="9740" width="13.88671875" style="2" customWidth="1"/>
    <col min="9741" max="9741" width="13.6640625" style="2" customWidth="1"/>
    <col min="9742" max="9744" width="13.44140625" style="2" bestFit="1" customWidth="1"/>
    <col min="9745" max="9983" width="9.109375" style="2"/>
    <col min="9984" max="9984" width="19.109375" style="2" customWidth="1"/>
    <col min="9985" max="9985" width="10.5546875" style="2" customWidth="1"/>
    <col min="9986" max="9986" width="9.6640625" style="2" customWidth="1"/>
    <col min="9987" max="9987" width="11.33203125" style="2" customWidth="1"/>
    <col min="9988" max="9989" width="7" style="2" customWidth="1"/>
    <col min="9990" max="9990" width="6.6640625" style="2" customWidth="1"/>
    <col min="9991" max="9991" width="9.88671875" style="2" customWidth="1"/>
    <col min="9992" max="9992" width="7" style="2" customWidth="1"/>
    <col min="9993" max="9993" width="9.44140625" style="2" customWidth="1"/>
    <col min="9994" max="9995" width="11.5546875" style="2" customWidth="1"/>
    <col min="9996" max="9996" width="13.88671875" style="2" customWidth="1"/>
    <col min="9997" max="9997" width="13.6640625" style="2" customWidth="1"/>
    <col min="9998" max="10000" width="13.44140625" style="2" bestFit="1" customWidth="1"/>
    <col min="10001" max="10239" width="9.109375" style="2"/>
    <col min="10240" max="10240" width="19.109375" style="2" customWidth="1"/>
    <col min="10241" max="10241" width="10.5546875" style="2" customWidth="1"/>
    <col min="10242" max="10242" width="9.6640625" style="2" customWidth="1"/>
    <col min="10243" max="10243" width="11.33203125" style="2" customWidth="1"/>
    <col min="10244" max="10245" width="7" style="2" customWidth="1"/>
    <col min="10246" max="10246" width="6.6640625" style="2" customWidth="1"/>
    <col min="10247" max="10247" width="9.88671875" style="2" customWidth="1"/>
    <col min="10248" max="10248" width="7" style="2" customWidth="1"/>
    <col min="10249" max="10249" width="9.44140625" style="2" customWidth="1"/>
    <col min="10250" max="10251" width="11.5546875" style="2" customWidth="1"/>
    <col min="10252" max="10252" width="13.88671875" style="2" customWidth="1"/>
    <col min="10253" max="10253" width="13.6640625" style="2" customWidth="1"/>
    <col min="10254" max="10256" width="13.44140625" style="2" bestFit="1" customWidth="1"/>
    <col min="10257" max="10495" width="9.109375" style="2"/>
    <col min="10496" max="10496" width="19.109375" style="2" customWidth="1"/>
    <col min="10497" max="10497" width="10.5546875" style="2" customWidth="1"/>
    <col min="10498" max="10498" width="9.6640625" style="2" customWidth="1"/>
    <col min="10499" max="10499" width="11.33203125" style="2" customWidth="1"/>
    <col min="10500" max="10501" width="7" style="2" customWidth="1"/>
    <col min="10502" max="10502" width="6.6640625" style="2" customWidth="1"/>
    <col min="10503" max="10503" width="9.88671875" style="2" customWidth="1"/>
    <col min="10504" max="10504" width="7" style="2" customWidth="1"/>
    <col min="10505" max="10505" width="9.44140625" style="2" customWidth="1"/>
    <col min="10506" max="10507" width="11.5546875" style="2" customWidth="1"/>
    <col min="10508" max="10508" width="13.88671875" style="2" customWidth="1"/>
    <col min="10509" max="10509" width="13.6640625" style="2" customWidth="1"/>
    <col min="10510" max="10512" width="13.44140625" style="2" bestFit="1" customWidth="1"/>
    <col min="10513" max="10751" width="9.109375" style="2"/>
    <col min="10752" max="10752" width="19.109375" style="2" customWidth="1"/>
    <col min="10753" max="10753" width="10.5546875" style="2" customWidth="1"/>
    <col min="10754" max="10754" width="9.6640625" style="2" customWidth="1"/>
    <col min="10755" max="10755" width="11.33203125" style="2" customWidth="1"/>
    <col min="10756" max="10757" width="7" style="2" customWidth="1"/>
    <col min="10758" max="10758" width="6.6640625" style="2" customWidth="1"/>
    <col min="10759" max="10759" width="9.88671875" style="2" customWidth="1"/>
    <col min="10760" max="10760" width="7" style="2" customWidth="1"/>
    <col min="10761" max="10761" width="9.44140625" style="2" customWidth="1"/>
    <col min="10762" max="10763" width="11.5546875" style="2" customWidth="1"/>
    <col min="10764" max="10764" width="13.88671875" style="2" customWidth="1"/>
    <col min="10765" max="10765" width="13.6640625" style="2" customWidth="1"/>
    <col min="10766" max="10768" width="13.44140625" style="2" bestFit="1" customWidth="1"/>
    <col min="10769" max="11007" width="9.109375" style="2"/>
    <col min="11008" max="11008" width="19.109375" style="2" customWidth="1"/>
    <col min="11009" max="11009" width="10.5546875" style="2" customWidth="1"/>
    <col min="11010" max="11010" width="9.6640625" style="2" customWidth="1"/>
    <col min="11011" max="11011" width="11.33203125" style="2" customWidth="1"/>
    <col min="11012" max="11013" width="7" style="2" customWidth="1"/>
    <col min="11014" max="11014" width="6.6640625" style="2" customWidth="1"/>
    <col min="11015" max="11015" width="9.88671875" style="2" customWidth="1"/>
    <col min="11016" max="11016" width="7" style="2" customWidth="1"/>
    <col min="11017" max="11017" width="9.44140625" style="2" customWidth="1"/>
    <col min="11018" max="11019" width="11.5546875" style="2" customWidth="1"/>
    <col min="11020" max="11020" width="13.88671875" style="2" customWidth="1"/>
    <col min="11021" max="11021" width="13.6640625" style="2" customWidth="1"/>
    <col min="11022" max="11024" width="13.44140625" style="2" bestFit="1" customWidth="1"/>
    <col min="11025" max="11263" width="9.109375" style="2"/>
    <col min="11264" max="11264" width="19.109375" style="2" customWidth="1"/>
    <col min="11265" max="11265" width="10.5546875" style="2" customWidth="1"/>
    <col min="11266" max="11266" width="9.6640625" style="2" customWidth="1"/>
    <col min="11267" max="11267" width="11.33203125" style="2" customWidth="1"/>
    <col min="11268" max="11269" width="7" style="2" customWidth="1"/>
    <col min="11270" max="11270" width="6.6640625" style="2" customWidth="1"/>
    <col min="11271" max="11271" width="9.88671875" style="2" customWidth="1"/>
    <col min="11272" max="11272" width="7" style="2" customWidth="1"/>
    <col min="11273" max="11273" width="9.44140625" style="2" customWidth="1"/>
    <col min="11274" max="11275" width="11.5546875" style="2" customWidth="1"/>
    <col min="11276" max="11276" width="13.88671875" style="2" customWidth="1"/>
    <col min="11277" max="11277" width="13.6640625" style="2" customWidth="1"/>
    <col min="11278" max="11280" width="13.44140625" style="2" bestFit="1" customWidth="1"/>
    <col min="11281" max="11519" width="9.109375" style="2"/>
    <col min="11520" max="11520" width="19.109375" style="2" customWidth="1"/>
    <col min="11521" max="11521" width="10.5546875" style="2" customWidth="1"/>
    <col min="11522" max="11522" width="9.6640625" style="2" customWidth="1"/>
    <col min="11523" max="11523" width="11.33203125" style="2" customWidth="1"/>
    <col min="11524" max="11525" width="7" style="2" customWidth="1"/>
    <col min="11526" max="11526" width="6.6640625" style="2" customWidth="1"/>
    <col min="11527" max="11527" width="9.88671875" style="2" customWidth="1"/>
    <col min="11528" max="11528" width="7" style="2" customWidth="1"/>
    <col min="11529" max="11529" width="9.44140625" style="2" customWidth="1"/>
    <col min="11530" max="11531" width="11.5546875" style="2" customWidth="1"/>
    <col min="11532" max="11532" width="13.88671875" style="2" customWidth="1"/>
    <col min="11533" max="11533" width="13.6640625" style="2" customWidth="1"/>
    <col min="11534" max="11536" width="13.44140625" style="2" bestFit="1" customWidth="1"/>
    <col min="11537" max="11775" width="9.109375" style="2"/>
    <col min="11776" max="11776" width="19.109375" style="2" customWidth="1"/>
    <col min="11777" max="11777" width="10.5546875" style="2" customWidth="1"/>
    <col min="11778" max="11778" width="9.6640625" style="2" customWidth="1"/>
    <col min="11779" max="11779" width="11.33203125" style="2" customWidth="1"/>
    <col min="11780" max="11781" width="7" style="2" customWidth="1"/>
    <col min="11782" max="11782" width="6.6640625" style="2" customWidth="1"/>
    <col min="11783" max="11783" width="9.88671875" style="2" customWidth="1"/>
    <col min="11784" max="11784" width="7" style="2" customWidth="1"/>
    <col min="11785" max="11785" width="9.44140625" style="2" customWidth="1"/>
    <col min="11786" max="11787" width="11.5546875" style="2" customWidth="1"/>
    <col min="11788" max="11788" width="13.88671875" style="2" customWidth="1"/>
    <col min="11789" max="11789" width="13.6640625" style="2" customWidth="1"/>
    <col min="11790" max="11792" width="13.44140625" style="2" bestFit="1" customWidth="1"/>
    <col min="11793" max="12031" width="9.109375" style="2"/>
    <col min="12032" max="12032" width="19.109375" style="2" customWidth="1"/>
    <col min="12033" max="12033" width="10.5546875" style="2" customWidth="1"/>
    <col min="12034" max="12034" width="9.6640625" style="2" customWidth="1"/>
    <col min="12035" max="12035" width="11.33203125" style="2" customWidth="1"/>
    <col min="12036" max="12037" width="7" style="2" customWidth="1"/>
    <col min="12038" max="12038" width="6.6640625" style="2" customWidth="1"/>
    <col min="12039" max="12039" width="9.88671875" style="2" customWidth="1"/>
    <col min="12040" max="12040" width="7" style="2" customWidth="1"/>
    <col min="12041" max="12041" width="9.44140625" style="2" customWidth="1"/>
    <col min="12042" max="12043" width="11.5546875" style="2" customWidth="1"/>
    <col min="12044" max="12044" width="13.88671875" style="2" customWidth="1"/>
    <col min="12045" max="12045" width="13.6640625" style="2" customWidth="1"/>
    <col min="12046" max="12048" width="13.44140625" style="2" bestFit="1" customWidth="1"/>
    <col min="12049" max="12287" width="9.109375" style="2"/>
    <col min="12288" max="12288" width="19.109375" style="2" customWidth="1"/>
    <col min="12289" max="12289" width="10.5546875" style="2" customWidth="1"/>
    <col min="12290" max="12290" width="9.6640625" style="2" customWidth="1"/>
    <col min="12291" max="12291" width="11.33203125" style="2" customWidth="1"/>
    <col min="12292" max="12293" width="7" style="2" customWidth="1"/>
    <col min="12294" max="12294" width="6.6640625" style="2" customWidth="1"/>
    <col min="12295" max="12295" width="9.88671875" style="2" customWidth="1"/>
    <col min="12296" max="12296" width="7" style="2" customWidth="1"/>
    <col min="12297" max="12297" width="9.44140625" style="2" customWidth="1"/>
    <col min="12298" max="12299" width="11.5546875" style="2" customWidth="1"/>
    <col min="12300" max="12300" width="13.88671875" style="2" customWidth="1"/>
    <col min="12301" max="12301" width="13.6640625" style="2" customWidth="1"/>
    <col min="12302" max="12304" width="13.44140625" style="2" bestFit="1" customWidth="1"/>
    <col min="12305" max="12543" width="9.109375" style="2"/>
    <col min="12544" max="12544" width="19.109375" style="2" customWidth="1"/>
    <col min="12545" max="12545" width="10.5546875" style="2" customWidth="1"/>
    <col min="12546" max="12546" width="9.6640625" style="2" customWidth="1"/>
    <col min="12547" max="12547" width="11.33203125" style="2" customWidth="1"/>
    <col min="12548" max="12549" width="7" style="2" customWidth="1"/>
    <col min="12550" max="12550" width="6.6640625" style="2" customWidth="1"/>
    <col min="12551" max="12551" width="9.88671875" style="2" customWidth="1"/>
    <col min="12552" max="12552" width="7" style="2" customWidth="1"/>
    <col min="12553" max="12553" width="9.44140625" style="2" customWidth="1"/>
    <col min="12554" max="12555" width="11.5546875" style="2" customWidth="1"/>
    <col min="12556" max="12556" width="13.88671875" style="2" customWidth="1"/>
    <col min="12557" max="12557" width="13.6640625" style="2" customWidth="1"/>
    <col min="12558" max="12560" width="13.44140625" style="2" bestFit="1" customWidth="1"/>
    <col min="12561" max="12799" width="9.109375" style="2"/>
    <col min="12800" max="12800" width="19.109375" style="2" customWidth="1"/>
    <col min="12801" max="12801" width="10.5546875" style="2" customWidth="1"/>
    <col min="12802" max="12802" width="9.6640625" style="2" customWidth="1"/>
    <col min="12803" max="12803" width="11.33203125" style="2" customWidth="1"/>
    <col min="12804" max="12805" width="7" style="2" customWidth="1"/>
    <col min="12806" max="12806" width="6.6640625" style="2" customWidth="1"/>
    <col min="12807" max="12807" width="9.88671875" style="2" customWidth="1"/>
    <col min="12808" max="12808" width="7" style="2" customWidth="1"/>
    <col min="12809" max="12809" width="9.44140625" style="2" customWidth="1"/>
    <col min="12810" max="12811" width="11.5546875" style="2" customWidth="1"/>
    <col min="12812" max="12812" width="13.88671875" style="2" customWidth="1"/>
    <col min="12813" max="12813" width="13.6640625" style="2" customWidth="1"/>
    <col min="12814" max="12816" width="13.44140625" style="2" bestFit="1" customWidth="1"/>
    <col min="12817" max="13055" width="9.109375" style="2"/>
    <col min="13056" max="13056" width="19.109375" style="2" customWidth="1"/>
    <col min="13057" max="13057" width="10.5546875" style="2" customWidth="1"/>
    <col min="13058" max="13058" width="9.6640625" style="2" customWidth="1"/>
    <col min="13059" max="13059" width="11.33203125" style="2" customWidth="1"/>
    <col min="13060" max="13061" width="7" style="2" customWidth="1"/>
    <col min="13062" max="13062" width="6.6640625" style="2" customWidth="1"/>
    <col min="13063" max="13063" width="9.88671875" style="2" customWidth="1"/>
    <col min="13064" max="13064" width="7" style="2" customWidth="1"/>
    <col min="13065" max="13065" width="9.44140625" style="2" customWidth="1"/>
    <col min="13066" max="13067" width="11.5546875" style="2" customWidth="1"/>
    <col min="13068" max="13068" width="13.88671875" style="2" customWidth="1"/>
    <col min="13069" max="13069" width="13.6640625" style="2" customWidth="1"/>
    <col min="13070" max="13072" width="13.44140625" style="2" bestFit="1" customWidth="1"/>
    <col min="13073" max="13311" width="9.109375" style="2"/>
    <col min="13312" max="13312" width="19.109375" style="2" customWidth="1"/>
    <col min="13313" max="13313" width="10.5546875" style="2" customWidth="1"/>
    <col min="13314" max="13314" width="9.6640625" style="2" customWidth="1"/>
    <col min="13315" max="13315" width="11.33203125" style="2" customWidth="1"/>
    <col min="13316" max="13317" width="7" style="2" customWidth="1"/>
    <col min="13318" max="13318" width="6.6640625" style="2" customWidth="1"/>
    <col min="13319" max="13319" width="9.88671875" style="2" customWidth="1"/>
    <col min="13320" max="13320" width="7" style="2" customWidth="1"/>
    <col min="13321" max="13321" width="9.44140625" style="2" customWidth="1"/>
    <col min="13322" max="13323" width="11.5546875" style="2" customWidth="1"/>
    <col min="13324" max="13324" width="13.88671875" style="2" customWidth="1"/>
    <col min="13325" max="13325" width="13.6640625" style="2" customWidth="1"/>
    <col min="13326" max="13328" width="13.44140625" style="2" bestFit="1" customWidth="1"/>
    <col min="13329" max="13567" width="9.109375" style="2"/>
    <col min="13568" max="13568" width="19.109375" style="2" customWidth="1"/>
    <col min="13569" max="13569" width="10.5546875" style="2" customWidth="1"/>
    <col min="13570" max="13570" width="9.6640625" style="2" customWidth="1"/>
    <col min="13571" max="13571" width="11.33203125" style="2" customWidth="1"/>
    <col min="13572" max="13573" width="7" style="2" customWidth="1"/>
    <col min="13574" max="13574" width="6.6640625" style="2" customWidth="1"/>
    <col min="13575" max="13575" width="9.88671875" style="2" customWidth="1"/>
    <col min="13576" max="13576" width="7" style="2" customWidth="1"/>
    <col min="13577" max="13577" width="9.44140625" style="2" customWidth="1"/>
    <col min="13578" max="13579" width="11.5546875" style="2" customWidth="1"/>
    <col min="13580" max="13580" width="13.88671875" style="2" customWidth="1"/>
    <col min="13581" max="13581" width="13.6640625" style="2" customWidth="1"/>
    <col min="13582" max="13584" width="13.44140625" style="2" bestFit="1" customWidth="1"/>
    <col min="13585" max="13823" width="9.109375" style="2"/>
    <col min="13824" max="13824" width="19.109375" style="2" customWidth="1"/>
    <col min="13825" max="13825" width="10.5546875" style="2" customWidth="1"/>
    <col min="13826" max="13826" width="9.6640625" style="2" customWidth="1"/>
    <col min="13827" max="13827" width="11.33203125" style="2" customWidth="1"/>
    <col min="13828" max="13829" width="7" style="2" customWidth="1"/>
    <col min="13830" max="13830" width="6.6640625" style="2" customWidth="1"/>
    <col min="13831" max="13831" width="9.88671875" style="2" customWidth="1"/>
    <col min="13832" max="13832" width="7" style="2" customWidth="1"/>
    <col min="13833" max="13833" width="9.44140625" style="2" customWidth="1"/>
    <col min="13834" max="13835" width="11.5546875" style="2" customWidth="1"/>
    <col min="13836" max="13836" width="13.88671875" style="2" customWidth="1"/>
    <col min="13837" max="13837" width="13.6640625" style="2" customWidth="1"/>
    <col min="13838" max="13840" width="13.44140625" style="2" bestFit="1" customWidth="1"/>
    <col min="13841" max="14079" width="9.109375" style="2"/>
    <col min="14080" max="14080" width="19.109375" style="2" customWidth="1"/>
    <col min="14081" max="14081" width="10.5546875" style="2" customWidth="1"/>
    <col min="14082" max="14082" width="9.6640625" style="2" customWidth="1"/>
    <col min="14083" max="14083" width="11.33203125" style="2" customWidth="1"/>
    <col min="14084" max="14085" width="7" style="2" customWidth="1"/>
    <col min="14086" max="14086" width="6.6640625" style="2" customWidth="1"/>
    <col min="14087" max="14087" width="9.88671875" style="2" customWidth="1"/>
    <col min="14088" max="14088" width="7" style="2" customWidth="1"/>
    <col min="14089" max="14089" width="9.44140625" style="2" customWidth="1"/>
    <col min="14090" max="14091" width="11.5546875" style="2" customWidth="1"/>
    <col min="14092" max="14092" width="13.88671875" style="2" customWidth="1"/>
    <col min="14093" max="14093" width="13.6640625" style="2" customWidth="1"/>
    <col min="14094" max="14096" width="13.44140625" style="2" bestFit="1" customWidth="1"/>
    <col min="14097" max="14335" width="9.109375" style="2"/>
    <col min="14336" max="14336" width="19.109375" style="2" customWidth="1"/>
    <col min="14337" max="14337" width="10.5546875" style="2" customWidth="1"/>
    <col min="14338" max="14338" width="9.6640625" style="2" customWidth="1"/>
    <col min="14339" max="14339" width="11.33203125" style="2" customWidth="1"/>
    <col min="14340" max="14341" width="7" style="2" customWidth="1"/>
    <col min="14342" max="14342" width="6.6640625" style="2" customWidth="1"/>
    <col min="14343" max="14343" width="9.88671875" style="2" customWidth="1"/>
    <col min="14344" max="14344" width="7" style="2" customWidth="1"/>
    <col min="14345" max="14345" width="9.44140625" style="2" customWidth="1"/>
    <col min="14346" max="14347" width="11.5546875" style="2" customWidth="1"/>
    <col min="14348" max="14348" width="13.88671875" style="2" customWidth="1"/>
    <col min="14349" max="14349" width="13.6640625" style="2" customWidth="1"/>
    <col min="14350" max="14352" width="13.44140625" style="2" bestFit="1" customWidth="1"/>
    <col min="14353" max="14591" width="9.109375" style="2"/>
    <col min="14592" max="14592" width="19.109375" style="2" customWidth="1"/>
    <col min="14593" max="14593" width="10.5546875" style="2" customWidth="1"/>
    <col min="14594" max="14594" width="9.6640625" style="2" customWidth="1"/>
    <col min="14595" max="14595" width="11.33203125" style="2" customWidth="1"/>
    <col min="14596" max="14597" width="7" style="2" customWidth="1"/>
    <col min="14598" max="14598" width="6.6640625" style="2" customWidth="1"/>
    <col min="14599" max="14599" width="9.88671875" style="2" customWidth="1"/>
    <col min="14600" max="14600" width="7" style="2" customWidth="1"/>
    <col min="14601" max="14601" width="9.44140625" style="2" customWidth="1"/>
    <col min="14602" max="14603" width="11.5546875" style="2" customWidth="1"/>
    <col min="14604" max="14604" width="13.88671875" style="2" customWidth="1"/>
    <col min="14605" max="14605" width="13.6640625" style="2" customWidth="1"/>
    <col min="14606" max="14608" width="13.44140625" style="2" bestFit="1" customWidth="1"/>
    <col min="14609" max="14847" width="9.109375" style="2"/>
    <col min="14848" max="14848" width="19.109375" style="2" customWidth="1"/>
    <col min="14849" max="14849" width="10.5546875" style="2" customWidth="1"/>
    <col min="14850" max="14850" width="9.6640625" style="2" customWidth="1"/>
    <col min="14851" max="14851" width="11.33203125" style="2" customWidth="1"/>
    <col min="14852" max="14853" width="7" style="2" customWidth="1"/>
    <col min="14854" max="14854" width="6.6640625" style="2" customWidth="1"/>
    <col min="14855" max="14855" width="9.88671875" style="2" customWidth="1"/>
    <col min="14856" max="14856" width="7" style="2" customWidth="1"/>
    <col min="14857" max="14857" width="9.44140625" style="2" customWidth="1"/>
    <col min="14858" max="14859" width="11.5546875" style="2" customWidth="1"/>
    <col min="14860" max="14860" width="13.88671875" style="2" customWidth="1"/>
    <col min="14861" max="14861" width="13.6640625" style="2" customWidth="1"/>
    <col min="14862" max="14864" width="13.44140625" style="2" bestFit="1" customWidth="1"/>
    <col min="14865" max="15103" width="9.109375" style="2"/>
    <col min="15104" max="15104" width="19.109375" style="2" customWidth="1"/>
    <col min="15105" max="15105" width="10.5546875" style="2" customWidth="1"/>
    <col min="15106" max="15106" width="9.6640625" style="2" customWidth="1"/>
    <col min="15107" max="15107" width="11.33203125" style="2" customWidth="1"/>
    <col min="15108" max="15109" width="7" style="2" customWidth="1"/>
    <col min="15110" max="15110" width="6.6640625" style="2" customWidth="1"/>
    <col min="15111" max="15111" width="9.88671875" style="2" customWidth="1"/>
    <col min="15112" max="15112" width="7" style="2" customWidth="1"/>
    <col min="15113" max="15113" width="9.44140625" style="2" customWidth="1"/>
    <col min="15114" max="15115" width="11.5546875" style="2" customWidth="1"/>
    <col min="15116" max="15116" width="13.88671875" style="2" customWidth="1"/>
    <col min="15117" max="15117" width="13.6640625" style="2" customWidth="1"/>
    <col min="15118" max="15120" width="13.44140625" style="2" bestFit="1" customWidth="1"/>
    <col min="15121" max="15359" width="9.109375" style="2"/>
    <col min="15360" max="15360" width="19.109375" style="2" customWidth="1"/>
    <col min="15361" max="15361" width="10.5546875" style="2" customWidth="1"/>
    <col min="15362" max="15362" width="9.6640625" style="2" customWidth="1"/>
    <col min="15363" max="15363" width="11.33203125" style="2" customWidth="1"/>
    <col min="15364" max="15365" width="7" style="2" customWidth="1"/>
    <col min="15366" max="15366" width="6.6640625" style="2" customWidth="1"/>
    <col min="15367" max="15367" width="9.88671875" style="2" customWidth="1"/>
    <col min="15368" max="15368" width="7" style="2" customWidth="1"/>
    <col min="15369" max="15369" width="9.44140625" style="2" customWidth="1"/>
    <col min="15370" max="15371" width="11.5546875" style="2" customWidth="1"/>
    <col min="15372" max="15372" width="13.88671875" style="2" customWidth="1"/>
    <col min="15373" max="15373" width="13.6640625" style="2" customWidth="1"/>
    <col min="15374" max="15376" width="13.44140625" style="2" bestFit="1" customWidth="1"/>
    <col min="15377" max="15615" width="9.109375" style="2"/>
    <col min="15616" max="15616" width="19.109375" style="2" customWidth="1"/>
    <col min="15617" max="15617" width="10.5546875" style="2" customWidth="1"/>
    <col min="15618" max="15618" width="9.6640625" style="2" customWidth="1"/>
    <col min="15619" max="15619" width="11.33203125" style="2" customWidth="1"/>
    <col min="15620" max="15621" width="7" style="2" customWidth="1"/>
    <col min="15622" max="15622" width="6.6640625" style="2" customWidth="1"/>
    <col min="15623" max="15623" width="9.88671875" style="2" customWidth="1"/>
    <col min="15624" max="15624" width="7" style="2" customWidth="1"/>
    <col min="15625" max="15625" width="9.44140625" style="2" customWidth="1"/>
    <col min="15626" max="15627" width="11.5546875" style="2" customWidth="1"/>
    <col min="15628" max="15628" width="13.88671875" style="2" customWidth="1"/>
    <col min="15629" max="15629" width="13.6640625" style="2" customWidth="1"/>
    <col min="15630" max="15632" width="13.44140625" style="2" bestFit="1" customWidth="1"/>
    <col min="15633" max="15871" width="9.109375" style="2"/>
    <col min="15872" max="15872" width="19.109375" style="2" customWidth="1"/>
    <col min="15873" max="15873" width="10.5546875" style="2" customWidth="1"/>
    <col min="15874" max="15874" width="9.6640625" style="2" customWidth="1"/>
    <col min="15875" max="15875" width="11.33203125" style="2" customWidth="1"/>
    <col min="15876" max="15877" width="7" style="2" customWidth="1"/>
    <col min="15878" max="15878" width="6.6640625" style="2" customWidth="1"/>
    <col min="15879" max="15879" width="9.88671875" style="2" customWidth="1"/>
    <col min="15880" max="15880" width="7" style="2" customWidth="1"/>
    <col min="15881" max="15881" width="9.44140625" style="2" customWidth="1"/>
    <col min="15882" max="15883" width="11.5546875" style="2" customWidth="1"/>
    <col min="15884" max="15884" width="13.88671875" style="2" customWidth="1"/>
    <col min="15885" max="15885" width="13.6640625" style="2" customWidth="1"/>
    <col min="15886" max="15888" width="13.44140625" style="2" bestFit="1" customWidth="1"/>
    <col min="15889" max="16127" width="9.109375" style="2"/>
    <col min="16128" max="16128" width="19.109375" style="2" customWidth="1"/>
    <col min="16129" max="16129" width="10.5546875" style="2" customWidth="1"/>
    <col min="16130" max="16130" width="9.6640625" style="2" customWidth="1"/>
    <col min="16131" max="16131" width="11.33203125" style="2" customWidth="1"/>
    <col min="16132" max="16133" width="7" style="2" customWidth="1"/>
    <col min="16134" max="16134" width="6.6640625" style="2" customWidth="1"/>
    <col min="16135" max="16135" width="9.88671875" style="2" customWidth="1"/>
    <col min="16136" max="16136" width="7" style="2" customWidth="1"/>
    <col min="16137" max="16137" width="9.44140625" style="2" customWidth="1"/>
    <col min="16138" max="16139" width="11.5546875" style="2" customWidth="1"/>
    <col min="16140" max="16140" width="13.88671875" style="2" customWidth="1"/>
    <col min="16141" max="16141" width="13.6640625" style="2" customWidth="1"/>
    <col min="16142" max="16144" width="13.44140625" style="2" bestFit="1" customWidth="1"/>
    <col min="16145" max="16384" width="9.109375" style="2"/>
  </cols>
  <sheetData>
    <row r="1" spans="1:16" ht="14.25" customHeight="1">
      <c r="A1" s="1" t="s">
        <v>460</v>
      </c>
      <c r="E1" s="1178" t="s">
        <v>473</v>
      </c>
      <c r="F1" s="1178"/>
      <c r="G1" s="1178"/>
      <c r="H1" s="1178"/>
      <c r="I1" s="1178"/>
      <c r="J1" s="1178"/>
      <c r="K1" s="1178"/>
      <c r="L1" s="1178"/>
      <c r="M1" s="1178"/>
      <c r="P1" s="84" t="s">
        <v>461</v>
      </c>
    </row>
    <row r="2" spans="1:16" ht="4.5" customHeight="1">
      <c r="P2" s="85"/>
    </row>
    <row r="3" spans="1:16">
      <c r="A3" s="568"/>
      <c r="B3" s="406"/>
      <c r="C3" s="406"/>
      <c r="D3" s="406"/>
      <c r="E3" s="406"/>
      <c r="F3" s="406"/>
      <c r="G3" s="569"/>
      <c r="H3" s="570"/>
      <c r="I3" s="570"/>
      <c r="J3" s="571"/>
      <c r="K3" s="572"/>
      <c r="L3" s="572"/>
      <c r="M3" s="573"/>
      <c r="N3" s="569"/>
      <c r="O3" s="569"/>
      <c r="P3" s="569"/>
    </row>
    <row r="4" spans="1:16">
      <c r="A4" s="572"/>
      <c r="B4" s="572"/>
      <c r="C4" s="572"/>
      <c r="D4" s="572"/>
      <c r="E4" s="569"/>
      <c r="F4" s="569"/>
      <c r="G4" s="569"/>
      <c r="H4" s="569"/>
      <c r="I4" s="569"/>
      <c r="J4" s="571"/>
      <c r="K4" s="574"/>
      <c r="L4" s="575"/>
      <c r="M4" s="575"/>
      <c r="N4" s="575"/>
      <c r="O4" s="575"/>
      <c r="P4" s="575"/>
    </row>
    <row r="5" spans="1:16">
      <c r="A5" s="572"/>
      <c r="B5" s="572"/>
      <c r="C5" s="572"/>
      <c r="D5" s="572"/>
      <c r="E5" s="569"/>
      <c r="F5" s="569"/>
      <c r="G5" s="569"/>
      <c r="H5" s="569"/>
      <c r="I5" s="569"/>
      <c r="J5" s="571"/>
      <c r="K5" s="574"/>
      <c r="L5" s="575"/>
      <c r="M5" s="575"/>
      <c r="N5" s="575"/>
      <c r="O5" s="575"/>
      <c r="P5" s="575"/>
    </row>
    <row r="6" spans="1:16" ht="13.8">
      <c r="A6" s="576"/>
      <c r="B6" s="576"/>
      <c r="C6" s="576"/>
      <c r="D6" s="576"/>
      <c r="E6" s="576"/>
      <c r="F6" s="576"/>
      <c r="G6" s="576"/>
      <c r="H6" s="576"/>
      <c r="I6" s="576"/>
      <c r="J6" s="576"/>
      <c r="K6" s="576"/>
      <c r="L6" s="576"/>
      <c r="M6" s="576"/>
      <c r="N6" s="576"/>
      <c r="O6" s="576"/>
      <c r="P6" s="576"/>
    </row>
    <row r="7" spans="1:16" ht="13.8">
      <c r="A7" s="576"/>
      <c r="B7" s="576"/>
      <c r="C7" s="576"/>
      <c r="D7" s="576"/>
      <c r="E7" s="576"/>
      <c r="F7" s="576"/>
      <c r="G7" s="576"/>
      <c r="H7" s="576"/>
      <c r="I7" s="576"/>
      <c r="J7" s="577"/>
      <c r="K7" s="576"/>
      <c r="L7" s="576"/>
      <c r="M7" s="576"/>
      <c r="N7" s="576"/>
      <c r="O7" s="576"/>
      <c r="P7" s="576"/>
    </row>
    <row r="8" spans="1:16">
      <c r="A8" s="1"/>
      <c r="B8" s="578"/>
      <c r="C8" s="578"/>
      <c r="D8" s="578"/>
      <c r="E8" s="578"/>
      <c r="F8" s="578"/>
      <c r="G8" s="579"/>
      <c r="H8" s="579"/>
      <c r="I8" s="579"/>
      <c r="J8" s="580"/>
      <c r="K8" s="578"/>
      <c r="L8" s="578"/>
      <c r="M8" s="578"/>
      <c r="N8" s="578"/>
      <c r="O8" s="578"/>
      <c r="P8" s="578"/>
    </row>
    <row r="9" spans="1:16">
      <c r="A9" s="581"/>
      <c r="B9" s="575"/>
      <c r="C9" s="575"/>
      <c r="D9" s="575"/>
      <c r="E9" s="575"/>
      <c r="F9" s="575"/>
      <c r="G9" s="579"/>
      <c r="H9" s="579"/>
      <c r="I9" s="579"/>
      <c r="J9" s="580"/>
      <c r="K9" s="578"/>
      <c r="L9" s="578"/>
      <c r="M9" s="582"/>
      <c r="N9" s="582"/>
      <c r="O9" s="582"/>
      <c r="P9" s="583"/>
    </row>
    <row r="10" spans="1:16" ht="12.75" customHeight="1">
      <c r="A10" s="584"/>
      <c r="B10" s="584"/>
      <c r="C10" s="584"/>
      <c r="D10" s="584"/>
      <c r="E10" s="584"/>
      <c r="F10" s="585"/>
      <c r="G10" s="586"/>
      <c r="H10" s="586"/>
      <c r="I10" s="586"/>
      <c r="J10" s="587"/>
      <c r="K10" s="588"/>
      <c r="L10" s="589"/>
      <c r="M10" s="590"/>
      <c r="N10" s="590"/>
      <c r="O10" s="585"/>
      <c r="P10" s="591"/>
    </row>
    <row r="11" spans="1:16">
      <c r="A11" s="592"/>
      <c r="B11" s="593"/>
      <c r="C11" s="593"/>
      <c r="D11" s="594"/>
      <c r="E11" s="595"/>
      <c r="F11" s="596"/>
      <c r="G11" s="597"/>
      <c r="H11" s="597"/>
      <c r="I11" s="598"/>
      <c r="J11" s="599"/>
      <c r="K11" s="600"/>
      <c r="L11" s="601"/>
      <c r="M11" s="600"/>
      <c r="N11" s="602"/>
      <c r="O11" s="603"/>
      <c r="P11" s="601"/>
    </row>
    <row r="12" spans="1:16">
      <c r="A12" s="592"/>
      <c r="B12" s="593"/>
      <c r="C12" s="593"/>
      <c r="D12" s="594"/>
      <c r="E12" s="595"/>
      <c r="F12" s="596"/>
      <c r="G12" s="597"/>
      <c r="H12" s="597"/>
      <c r="I12" s="598"/>
      <c r="J12" s="599"/>
      <c r="K12" s="600"/>
      <c r="L12" s="601"/>
      <c r="M12" s="600"/>
      <c r="N12" s="602"/>
      <c r="O12" s="603"/>
      <c r="P12" s="601"/>
    </row>
    <row r="13" spans="1:16">
      <c r="A13" s="592"/>
      <c r="B13" s="593"/>
      <c r="C13" s="593"/>
      <c r="D13" s="594"/>
      <c r="E13" s="595"/>
      <c r="F13" s="596"/>
      <c r="G13" s="597"/>
      <c r="H13" s="597"/>
      <c r="I13" s="598"/>
      <c r="J13" s="599"/>
      <c r="K13" s="600"/>
      <c r="L13" s="601"/>
      <c r="M13" s="600"/>
      <c r="N13" s="602"/>
      <c r="O13" s="603"/>
      <c r="P13" s="601"/>
    </row>
    <row r="14" spans="1:16">
      <c r="A14" s="592"/>
      <c r="B14" s="593"/>
      <c r="C14" s="593"/>
      <c r="D14" s="594"/>
      <c r="E14" s="595"/>
      <c r="F14" s="596"/>
      <c r="G14" s="597"/>
      <c r="H14" s="597"/>
      <c r="I14" s="598"/>
      <c r="J14" s="599"/>
      <c r="K14" s="600"/>
      <c r="L14" s="601"/>
      <c r="M14" s="600"/>
      <c r="N14" s="602"/>
      <c r="O14" s="603"/>
      <c r="P14" s="601"/>
    </row>
    <row r="15" spans="1:16">
      <c r="A15" s="592"/>
      <c r="B15" s="593"/>
      <c r="C15" s="593"/>
      <c r="D15" s="594"/>
      <c r="E15" s="595"/>
      <c r="F15" s="596"/>
      <c r="G15" s="597"/>
      <c r="H15" s="597"/>
      <c r="I15" s="598"/>
      <c r="J15" s="599"/>
      <c r="K15" s="600"/>
      <c r="L15" s="601"/>
      <c r="M15" s="600"/>
      <c r="N15" s="602"/>
      <c r="O15" s="603"/>
      <c r="P15" s="601"/>
    </row>
    <row r="16" spans="1:16">
      <c r="A16" s="592"/>
      <c r="B16" s="593"/>
      <c r="C16" s="593"/>
      <c r="D16" s="594"/>
      <c r="E16" s="595"/>
      <c r="F16" s="596"/>
      <c r="G16" s="597"/>
      <c r="H16" s="597"/>
      <c r="I16" s="598"/>
      <c r="J16" s="599"/>
      <c r="K16" s="600"/>
      <c r="L16" s="601"/>
      <c r="M16" s="600"/>
      <c r="N16" s="602"/>
      <c r="O16" s="603"/>
      <c r="P16" s="601"/>
    </row>
    <row r="17" spans="1:16">
      <c r="A17" s="592"/>
      <c r="B17" s="593"/>
      <c r="C17" s="593"/>
      <c r="D17" s="594"/>
      <c r="E17" s="595"/>
      <c r="F17" s="596"/>
      <c r="G17" s="597"/>
      <c r="H17" s="597"/>
      <c r="I17" s="598"/>
      <c r="J17" s="599"/>
      <c r="K17" s="600"/>
      <c r="L17" s="601"/>
      <c r="M17" s="600"/>
      <c r="N17" s="602"/>
      <c r="O17" s="603"/>
      <c r="P17" s="601"/>
    </row>
    <row r="18" spans="1:16">
      <c r="A18" s="592"/>
      <c r="B18" s="593"/>
      <c r="C18" s="593"/>
      <c r="D18" s="594"/>
      <c r="E18" s="595"/>
      <c r="F18" s="596"/>
      <c r="G18" s="597"/>
      <c r="H18" s="597"/>
      <c r="I18" s="598"/>
      <c r="J18" s="599"/>
      <c r="K18" s="600"/>
      <c r="L18" s="601"/>
      <c r="M18" s="600"/>
      <c r="N18" s="602"/>
      <c r="O18" s="603"/>
      <c r="P18" s="601"/>
    </row>
    <row r="19" spans="1:16">
      <c r="A19" s="592"/>
      <c r="B19" s="593"/>
      <c r="C19" s="593"/>
      <c r="D19" s="594"/>
      <c r="E19" s="595"/>
      <c r="F19" s="596"/>
      <c r="G19" s="597"/>
      <c r="H19" s="597"/>
      <c r="I19" s="597"/>
      <c r="J19" s="599"/>
      <c r="K19" s="600"/>
      <c r="L19" s="601"/>
      <c r="M19" s="600"/>
      <c r="N19" s="602"/>
      <c r="O19" s="603"/>
      <c r="P19" s="601"/>
    </row>
    <row r="20" spans="1:16">
      <c r="A20" s="592"/>
      <c r="B20" s="593"/>
      <c r="C20" s="593"/>
      <c r="D20" s="594"/>
      <c r="E20" s="595"/>
      <c r="F20" s="596"/>
      <c r="G20" s="597"/>
      <c r="H20" s="597"/>
      <c r="I20" s="597"/>
      <c r="J20" s="599"/>
      <c r="K20" s="600"/>
      <c r="L20" s="601"/>
      <c r="M20" s="600"/>
      <c r="N20" s="602"/>
      <c r="O20" s="603"/>
      <c r="P20" s="601"/>
    </row>
    <row r="21" spans="1:16">
      <c r="A21" s="592"/>
      <c r="B21" s="593"/>
      <c r="C21" s="593"/>
      <c r="D21" s="594"/>
      <c r="E21" s="595"/>
      <c r="F21" s="596"/>
      <c r="G21" s="597"/>
      <c r="H21" s="597"/>
      <c r="I21" s="597"/>
      <c r="J21" s="599"/>
      <c r="K21" s="600"/>
      <c r="L21" s="601"/>
      <c r="M21" s="600"/>
      <c r="N21" s="602"/>
      <c r="O21" s="603"/>
      <c r="P21" s="601"/>
    </row>
    <row r="22" spans="1:16">
      <c r="A22" s="592"/>
      <c r="B22" s="593"/>
      <c r="C22" s="593"/>
      <c r="D22" s="594"/>
      <c r="E22" s="595"/>
      <c r="F22" s="596"/>
      <c r="G22" s="597"/>
      <c r="H22" s="597"/>
      <c r="I22" s="597"/>
      <c r="J22" s="599"/>
      <c r="K22" s="600"/>
      <c r="L22" s="601"/>
      <c r="M22" s="600"/>
      <c r="N22" s="602"/>
      <c r="O22" s="603"/>
      <c r="P22" s="601"/>
    </row>
    <row r="23" spans="1:16" ht="13.5" customHeight="1">
      <c r="A23" s="569"/>
      <c r="B23" s="569"/>
      <c r="C23" s="569"/>
      <c r="D23" s="569"/>
      <c r="E23" s="569"/>
      <c r="F23" s="569"/>
      <c r="G23" s="569"/>
      <c r="H23" s="569"/>
      <c r="I23" s="569"/>
      <c r="J23" s="569"/>
      <c r="K23" s="603"/>
      <c r="L23" s="601"/>
      <c r="M23" s="603"/>
      <c r="N23" s="601"/>
      <c r="O23" s="604"/>
      <c r="P23" s="605"/>
    </row>
    <row r="24" spans="1:16">
      <c r="A24" s="606"/>
      <c r="B24" s="606"/>
      <c r="C24" s="606"/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</row>
    <row r="25" spans="1:16" ht="3" customHeight="1"/>
    <row r="26" spans="1:16" ht="3" customHeight="1"/>
    <row r="27" spans="1:16" ht="3" customHeight="1"/>
    <row r="28" spans="1:16" ht="3" customHeight="1"/>
    <row r="29" spans="1:16" ht="3" customHeight="1"/>
    <row r="30" spans="1:16" ht="3" customHeight="1"/>
    <row r="31" spans="1:16" ht="3" customHeight="1"/>
    <row r="32" spans="1:16" ht="3" customHeight="1"/>
    <row r="33" spans="1:16">
      <c r="A33" s="568"/>
      <c r="B33" s="406"/>
      <c r="C33" s="406"/>
      <c r="D33" s="406"/>
      <c r="E33" s="406"/>
      <c r="F33" s="406"/>
      <c r="G33" s="569"/>
      <c r="H33" s="570"/>
      <c r="I33" s="570"/>
      <c r="J33" s="571"/>
      <c r="K33" s="572"/>
      <c r="L33" s="572"/>
      <c r="M33" s="573"/>
      <c r="N33" s="569"/>
      <c r="O33" s="569"/>
      <c r="P33" s="569"/>
    </row>
    <row r="34" spans="1:16">
      <c r="A34" s="572"/>
      <c r="B34" s="572"/>
      <c r="C34" s="572"/>
      <c r="D34" s="572"/>
      <c r="E34" s="569"/>
      <c r="F34" s="569"/>
      <c r="G34" s="569"/>
      <c r="H34" s="569"/>
      <c r="I34" s="569"/>
      <c r="J34" s="571"/>
      <c r="K34" s="574"/>
      <c r="L34" s="575"/>
      <c r="M34" s="575"/>
      <c r="N34" s="575"/>
      <c r="O34" s="575"/>
      <c r="P34" s="575"/>
    </row>
    <row r="35" spans="1:16">
      <c r="A35" s="572"/>
      <c r="B35" s="572"/>
      <c r="C35" s="572"/>
      <c r="D35" s="572"/>
      <c r="E35" s="569"/>
      <c r="F35" s="569"/>
      <c r="G35" s="569"/>
      <c r="H35" s="569"/>
      <c r="I35" s="569"/>
      <c r="J35" s="571"/>
      <c r="K35" s="574"/>
      <c r="L35" s="575"/>
      <c r="M35" s="575"/>
      <c r="N35" s="575"/>
      <c r="O35" s="575"/>
      <c r="P35" s="575"/>
    </row>
    <row r="36" spans="1:16" ht="13.8">
      <c r="A36" s="576"/>
      <c r="B36" s="576"/>
      <c r="C36" s="576"/>
      <c r="D36" s="576"/>
      <c r="E36" s="576"/>
      <c r="F36" s="576"/>
      <c r="G36" s="576"/>
      <c r="H36" s="576"/>
      <c r="I36" s="576"/>
      <c r="J36" s="576"/>
      <c r="K36" s="576"/>
      <c r="L36" s="576"/>
      <c r="M36" s="576"/>
      <c r="N36" s="576"/>
      <c r="O36" s="576"/>
      <c r="P36" s="576"/>
    </row>
    <row r="37" spans="1:16" ht="13.8">
      <c r="A37" s="576"/>
      <c r="B37" s="576"/>
      <c r="C37" s="576"/>
      <c r="D37" s="576"/>
      <c r="E37" s="576"/>
      <c r="F37" s="576"/>
      <c r="G37" s="576"/>
      <c r="H37" s="576"/>
      <c r="I37" s="576"/>
      <c r="J37" s="577"/>
      <c r="K37" s="576"/>
      <c r="L37" s="576"/>
      <c r="M37" s="576"/>
      <c r="N37" s="576"/>
      <c r="O37" s="576"/>
      <c r="P37" s="576"/>
    </row>
    <row r="38" spans="1:16">
      <c r="A38" s="1"/>
      <c r="B38" s="578"/>
      <c r="C38" s="578"/>
      <c r="D38" s="578"/>
      <c r="E38" s="578"/>
      <c r="F38" s="578"/>
      <c r="G38" s="579"/>
      <c r="H38" s="579"/>
      <c r="I38" s="579"/>
      <c r="J38" s="580"/>
      <c r="K38" s="578"/>
      <c r="L38" s="578"/>
      <c r="M38" s="578"/>
      <c r="N38" s="578"/>
      <c r="O38" s="578"/>
      <c r="P38" s="578"/>
    </row>
    <row r="39" spans="1:16">
      <c r="A39" s="581"/>
      <c r="B39" s="575"/>
      <c r="C39" s="575"/>
      <c r="D39" s="575"/>
      <c r="E39" s="575"/>
      <c r="F39" s="575"/>
      <c r="G39" s="579"/>
      <c r="H39" s="579"/>
      <c r="I39" s="579"/>
      <c r="J39" s="580"/>
      <c r="K39" s="578"/>
      <c r="L39" s="578"/>
      <c r="M39" s="582"/>
      <c r="N39" s="582"/>
      <c r="O39" s="582"/>
      <c r="P39" s="583"/>
    </row>
    <row r="40" spans="1:16" ht="12.75" customHeight="1">
      <c r="A40" s="584"/>
      <c r="B40" s="584"/>
      <c r="C40" s="584"/>
      <c r="D40" s="584"/>
      <c r="E40" s="584"/>
      <c r="F40" s="585"/>
      <c r="G40" s="586"/>
      <c r="H40" s="586"/>
      <c r="I40" s="586"/>
      <c r="J40" s="587"/>
      <c r="K40" s="588"/>
      <c r="L40" s="589"/>
      <c r="M40" s="590"/>
      <c r="N40" s="590"/>
      <c r="O40" s="585"/>
      <c r="P40" s="591"/>
    </row>
    <row r="41" spans="1:16">
      <c r="A41" s="592"/>
      <c r="B41" s="593"/>
      <c r="C41" s="593"/>
      <c r="D41" s="594"/>
      <c r="E41" s="595"/>
      <c r="F41" s="596"/>
      <c r="G41" s="597"/>
      <c r="H41" s="597"/>
      <c r="I41" s="598"/>
      <c r="J41" s="599"/>
      <c r="K41" s="600"/>
      <c r="L41" s="601"/>
      <c r="M41" s="600"/>
      <c r="N41" s="602"/>
      <c r="O41" s="603"/>
      <c r="P41" s="601"/>
    </row>
    <row r="42" spans="1:16">
      <c r="A42" s="592"/>
      <c r="B42" s="593"/>
      <c r="C42" s="593"/>
      <c r="D42" s="594"/>
      <c r="E42" s="595"/>
      <c r="F42" s="596"/>
      <c r="G42" s="597"/>
      <c r="H42" s="597"/>
      <c r="I42" s="598"/>
      <c r="J42" s="599"/>
      <c r="K42" s="600"/>
      <c r="L42" s="601"/>
      <c r="M42" s="600"/>
      <c r="N42" s="602"/>
      <c r="O42" s="603"/>
      <c r="P42" s="601"/>
    </row>
    <row r="43" spans="1:16">
      <c r="A43" s="592"/>
      <c r="B43" s="593"/>
      <c r="C43" s="593"/>
      <c r="D43" s="594"/>
      <c r="E43" s="595"/>
      <c r="F43" s="596"/>
      <c r="G43" s="597"/>
      <c r="H43" s="597"/>
      <c r="I43" s="598"/>
      <c r="J43" s="599"/>
      <c r="K43" s="600"/>
      <c r="L43" s="601"/>
      <c r="M43" s="600"/>
      <c r="N43" s="602"/>
      <c r="O43" s="603"/>
      <c r="P43" s="601"/>
    </row>
    <row r="44" spans="1:16">
      <c r="A44" s="592"/>
      <c r="B44" s="593"/>
      <c r="C44" s="593"/>
      <c r="D44" s="594"/>
      <c r="E44" s="595"/>
      <c r="F44" s="596"/>
      <c r="G44" s="597"/>
      <c r="H44" s="597"/>
      <c r="I44" s="598"/>
      <c r="J44" s="599"/>
      <c r="K44" s="600"/>
      <c r="L44" s="601"/>
      <c r="M44" s="600"/>
      <c r="N44" s="602"/>
      <c r="O44" s="603"/>
      <c r="P44" s="601"/>
    </row>
    <row r="45" spans="1:16">
      <c r="A45" s="592"/>
      <c r="B45" s="593"/>
      <c r="C45" s="593"/>
      <c r="D45" s="594"/>
      <c r="E45" s="595"/>
      <c r="F45" s="596"/>
      <c r="G45" s="597"/>
      <c r="H45" s="597"/>
      <c r="I45" s="598"/>
      <c r="J45" s="599"/>
      <c r="K45" s="600"/>
      <c r="L45" s="601"/>
      <c r="M45" s="600"/>
      <c r="N45" s="602"/>
      <c r="O45" s="603"/>
      <c r="P45" s="601"/>
    </row>
    <row r="46" spans="1:16">
      <c r="A46" s="592"/>
      <c r="B46" s="593"/>
      <c r="C46" s="593"/>
      <c r="D46" s="594"/>
      <c r="E46" s="595"/>
      <c r="F46" s="596"/>
      <c r="G46" s="597"/>
      <c r="H46" s="597"/>
      <c r="I46" s="598"/>
      <c r="J46" s="599"/>
      <c r="K46" s="600"/>
      <c r="L46" s="601"/>
      <c r="M46" s="600"/>
      <c r="N46" s="602"/>
      <c r="O46" s="603"/>
      <c r="P46" s="601"/>
    </row>
    <row r="47" spans="1:16">
      <c r="A47" s="592"/>
      <c r="B47" s="593"/>
      <c r="C47" s="593"/>
      <c r="D47" s="594"/>
      <c r="E47" s="595"/>
      <c r="F47" s="596"/>
      <c r="G47" s="597"/>
      <c r="H47" s="597"/>
      <c r="I47" s="598"/>
      <c r="J47" s="599"/>
      <c r="K47" s="600"/>
      <c r="L47" s="601"/>
      <c r="M47" s="600"/>
      <c r="N47" s="602"/>
      <c r="O47" s="603"/>
      <c r="P47" s="601"/>
    </row>
    <row r="48" spans="1:16">
      <c r="A48" s="592"/>
      <c r="B48" s="593"/>
      <c r="C48" s="593"/>
      <c r="D48" s="594"/>
      <c r="E48" s="595"/>
      <c r="F48" s="596"/>
      <c r="G48" s="597"/>
      <c r="H48" s="597"/>
      <c r="I48" s="598"/>
      <c r="J48" s="599"/>
      <c r="K48" s="600"/>
      <c r="L48" s="601"/>
      <c r="M48" s="600"/>
      <c r="N48" s="602"/>
      <c r="O48" s="603"/>
      <c r="P48" s="601"/>
    </row>
    <row r="49" spans="1:16">
      <c r="A49" s="592"/>
      <c r="B49" s="593"/>
      <c r="C49" s="593"/>
      <c r="D49" s="594"/>
      <c r="E49" s="595"/>
      <c r="F49" s="596"/>
      <c r="G49" s="597"/>
      <c r="H49" s="597"/>
      <c r="I49" s="597"/>
      <c r="J49" s="599"/>
      <c r="K49" s="600"/>
      <c r="L49" s="601"/>
      <c r="M49" s="600"/>
      <c r="N49" s="602"/>
      <c r="O49" s="603"/>
      <c r="P49" s="601"/>
    </row>
    <row r="50" spans="1:16">
      <c r="A50" s="592"/>
      <c r="B50" s="593"/>
      <c r="C50" s="593"/>
      <c r="D50" s="594"/>
      <c r="E50" s="595"/>
      <c r="F50" s="596"/>
      <c r="G50" s="597"/>
      <c r="H50" s="597"/>
      <c r="I50" s="597"/>
      <c r="J50" s="599"/>
      <c r="K50" s="600"/>
      <c r="L50" s="601"/>
      <c r="M50" s="600"/>
      <c r="N50" s="602"/>
      <c r="O50" s="603"/>
      <c r="P50" s="601"/>
    </row>
    <row r="51" spans="1:16">
      <c r="A51" s="592"/>
      <c r="B51" s="593"/>
      <c r="C51" s="593"/>
      <c r="D51" s="594"/>
      <c r="E51" s="595"/>
      <c r="F51" s="596"/>
      <c r="G51" s="597"/>
      <c r="H51" s="597"/>
      <c r="I51" s="597"/>
      <c r="J51" s="599"/>
      <c r="K51" s="600"/>
      <c r="L51" s="601"/>
      <c r="M51" s="600"/>
      <c r="N51" s="602"/>
      <c r="O51" s="603"/>
      <c r="P51" s="601"/>
    </row>
    <row r="52" spans="1:16">
      <c r="A52" s="592"/>
      <c r="B52" s="593"/>
      <c r="C52" s="593"/>
      <c r="D52" s="594"/>
      <c r="E52" s="595"/>
      <c r="F52" s="596"/>
      <c r="G52" s="597"/>
      <c r="H52" s="597"/>
      <c r="I52" s="597"/>
      <c r="J52" s="599"/>
      <c r="K52" s="600"/>
      <c r="L52" s="601"/>
      <c r="M52" s="600"/>
      <c r="N52" s="602"/>
      <c r="O52" s="603"/>
      <c r="P52" s="601"/>
    </row>
    <row r="53" spans="1:16" ht="13.5" customHeight="1">
      <c r="A53" s="569"/>
      <c r="B53" s="569"/>
      <c r="C53" s="569"/>
      <c r="D53" s="569"/>
      <c r="E53" s="569"/>
      <c r="F53" s="569"/>
      <c r="G53" s="569"/>
      <c r="H53" s="569"/>
      <c r="I53" s="569"/>
      <c r="J53" s="569"/>
      <c r="K53" s="603"/>
      <c r="L53" s="601"/>
      <c r="M53" s="603"/>
      <c r="N53" s="601"/>
      <c r="O53" s="604"/>
      <c r="P53" s="605"/>
    </row>
    <row r="54" spans="1:16">
      <c r="A54" s="606"/>
      <c r="B54" s="606"/>
      <c r="C54" s="606"/>
      <c r="D54" s="606"/>
      <c r="E54" s="606"/>
      <c r="F54" s="606"/>
      <c r="G54" s="606"/>
      <c r="H54" s="606"/>
      <c r="I54" s="606"/>
      <c r="J54" s="606"/>
      <c r="K54" s="606"/>
      <c r="L54" s="606"/>
      <c r="M54" s="606"/>
      <c r="N54" s="606"/>
      <c r="O54" s="606"/>
      <c r="P54" s="606"/>
    </row>
    <row r="55" spans="1:16" ht="3" customHeight="1"/>
    <row r="56" spans="1:16" ht="3" customHeight="1"/>
    <row r="57" spans="1:16" ht="3" customHeight="1"/>
    <row r="58" spans="1:16" ht="3" customHeight="1"/>
    <row r="59" spans="1:16" ht="3" customHeight="1"/>
    <row r="60" spans="1:16" ht="3" customHeight="1"/>
    <row r="61" spans="1:16" ht="3" customHeight="1"/>
    <row r="62" spans="1:16" ht="3" customHeight="1"/>
    <row r="63" spans="1:16">
      <c r="A63" s="568"/>
      <c r="B63" s="406"/>
      <c r="C63" s="406"/>
      <c r="D63" s="406"/>
      <c r="E63" s="406"/>
      <c r="F63" s="406"/>
      <c r="G63" s="569"/>
      <c r="H63" s="570"/>
      <c r="I63" s="570"/>
      <c r="J63" s="571"/>
      <c r="K63" s="572"/>
      <c r="L63" s="572"/>
      <c r="M63" s="573"/>
      <c r="N63" s="569"/>
      <c r="O63" s="569"/>
      <c r="P63" s="569"/>
    </row>
    <row r="64" spans="1:16">
      <c r="A64" s="572"/>
      <c r="B64" s="572"/>
      <c r="C64" s="572"/>
      <c r="D64" s="572"/>
      <c r="E64" s="569"/>
      <c r="F64" s="569"/>
      <c r="G64" s="569"/>
      <c r="H64" s="569"/>
      <c r="I64" s="569"/>
      <c r="J64" s="571"/>
      <c r="K64" s="574"/>
      <c r="L64" s="575"/>
      <c r="M64" s="575"/>
      <c r="N64" s="575"/>
      <c r="O64" s="575"/>
      <c r="P64" s="575"/>
    </row>
    <row r="65" spans="1:16">
      <c r="A65" s="572"/>
      <c r="B65" s="572"/>
      <c r="C65" s="572"/>
      <c r="D65" s="572"/>
      <c r="E65" s="569"/>
      <c r="F65" s="569"/>
      <c r="G65" s="569"/>
      <c r="H65" s="569"/>
      <c r="I65" s="569"/>
      <c r="J65" s="571"/>
      <c r="K65" s="574"/>
      <c r="L65" s="575"/>
      <c r="M65" s="575"/>
      <c r="N65" s="575"/>
      <c r="O65" s="575"/>
      <c r="P65" s="575"/>
    </row>
    <row r="66" spans="1:16" ht="13.8">
      <c r="A66" s="576"/>
      <c r="B66" s="576"/>
      <c r="C66" s="576"/>
      <c r="D66" s="576"/>
      <c r="E66" s="576"/>
      <c r="F66" s="576"/>
      <c r="G66" s="576"/>
      <c r="H66" s="576"/>
      <c r="I66" s="576"/>
      <c r="J66" s="576"/>
      <c r="K66" s="576"/>
      <c r="L66" s="576"/>
      <c r="M66" s="576"/>
      <c r="N66" s="576"/>
      <c r="O66" s="576"/>
      <c r="P66" s="576"/>
    </row>
    <row r="67" spans="1:16" ht="13.8">
      <c r="A67" s="576"/>
      <c r="B67" s="576"/>
      <c r="C67" s="576"/>
      <c r="D67" s="576"/>
      <c r="E67" s="576"/>
      <c r="F67" s="576"/>
      <c r="G67" s="576"/>
      <c r="H67" s="576"/>
      <c r="I67" s="576"/>
      <c r="J67" s="577"/>
      <c r="K67" s="576"/>
      <c r="L67" s="576"/>
      <c r="M67" s="576"/>
      <c r="N67" s="576"/>
      <c r="O67" s="576"/>
      <c r="P67" s="576"/>
    </row>
    <row r="68" spans="1:16">
      <c r="A68" s="1"/>
      <c r="B68" s="578"/>
      <c r="C68" s="578"/>
      <c r="D68" s="578"/>
      <c r="E68" s="578"/>
      <c r="F68" s="578"/>
      <c r="G68" s="579"/>
      <c r="H68" s="579"/>
      <c r="I68" s="579"/>
      <c r="J68" s="580"/>
      <c r="K68" s="578"/>
      <c r="L68" s="578"/>
      <c r="M68" s="578"/>
      <c r="N68" s="578"/>
      <c r="O68" s="578"/>
      <c r="P68" s="578"/>
    </row>
    <row r="69" spans="1:16">
      <c r="A69" s="581"/>
      <c r="B69" s="575"/>
      <c r="C69" s="575"/>
      <c r="D69" s="575"/>
      <c r="E69" s="575"/>
      <c r="F69" s="575"/>
      <c r="G69" s="579"/>
      <c r="H69" s="579"/>
      <c r="I69" s="579"/>
      <c r="J69" s="580"/>
      <c r="K69" s="578"/>
      <c r="L69" s="578"/>
      <c r="M69" s="582"/>
      <c r="N69" s="582"/>
      <c r="O69" s="582"/>
      <c r="P69" s="583"/>
    </row>
    <row r="70" spans="1:16" ht="12.75" customHeight="1">
      <c r="A70" s="584"/>
      <c r="B70" s="584"/>
      <c r="C70" s="584"/>
      <c r="D70" s="584"/>
      <c r="E70" s="584"/>
      <c r="F70" s="585"/>
      <c r="G70" s="586"/>
      <c r="H70" s="586"/>
      <c r="I70" s="586"/>
      <c r="J70" s="587"/>
      <c r="K70" s="588"/>
      <c r="L70" s="589"/>
      <c r="M70" s="590"/>
      <c r="N70" s="590"/>
      <c r="O70" s="585"/>
      <c r="P70" s="591"/>
    </row>
    <row r="71" spans="1:16">
      <c r="A71" s="592"/>
      <c r="B71" s="593"/>
      <c r="C71" s="593"/>
      <c r="D71" s="594"/>
      <c r="E71" s="595"/>
      <c r="F71" s="596"/>
      <c r="G71" s="597"/>
      <c r="H71" s="597"/>
      <c r="I71" s="598"/>
      <c r="J71" s="599"/>
      <c r="K71" s="600"/>
      <c r="L71" s="601"/>
      <c r="M71" s="600"/>
      <c r="N71" s="602"/>
      <c r="O71" s="603"/>
      <c r="P71" s="601"/>
    </row>
    <row r="72" spans="1:16">
      <c r="A72" s="592"/>
      <c r="B72" s="593"/>
      <c r="C72" s="593"/>
      <c r="D72" s="594"/>
      <c r="E72" s="595"/>
      <c r="F72" s="596"/>
      <c r="G72" s="597"/>
      <c r="H72" s="597"/>
      <c r="I72" s="598"/>
      <c r="J72" s="599"/>
      <c r="K72" s="600"/>
      <c r="L72" s="601"/>
      <c r="M72" s="600"/>
      <c r="N72" s="602"/>
      <c r="O72" s="603"/>
      <c r="P72" s="601"/>
    </row>
    <row r="73" spans="1:16">
      <c r="A73" s="592"/>
      <c r="B73" s="593"/>
      <c r="C73" s="593"/>
      <c r="D73" s="594"/>
      <c r="E73" s="595"/>
      <c r="F73" s="596"/>
      <c r="G73" s="597"/>
      <c r="H73" s="597"/>
      <c r="I73" s="598"/>
      <c r="J73" s="599"/>
      <c r="K73" s="600"/>
      <c r="L73" s="601"/>
      <c r="M73" s="600"/>
      <c r="N73" s="602"/>
      <c r="O73" s="603"/>
      <c r="P73" s="601"/>
    </row>
    <row r="74" spans="1:16">
      <c r="A74" s="592"/>
      <c r="B74" s="593"/>
      <c r="C74" s="593"/>
      <c r="D74" s="594"/>
      <c r="E74" s="595"/>
      <c r="F74" s="596"/>
      <c r="G74" s="597"/>
      <c r="H74" s="597"/>
      <c r="I74" s="598"/>
      <c r="J74" s="599"/>
      <c r="K74" s="600"/>
      <c r="L74" s="601"/>
      <c r="M74" s="600"/>
      <c r="N74" s="602"/>
      <c r="O74" s="603"/>
      <c r="P74" s="601"/>
    </row>
    <row r="75" spans="1:16">
      <c r="A75" s="592"/>
      <c r="B75" s="593"/>
      <c r="C75" s="593"/>
      <c r="D75" s="594"/>
      <c r="E75" s="595"/>
      <c r="F75" s="596"/>
      <c r="G75" s="597"/>
      <c r="H75" s="597"/>
      <c r="I75" s="598"/>
      <c r="J75" s="599"/>
      <c r="K75" s="600"/>
      <c r="L75" s="601"/>
      <c r="M75" s="600"/>
      <c r="N75" s="602"/>
      <c r="O75" s="603"/>
      <c r="P75" s="601"/>
    </row>
    <row r="76" spans="1:16">
      <c r="A76" s="592"/>
      <c r="B76" s="593"/>
      <c r="C76" s="593"/>
      <c r="D76" s="594"/>
      <c r="E76" s="595"/>
      <c r="F76" s="596"/>
      <c r="G76" s="597"/>
      <c r="H76" s="597"/>
      <c r="I76" s="598"/>
      <c r="J76" s="599"/>
      <c r="K76" s="600"/>
      <c r="L76" s="601"/>
      <c r="M76" s="600"/>
      <c r="N76" s="602"/>
      <c r="O76" s="603"/>
      <c r="P76" s="601"/>
    </row>
    <row r="77" spans="1:16">
      <c r="A77" s="592"/>
      <c r="B77" s="593"/>
      <c r="C77" s="593"/>
      <c r="D77" s="594"/>
      <c r="E77" s="595"/>
      <c r="F77" s="596"/>
      <c r="G77" s="597"/>
      <c r="H77" s="597"/>
      <c r="I77" s="598"/>
      <c r="J77" s="599"/>
      <c r="K77" s="600"/>
      <c r="L77" s="601"/>
      <c r="M77" s="600"/>
      <c r="N77" s="602"/>
      <c r="O77" s="603"/>
      <c r="P77" s="601"/>
    </row>
    <row r="78" spans="1:16">
      <c r="A78" s="592"/>
      <c r="B78" s="593"/>
      <c r="C78" s="593"/>
      <c r="D78" s="594"/>
      <c r="E78" s="595"/>
      <c r="F78" s="596"/>
      <c r="G78" s="597"/>
      <c r="H78" s="597"/>
      <c r="I78" s="598"/>
      <c r="J78" s="599"/>
      <c r="K78" s="600"/>
      <c r="L78" s="601"/>
      <c r="M78" s="600"/>
      <c r="N78" s="602"/>
      <c r="O78" s="603"/>
      <c r="P78" s="601"/>
    </row>
    <row r="79" spans="1:16">
      <c r="A79" s="592"/>
      <c r="B79" s="593"/>
      <c r="C79" s="593"/>
      <c r="D79" s="594"/>
      <c r="E79" s="595"/>
      <c r="F79" s="596"/>
      <c r="G79" s="597"/>
      <c r="H79" s="597"/>
      <c r="I79" s="597"/>
      <c r="J79" s="599"/>
      <c r="K79" s="600"/>
      <c r="L79" s="601"/>
      <c r="M79" s="600"/>
      <c r="N79" s="602"/>
      <c r="O79" s="603"/>
      <c r="P79" s="601"/>
    </row>
    <row r="80" spans="1:16">
      <c r="A80" s="592"/>
      <c r="B80" s="593"/>
      <c r="C80" s="593"/>
      <c r="D80" s="594"/>
      <c r="E80" s="595"/>
      <c r="F80" s="596"/>
      <c r="G80" s="597"/>
      <c r="H80" s="597"/>
      <c r="I80" s="597"/>
      <c r="J80" s="599"/>
      <c r="K80" s="600"/>
      <c r="L80" s="601"/>
      <c r="M80" s="600"/>
      <c r="N80" s="602"/>
      <c r="O80" s="603"/>
      <c r="P80" s="601"/>
    </row>
    <row r="81" spans="1:16">
      <c r="A81" s="592"/>
      <c r="B81" s="593"/>
      <c r="C81" s="593"/>
      <c r="D81" s="594"/>
      <c r="E81" s="595"/>
      <c r="F81" s="596"/>
      <c r="G81" s="597"/>
      <c r="H81" s="597"/>
      <c r="I81" s="597"/>
      <c r="J81" s="599"/>
      <c r="K81" s="600"/>
      <c r="L81" s="601"/>
      <c r="M81" s="600"/>
      <c r="N81" s="602"/>
      <c r="O81" s="603"/>
      <c r="P81" s="601"/>
    </row>
    <row r="82" spans="1:16">
      <c r="A82" s="592"/>
      <c r="B82" s="593"/>
      <c r="C82" s="593"/>
      <c r="D82" s="594"/>
      <c r="E82" s="595"/>
      <c r="F82" s="596"/>
      <c r="G82" s="597"/>
      <c r="H82" s="597"/>
      <c r="I82" s="597"/>
      <c r="J82" s="599"/>
      <c r="K82" s="600"/>
      <c r="L82" s="601"/>
      <c r="M82" s="600"/>
      <c r="N82" s="602"/>
      <c r="O82" s="603"/>
      <c r="P82" s="601"/>
    </row>
    <row r="83" spans="1:16" ht="13.5" customHeight="1">
      <c r="A83" s="569"/>
      <c r="B83" s="569"/>
      <c r="C83" s="569"/>
      <c r="D83" s="569"/>
      <c r="E83" s="569"/>
      <c r="F83" s="569"/>
      <c r="G83" s="569"/>
      <c r="H83" s="569"/>
      <c r="I83" s="569"/>
      <c r="J83" s="569"/>
      <c r="K83" s="603"/>
      <c r="L83" s="601"/>
      <c r="M83" s="603"/>
      <c r="N83" s="601"/>
      <c r="O83" s="604"/>
      <c r="P83" s="605"/>
    </row>
    <row r="84" spans="1:16">
      <c r="A84" s="606"/>
      <c r="B84" s="606"/>
      <c r="C84" s="606"/>
      <c r="D84" s="606"/>
      <c r="E84" s="606"/>
      <c r="F84" s="606"/>
      <c r="G84" s="606"/>
      <c r="H84" s="606"/>
      <c r="I84" s="606"/>
      <c r="J84" s="606"/>
      <c r="K84" s="606"/>
      <c r="L84" s="606"/>
      <c r="M84" s="606"/>
      <c r="N84" s="606"/>
      <c r="O84" s="606"/>
      <c r="P84" s="606"/>
    </row>
    <row r="85" spans="1:16" ht="2.85" customHeight="1"/>
    <row r="86" spans="1:16" ht="2.85" customHeight="1"/>
    <row r="87" spans="1:16" ht="2.85" customHeight="1"/>
    <row r="88" spans="1:16" ht="2.85" customHeight="1"/>
    <row r="89" spans="1:16" ht="2.85" customHeight="1"/>
    <row r="90" spans="1:16" ht="2.85" customHeight="1"/>
    <row r="91" spans="1:16" ht="2.85" customHeight="1"/>
    <row r="92" spans="1:16" ht="2.85" customHeight="1"/>
    <row r="93" spans="1:16" ht="12.75" customHeight="1">
      <c r="A93" s="568"/>
      <c r="B93" s="406"/>
      <c r="C93" s="406"/>
      <c r="D93" s="406"/>
      <c r="E93" s="406"/>
      <c r="F93" s="406"/>
      <c r="G93" s="569"/>
      <c r="H93" s="570"/>
      <c r="I93" s="570"/>
      <c r="J93" s="571"/>
      <c r="K93" s="572"/>
      <c r="L93" s="572"/>
      <c r="M93" s="573"/>
      <c r="N93" s="569"/>
      <c r="O93" s="569"/>
      <c r="P93" s="569"/>
    </row>
    <row r="94" spans="1:16">
      <c r="A94" s="572"/>
      <c r="B94" s="572"/>
      <c r="C94" s="572"/>
      <c r="D94" s="572"/>
      <c r="E94" s="569"/>
      <c r="F94" s="569"/>
      <c r="G94" s="569"/>
      <c r="H94" s="569"/>
      <c r="I94" s="569"/>
      <c r="J94" s="571"/>
      <c r="K94" s="574"/>
      <c r="L94" s="575"/>
      <c r="M94" s="575"/>
      <c r="N94" s="575"/>
      <c r="O94" s="575"/>
      <c r="P94" s="575"/>
    </row>
    <row r="95" spans="1:16">
      <c r="A95" s="572"/>
      <c r="B95" s="572"/>
      <c r="C95" s="572"/>
      <c r="D95" s="572"/>
      <c r="E95" s="569"/>
      <c r="F95" s="569"/>
      <c r="G95" s="569"/>
      <c r="H95" s="569"/>
      <c r="I95" s="569"/>
      <c r="J95" s="571"/>
      <c r="K95" s="574"/>
      <c r="L95" s="575"/>
      <c r="M95" s="575"/>
      <c r="N95" s="575"/>
      <c r="O95" s="575"/>
      <c r="P95" s="575"/>
    </row>
    <row r="96" spans="1:16" ht="13.8">
      <c r="A96" s="576"/>
      <c r="B96" s="576"/>
      <c r="C96" s="576"/>
      <c r="D96" s="576"/>
      <c r="E96" s="576"/>
      <c r="F96" s="576"/>
      <c r="G96" s="576"/>
      <c r="H96" s="576"/>
      <c r="I96" s="576"/>
      <c r="J96" s="576"/>
      <c r="K96" s="576"/>
      <c r="L96" s="576"/>
      <c r="M96" s="576"/>
      <c r="N96" s="576"/>
      <c r="O96" s="576"/>
      <c r="P96" s="576"/>
    </row>
    <row r="97" spans="1:16" ht="13.8">
      <c r="A97" s="576"/>
      <c r="B97" s="576"/>
      <c r="C97" s="576"/>
      <c r="D97" s="576"/>
      <c r="E97" s="576"/>
      <c r="F97" s="576"/>
      <c r="G97" s="576"/>
      <c r="H97" s="576"/>
      <c r="I97" s="576"/>
      <c r="J97" s="577"/>
      <c r="K97" s="576"/>
      <c r="L97" s="576"/>
      <c r="M97" s="576"/>
      <c r="N97" s="576"/>
      <c r="O97" s="576"/>
      <c r="P97" s="576"/>
    </row>
    <row r="98" spans="1:16">
      <c r="A98" s="1"/>
      <c r="B98" s="578"/>
      <c r="C98" s="578"/>
      <c r="D98" s="578"/>
      <c r="E98" s="578"/>
      <c r="F98" s="578"/>
      <c r="G98" s="579"/>
      <c r="H98" s="579"/>
      <c r="I98" s="579"/>
      <c r="J98" s="580"/>
      <c r="K98" s="578"/>
      <c r="L98" s="578"/>
      <c r="M98" s="578"/>
      <c r="N98" s="578"/>
      <c r="O98" s="578"/>
      <c r="P98" s="578"/>
    </row>
    <row r="99" spans="1:16">
      <c r="A99" s="581"/>
      <c r="B99" s="575"/>
      <c r="C99" s="575"/>
      <c r="D99" s="575"/>
      <c r="E99" s="575"/>
      <c r="F99" s="575"/>
      <c r="G99" s="579"/>
      <c r="H99" s="579"/>
      <c r="I99" s="579"/>
      <c r="J99" s="580"/>
      <c r="K99" s="578"/>
      <c r="L99" s="578"/>
      <c r="M99" s="582"/>
      <c r="N99" s="582"/>
      <c r="O99" s="582"/>
      <c r="P99" s="583"/>
    </row>
    <row r="100" spans="1:16" ht="13.8">
      <c r="A100" s="584"/>
      <c r="B100" s="584"/>
      <c r="C100" s="584"/>
      <c r="D100" s="584"/>
      <c r="E100" s="584"/>
      <c r="F100" s="585"/>
      <c r="G100" s="586"/>
      <c r="H100" s="586"/>
      <c r="I100" s="586"/>
      <c r="J100" s="587"/>
      <c r="K100" s="588"/>
      <c r="L100" s="589"/>
      <c r="M100" s="590"/>
      <c r="N100" s="590"/>
      <c r="O100" s="585"/>
      <c r="P100" s="591"/>
    </row>
    <row r="101" spans="1:16">
      <c r="A101" s="592"/>
      <c r="B101" s="593"/>
      <c r="C101" s="593"/>
      <c r="D101" s="594"/>
      <c r="E101" s="595"/>
      <c r="F101" s="596"/>
      <c r="G101" s="597"/>
      <c r="H101" s="597"/>
      <c r="I101" s="598"/>
      <c r="J101" s="599"/>
      <c r="K101" s="600"/>
      <c r="L101" s="601"/>
      <c r="M101" s="600"/>
      <c r="N101" s="602"/>
      <c r="O101" s="603"/>
      <c r="P101" s="601"/>
    </row>
    <row r="102" spans="1:16">
      <c r="A102" s="592"/>
      <c r="B102" s="593"/>
      <c r="C102" s="593"/>
      <c r="D102" s="594"/>
      <c r="E102" s="595"/>
      <c r="F102" s="596"/>
      <c r="G102" s="597"/>
      <c r="H102" s="597"/>
      <c r="I102" s="598"/>
      <c r="J102" s="599"/>
      <c r="K102" s="600"/>
      <c r="L102" s="601"/>
      <c r="M102" s="600"/>
      <c r="N102" s="602"/>
      <c r="O102" s="603"/>
      <c r="P102" s="601"/>
    </row>
    <row r="103" spans="1:16">
      <c r="A103" s="592"/>
      <c r="B103" s="593"/>
      <c r="C103" s="593"/>
      <c r="D103" s="594"/>
      <c r="E103" s="595"/>
      <c r="F103" s="596"/>
      <c r="G103" s="597"/>
      <c r="H103" s="597"/>
      <c r="I103" s="598"/>
      <c r="J103" s="599"/>
      <c r="K103" s="600"/>
      <c r="L103" s="601"/>
      <c r="M103" s="600"/>
      <c r="N103" s="602"/>
      <c r="O103" s="603"/>
      <c r="P103" s="601"/>
    </row>
    <row r="104" spans="1:16">
      <c r="A104" s="592"/>
      <c r="B104" s="593"/>
      <c r="C104" s="593"/>
      <c r="D104" s="594"/>
      <c r="E104" s="595"/>
      <c r="F104" s="596"/>
      <c r="G104" s="597"/>
      <c r="H104" s="597"/>
      <c r="I104" s="598"/>
      <c r="J104" s="599"/>
      <c r="K104" s="600"/>
      <c r="L104" s="601"/>
      <c r="M104" s="600"/>
      <c r="N104" s="602"/>
      <c r="O104" s="603"/>
      <c r="P104" s="601"/>
    </row>
    <row r="105" spans="1:16">
      <c r="A105" s="592"/>
      <c r="B105" s="593"/>
      <c r="C105" s="593"/>
      <c r="D105" s="594"/>
      <c r="E105" s="595"/>
      <c r="F105" s="596"/>
      <c r="G105" s="597"/>
      <c r="H105" s="597"/>
      <c r="I105" s="598"/>
      <c r="J105" s="599"/>
      <c r="K105" s="600"/>
      <c r="L105" s="601"/>
      <c r="M105" s="600"/>
      <c r="N105" s="602"/>
      <c r="O105" s="603"/>
      <c r="P105" s="601"/>
    </row>
    <row r="106" spans="1:16">
      <c r="A106" s="592"/>
      <c r="B106" s="593"/>
      <c r="C106" s="593"/>
      <c r="D106" s="594"/>
      <c r="E106" s="595"/>
      <c r="F106" s="596"/>
      <c r="G106" s="597"/>
      <c r="H106" s="597"/>
      <c r="I106" s="598"/>
      <c r="J106" s="599"/>
      <c r="K106" s="600"/>
      <c r="L106" s="601"/>
      <c r="M106" s="600"/>
      <c r="N106" s="602"/>
      <c r="O106" s="603"/>
      <c r="P106" s="601"/>
    </row>
    <row r="107" spans="1:16">
      <c r="A107" s="592"/>
      <c r="B107" s="593"/>
      <c r="C107" s="593"/>
      <c r="D107" s="594"/>
      <c r="E107" s="595"/>
      <c r="F107" s="596"/>
      <c r="G107" s="597"/>
      <c r="H107" s="597"/>
      <c r="I107" s="598"/>
      <c r="J107" s="599"/>
      <c r="K107" s="600"/>
      <c r="L107" s="601"/>
      <c r="M107" s="600"/>
      <c r="N107" s="602"/>
      <c r="O107" s="603"/>
      <c r="P107" s="601"/>
    </row>
    <row r="108" spans="1:16">
      <c r="A108" s="592"/>
      <c r="B108" s="593"/>
      <c r="C108" s="593"/>
      <c r="D108" s="594"/>
      <c r="E108" s="595"/>
      <c r="F108" s="596"/>
      <c r="G108" s="597"/>
      <c r="H108" s="597"/>
      <c r="I108" s="598"/>
      <c r="J108" s="599"/>
      <c r="K108" s="600"/>
      <c r="L108" s="601"/>
      <c r="M108" s="600"/>
      <c r="N108" s="602"/>
      <c r="O108" s="603"/>
      <c r="P108" s="601"/>
    </row>
    <row r="109" spans="1:16">
      <c r="A109" s="592"/>
      <c r="B109" s="593"/>
      <c r="C109" s="593"/>
      <c r="D109" s="594"/>
      <c r="E109" s="595"/>
      <c r="F109" s="596"/>
      <c r="G109" s="597"/>
      <c r="H109" s="597"/>
      <c r="I109" s="597"/>
      <c r="J109" s="599"/>
      <c r="K109" s="600"/>
      <c r="L109" s="601"/>
      <c r="M109" s="600"/>
      <c r="N109" s="602"/>
      <c r="O109" s="603"/>
      <c r="P109" s="601"/>
    </row>
    <row r="110" spans="1:16">
      <c r="A110" s="592"/>
      <c r="B110" s="593"/>
      <c r="C110" s="593"/>
      <c r="D110" s="594"/>
      <c r="E110" s="595"/>
      <c r="F110" s="596"/>
      <c r="G110" s="597"/>
      <c r="H110" s="597"/>
      <c r="I110" s="597"/>
      <c r="J110" s="599"/>
      <c r="K110" s="600"/>
      <c r="L110" s="601"/>
      <c r="M110" s="600"/>
      <c r="N110" s="602"/>
      <c r="O110" s="603"/>
      <c r="P110" s="601"/>
    </row>
    <row r="111" spans="1:16">
      <c r="A111" s="592"/>
      <c r="B111" s="593"/>
      <c r="C111" s="593"/>
      <c r="D111" s="594"/>
      <c r="E111" s="595"/>
      <c r="F111" s="596"/>
      <c r="G111" s="597"/>
      <c r="H111" s="597"/>
      <c r="I111" s="597"/>
      <c r="J111" s="599"/>
      <c r="K111" s="600"/>
      <c r="L111" s="601"/>
      <c r="M111" s="600"/>
      <c r="N111" s="602"/>
      <c r="O111" s="603"/>
      <c r="P111" s="601"/>
    </row>
    <row r="112" spans="1:16">
      <c r="A112" s="592"/>
      <c r="B112" s="593"/>
      <c r="C112" s="593"/>
      <c r="D112" s="594"/>
      <c r="E112" s="595"/>
      <c r="F112" s="596"/>
      <c r="G112" s="597"/>
      <c r="H112" s="597"/>
      <c r="I112" s="597"/>
      <c r="J112" s="599"/>
      <c r="K112" s="600"/>
      <c r="L112" s="601"/>
      <c r="M112" s="600"/>
      <c r="N112" s="602"/>
      <c r="O112" s="603"/>
      <c r="P112" s="601"/>
    </row>
    <row r="113" spans="1:16">
      <c r="A113" s="569"/>
      <c r="B113" s="569"/>
      <c r="C113" s="569"/>
      <c r="D113" s="569"/>
      <c r="E113" s="569"/>
      <c r="F113" s="569"/>
      <c r="G113" s="569"/>
      <c r="H113" s="569"/>
      <c r="I113" s="569"/>
      <c r="J113" s="569"/>
      <c r="K113" s="603"/>
      <c r="L113" s="601"/>
      <c r="M113" s="603"/>
      <c r="N113" s="601"/>
      <c r="O113" s="604"/>
      <c r="P113" s="605"/>
    </row>
    <row r="114" spans="1:16">
      <c r="A114" s="606"/>
      <c r="B114" s="606"/>
      <c r="C114" s="606"/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</row>
    <row r="115" spans="1:16" ht="2.85" customHeight="1"/>
    <row r="116" spans="1:16" ht="2.85" customHeight="1"/>
    <row r="117" spans="1:16" ht="2.85" customHeight="1"/>
    <row r="118" spans="1:16" ht="2.85" customHeight="1"/>
    <row r="119" spans="1:16" ht="2.85" customHeight="1"/>
    <row r="120" spans="1:16" ht="2.85" customHeight="1"/>
    <row r="121" spans="1:16" ht="2.85" customHeight="1"/>
    <row r="122" spans="1:16" ht="2.85" customHeight="1"/>
    <row r="123" spans="1:16" ht="12.75" customHeight="1">
      <c r="A123" s="568"/>
      <c r="B123" s="406"/>
      <c r="C123" s="406"/>
      <c r="D123" s="406"/>
      <c r="E123" s="406"/>
      <c r="F123" s="406"/>
      <c r="G123" s="569"/>
      <c r="H123" s="570"/>
      <c r="I123" s="570"/>
      <c r="J123" s="571"/>
      <c r="K123" s="572"/>
      <c r="L123" s="572"/>
      <c r="M123" s="573"/>
      <c r="N123" s="569"/>
      <c r="O123" s="569"/>
      <c r="P123" s="569"/>
    </row>
    <row r="124" spans="1:16">
      <c r="A124" s="572"/>
      <c r="B124" s="572"/>
      <c r="C124" s="572"/>
      <c r="D124" s="572"/>
      <c r="E124" s="569"/>
      <c r="F124" s="569"/>
      <c r="G124" s="569"/>
      <c r="H124" s="569"/>
      <c r="I124" s="569"/>
      <c r="J124" s="571"/>
      <c r="K124" s="574"/>
      <c r="L124" s="575"/>
      <c r="M124" s="575"/>
      <c r="N124" s="575"/>
      <c r="O124" s="575"/>
      <c r="P124" s="575"/>
    </row>
    <row r="125" spans="1:16">
      <c r="A125" s="572"/>
      <c r="B125" s="572"/>
      <c r="C125" s="572"/>
      <c r="D125" s="572"/>
      <c r="E125" s="569"/>
      <c r="F125" s="569"/>
      <c r="G125" s="569"/>
      <c r="H125" s="569"/>
      <c r="I125" s="569"/>
      <c r="J125" s="571"/>
      <c r="K125" s="574"/>
      <c r="L125" s="575"/>
      <c r="M125" s="575"/>
      <c r="N125" s="575"/>
      <c r="O125" s="575"/>
      <c r="P125" s="575"/>
    </row>
    <row r="126" spans="1:16" ht="13.8">
      <c r="A126" s="576"/>
      <c r="B126" s="576"/>
      <c r="C126" s="576"/>
      <c r="D126" s="576"/>
      <c r="E126" s="576"/>
      <c r="F126" s="576"/>
      <c r="G126" s="576"/>
      <c r="H126" s="576"/>
      <c r="I126" s="576"/>
      <c r="J126" s="576"/>
      <c r="K126" s="576"/>
      <c r="L126" s="576"/>
      <c r="M126" s="576"/>
      <c r="N126" s="576"/>
      <c r="O126" s="576"/>
      <c r="P126" s="576"/>
    </row>
    <row r="127" spans="1:16" ht="13.8">
      <c r="A127" s="576"/>
      <c r="B127" s="576"/>
      <c r="C127" s="576"/>
      <c r="D127" s="576"/>
      <c r="E127" s="576"/>
      <c r="F127" s="576"/>
      <c r="G127" s="576"/>
      <c r="H127" s="576"/>
      <c r="I127" s="576"/>
      <c r="J127" s="577"/>
      <c r="K127" s="576"/>
      <c r="L127" s="576"/>
      <c r="M127" s="576"/>
      <c r="N127" s="576"/>
      <c r="O127" s="576"/>
      <c r="P127" s="576"/>
    </row>
    <row r="128" spans="1:16">
      <c r="A128" s="1"/>
      <c r="B128" s="578"/>
      <c r="C128" s="578"/>
      <c r="D128" s="578"/>
      <c r="E128" s="578"/>
      <c r="F128" s="578"/>
      <c r="G128" s="579"/>
      <c r="H128" s="579"/>
      <c r="I128" s="579"/>
      <c r="J128" s="580"/>
      <c r="K128" s="578"/>
      <c r="L128" s="578"/>
      <c r="M128" s="578"/>
      <c r="N128" s="578"/>
      <c r="O128" s="578"/>
      <c r="P128" s="578"/>
    </row>
    <row r="129" spans="1:16">
      <c r="A129" s="581"/>
      <c r="B129" s="575"/>
      <c r="C129" s="575"/>
      <c r="D129" s="575"/>
      <c r="E129" s="575"/>
      <c r="F129" s="575"/>
      <c r="G129" s="579"/>
      <c r="H129" s="579"/>
      <c r="I129" s="579"/>
      <c r="J129" s="580"/>
      <c r="K129" s="578"/>
      <c r="L129" s="578"/>
      <c r="M129" s="582"/>
      <c r="N129" s="582"/>
      <c r="O129" s="582"/>
      <c r="P129" s="583"/>
    </row>
    <row r="130" spans="1:16" ht="13.8">
      <c r="A130" s="584"/>
      <c r="B130" s="584"/>
      <c r="C130" s="584"/>
      <c r="D130" s="584"/>
      <c r="E130" s="584"/>
      <c r="F130" s="585"/>
      <c r="G130" s="586"/>
      <c r="H130" s="586"/>
      <c r="I130" s="586"/>
      <c r="J130" s="587"/>
      <c r="K130" s="588"/>
      <c r="L130" s="589"/>
      <c r="M130" s="590"/>
      <c r="N130" s="590"/>
      <c r="O130" s="585"/>
      <c r="P130" s="591"/>
    </row>
    <row r="131" spans="1:16">
      <c r="A131" s="592"/>
      <c r="B131" s="593"/>
      <c r="C131" s="593"/>
      <c r="D131" s="594"/>
      <c r="E131" s="595"/>
      <c r="F131" s="596"/>
      <c r="G131" s="597"/>
      <c r="H131" s="597"/>
      <c r="I131" s="598"/>
      <c r="J131" s="599"/>
      <c r="K131" s="600"/>
      <c r="L131" s="601"/>
      <c r="M131" s="600"/>
      <c r="N131" s="602"/>
      <c r="O131" s="603"/>
      <c r="P131" s="601"/>
    </row>
    <row r="132" spans="1:16">
      <c r="A132" s="592"/>
      <c r="B132" s="593"/>
      <c r="C132" s="593"/>
      <c r="D132" s="594"/>
      <c r="E132" s="595"/>
      <c r="F132" s="596"/>
      <c r="G132" s="597"/>
      <c r="H132" s="597"/>
      <c r="I132" s="598"/>
      <c r="J132" s="599"/>
      <c r="K132" s="600"/>
      <c r="L132" s="601"/>
      <c r="M132" s="600"/>
      <c r="N132" s="602"/>
      <c r="O132" s="603"/>
      <c r="P132" s="601"/>
    </row>
    <row r="133" spans="1:16">
      <c r="A133" s="592"/>
      <c r="B133" s="593"/>
      <c r="C133" s="593"/>
      <c r="D133" s="594"/>
      <c r="E133" s="595"/>
      <c r="F133" s="596"/>
      <c r="G133" s="597"/>
      <c r="H133" s="597"/>
      <c r="I133" s="598"/>
      <c r="J133" s="599"/>
      <c r="K133" s="600"/>
      <c r="L133" s="601"/>
      <c r="M133" s="600"/>
      <c r="N133" s="602"/>
      <c r="O133" s="603"/>
      <c r="P133" s="601"/>
    </row>
    <row r="134" spans="1:16">
      <c r="A134" s="592"/>
      <c r="B134" s="593"/>
      <c r="C134" s="593"/>
      <c r="D134" s="594"/>
      <c r="E134" s="595"/>
      <c r="F134" s="596"/>
      <c r="G134" s="597"/>
      <c r="H134" s="597"/>
      <c r="I134" s="598"/>
      <c r="J134" s="599"/>
      <c r="K134" s="600"/>
      <c r="L134" s="601"/>
      <c r="M134" s="600"/>
      <c r="N134" s="602"/>
      <c r="O134" s="603"/>
      <c r="P134" s="601"/>
    </row>
    <row r="135" spans="1:16">
      <c r="A135" s="592"/>
      <c r="B135" s="593"/>
      <c r="C135" s="593"/>
      <c r="D135" s="594"/>
      <c r="E135" s="595"/>
      <c r="F135" s="596"/>
      <c r="G135" s="597"/>
      <c r="H135" s="597"/>
      <c r="I135" s="598"/>
      <c r="J135" s="599"/>
      <c r="K135" s="600"/>
      <c r="L135" s="601"/>
      <c r="M135" s="600"/>
      <c r="N135" s="602"/>
      <c r="O135" s="603"/>
      <c r="P135" s="601"/>
    </row>
    <row r="136" spans="1:16">
      <c r="A136" s="592"/>
      <c r="B136" s="593"/>
      <c r="C136" s="593"/>
      <c r="D136" s="594"/>
      <c r="E136" s="595"/>
      <c r="F136" s="596"/>
      <c r="G136" s="597"/>
      <c r="H136" s="597"/>
      <c r="I136" s="598"/>
      <c r="J136" s="599"/>
      <c r="K136" s="600"/>
      <c r="L136" s="601"/>
      <c r="M136" s="600"/>
      <c r="N136" s="602"/>
      <c r="O136" s="603"/>
      <c r="P136" s="601"/>
    </row>
    <row r="137" spans="1:16">
      <c r="A137" s="592"/>
      <c r="B137" s="593"/>
      <c r="C137" s="593"/>
      <c r="D137" s="594"/>
      <c r="E137" s="595"/>
      <c r="F137" s="596"/>
      <c r="G137" s="597"/>
      <c r="H137" s="597"/>
      <c r="I137" s="598"/>
      <c r="J137" s="599"/>
      <c r="K137" s="600"/>
      <c r="L137" s="601"/>
      <c r="M137" s="600"/>
      <c r="N137" s="602"/>
      <c r="O137" s="603"/>
      <c r="P137" s="601"/>
    </row>
    <row r="138" spans="1:16">
      <c r="A138" s="592"/>
      <c r="B138" s="593"/>
      <c r="C138" s="593"/>
      <c r="D138" s="594"/>
      <c r="E138" s="595"/>
      <c r="F138" s="596"/>
      <c r="G138" s="597"/>
      <c r="H138" s="597"/>
      <c r="I138" s="598"/>
      <c r="J138" s="599"/>
      <c r="K138" s="600"/>
      <c r="L138" s="601"/>
      <c r="M138" s="600"/>
      <c r="N138" s="602"/>
      <c r="O138" s="603"/>
      <c r="P138" s="601"/>
    </row>
    <row r="139" spans="1:16">
      <c r="A139" s="592"/>
      <c r="B139" s="593"/>
      <c r="C139" s="593"/>
      <c r="D139" s="594"/>
      <c r="E139" s="595"/>
      <c r="F139" s="596"/>
      <c r="G139" s="597"/>
      <c r="H139" s="597"/>
      <c r="I139" s="597"/>
      <c r="J139" s="599"/>
      <c r="K139" s="600"/>
      <c r="L139" s="601"/>
      <c r="M139" s="600"/>
      <c r="N139" s="602"/>
      <c r="O139" s="603"/>
      <c r="P139" s="601"/>
    </row>
    <row r="140" spans="1:16">
      <c r="A140" s="592"/>
      <c r="B140" s="593"/>
      <c r="C140" s="593"/>
      <c r="D140" s="594"/>
      <c r="E140" s="595"/>
      <c r="F140" s="596"/>
      <c r="G140" s="597"/>
      <c r="H140" s="597"/>
      <c r="I140" s="597"/>
      <c r="J140" s="599"/>
      <c r="K140" s="600"/>
      <c r="L140" s="601"/>
      <c r="M140" s="600"/>
      <c r="N140" s="602"/>
      <c r="O140" s="603"/>
      <c r="P140" s="601"/>
    </row>
    <row r="141" spans="1:16">
      <c r="A141" s="592"/>
      <c r="B141" s="593"/>
      <c r="C141" s="593"/>
      <c r="D141" s="594"/>
      <c r="E141" s="595"/>
      <c r="F141" s="596"/>
      <c r="G141" s="597"/>
      <c r="H141" s="597"/>
      <c r="I141" s="597"/>
      <c r="J141" s="599"/>
      <c r="K141" s="600"/>
      <c r="L141" s="601"/>
      <c r="M141" s="600"/>
      <c r="N141" s="602"/>
      <c r="O141" s="603"/>
      <c r="P141" s="601"/>
    </row>
    <row r="142" spans="1:16">
      <c r="A142" s="592"/>
      <c r="B142" s="593"/>
      <c r="C142" s="593"/>
      <c r="D142" s="594"/>
      <c r="E142" s="595"/>
      <c r="F142" s="596"/>
      <c r="G142" s="597"/>
      <c r="H142" s="597"/>
      <c r="I142" s="597"/>
      <c r="J142" s="599"/>
      <c r="K142" s="600"/>
      <c r="L142" s="601"/>
      <c r="M142" s="600"/>
      <c r="N142" s="602"/>
      <c r="O142" s="603"/>
      <c r="P142" s="601"/>
    </row>
    <row r="143" spans="1:16">
      <c r="A143" s="569"/>
      <c r="B143" s="569"/>
      <c r="C143" s="569"/>
      <c r="D143" s="569"/>
      <c r="E143" s="569"/>
      <c r="F143" s="569"/>
      <c r="G143" s="569"/>
      <c r="H143" s="569"/>
      <c r="I143" s="569"/>
      <c r="J143" s="569"/>
      <c r="K143" s="603"/>
      <c r="L143" s="601"/>
      <c r="M143" s="603"/>
      <c r="N143" s="601"/>
      <c r="O143" s="604"/>
      <c r="P143" s="605"/>
    </row>
    <row r="144" spans="1:16">
      <c r="A144" s="606"/>
      <c r="B144" s="606"/>
      <c r="C144" s="606"/>
      <c r="D144" s="606"/>
      <c r="E144" s="606"/>
      <c r="F144" s="606"/>
      <c r="G144" s="606"/>
      <c r="H144" s="606"/>
      <c r="I144" s="606"/>
      <c r="J144" s="606"/>
      <c r="K144" s="606"/>
      <c r="L144" s="606"/>
      <c r="M144" s="606"/>
      <c r="N144" s="606"/>
      <c r="O144" s="606"/>
      <c r="P144" s="606"/>
    </row>
    <row r="145" spans="1:16" ht="2.85" customHeight="1"/>
    <row r="146" spans="1:16" ht="2.85" customHeight="1"/>
    <row r="147" spans="1:16" ht="2.85" customHeight="1"/>
    <row r="148" spans="1:16" ht="2.85" customHeight="1"/>
    <row r="149" spans="1:16" ht="2.85" customHeight="1"/>
    <row r="150" spans="1:16" ht="2.85" customHeight="1"/>
    <row r="151" spans="1:16" ht="2.85" customHeight="1"/>
    <row r="152" spans="1:16" ht="2.85" customHeight="1"/>
    <row r="153" spans="1:16" ht="12.75" customHeight="1">
      <c r="A153" s="568"/>
      <c r="B153" s="406"/>
      <c r="C153" s="406"/>
      <c r="D153" s="406"/>
      <c r="E153" s="406"/>
      <c r="F153" s="406"/>
      <c r="G153" s="569"/>
      <c r="H153" s="570"/>
      <c r="I153" s="570"/>
      <c r="J153" s="571"/>
      <c r="K153" s="572"/>
      <c r="L153" s="572"/>
      <c r="M153" s="573"/>
      <c r="N153" s="569"/>
      <c r="O153" s="569"/>
      <c r="P153" s="569"/>
    </row>
    <row r="154" spans="1:16">
      <c r="A154" s="572"/>
      <c r="B154" s="572"/>
      <c r="C154" s="572"/>
      <c r="D154" s="572"/>
      <c r="E154" s="569"/>
      <c r="F154" s="569"/>
      <c r="G154" s="569"/>
      <c r="H154" s="569"/>
      <c r="I154" s="569"/>
      <c r="J154" s="571"/>
      <c r="K154" s="574"/>
      <c r="L154" s="575"/>
      <c r="M154" s="575"/>
      <c r="N154" s="575"/>
      <c r="O154" s="575"/>
      <c r="P154" s="575"/>
    </row>
    <row r="155" spans="1:16">
      <c r="A155" s="572"/>
      <c r="B155" s="572"/>
      <c r="C155" s="572"/>
      <c r="D155" s="572"/>
      <c r="E155" s="569"/>
      <c r="F155" s="569"/>
      <c r="G155" s="569"/>
      <c r="H155" s="569"/>
      <c r="I155" s="569"/>
      <c r="J155" s="571"/>
      <c r="K155" s="574"/>
      <c r="L155" s="575"/>
      <c r="M155" s="575"/>
      <c r="N155" s="575"/>
      <c r="O155" s="575"/>
      <c r="P155" s="575"/>
    </row>
    <row r="156" spans="1:16" ht="13.8">
      <c r="A156" s="576"/>
      <c r="B156" s="576"/>
      <c r="C156" s="576"/>
      <c r="D156" s="576"/>
      <c r="E156" s="576"/>
      <c r="F156" s="576"/>
      <c r="G156" s="576"/>
      <c r="H156" s="576"/>
      <c r="I156" s="576"/>
      <c r="J156" s="576"/>
      <c r="K156" s="576"/>
      <c r="L156" s="576"/>
      <c r="M156" s="576"/>
      <c r="N156" s="576"/>
      <c r="O156" s="576"/>
      <c r="P156" s="576"/>
    </row>
    <row r="157" spans="1:16" ht="13.8">
      <c r="A157" s="576"/>
      <c r="B157" s="576"/>
      <c r="C157" s="576"/>
      <c r="D157" s="576"/>
      <c r="E157" s="576"/>
      <c r="F157" s="576"/>
      <c r="G157" s="576"/>
      <c r="H157" s="576"/>
      <c r="I157" s="576"/>
      <c r="J157" s="577"/>
      <c r="K157" s="576"/>
      <c r="L157" s="576"/>
      <c r="M157" s="576"/>
      <c r="N157" s="576"/>
      <c r="O157" s="576"/>
      <c r="P157" s="576"/>
    </row>
    <row r="158" spans="1:16">
      <c r="A158" s="1"/>
      <c r="B158" s="578"/>
      <c r="C158" s="578"/>
      <c r="D158" s="578"/>
      <c r="E158" s="578"/>
      <c r="F158" s="578"/>
      <c r="G158" s="579"/>
      <c r="H158" s="579"/>
      <c r="I158" s="579"/>
      <c r="J158" s="580"/>
      <c r="K158" s="578"/>
      <c r="L158" s="578"/>
      <c r="M158" s="578"/>
      <c r="N158" s="578"/>
      <c r="O158" s="578"/>
      <c r="P158" s="578"/>
    </row>
    <row r="159" spans="1:16">
      <c r="A159" s="581"/>
      <c r="B159" s="575"/>
      <c r="C159" s="575"/>
      <c r="D159" s="575"/>
      <c r="E159" s="575"/>
      <c r="F159" s="575"/>
      <c r="G159" s="579"/>
      <c r="H159" s="579"/>
      <c r="I159" s="579"/>
      <c r="J159" s="580"/>
      <c r="K159" s="578"/>
      <c r="L159" s="578"/>
      <c r="M159" s="582"/>
      <c r="N159" s="582"/>
      <c r="O159" s="582"/>
      <c r="P159" s="583"/>
    </row>
    <row r="160" spans="1:16" ht="13.8">
      <c r="A160" s="584"/>
      <c r="B160" s="584"/>
      <c r="C160" s="584"/>
      <c r="D160" s="584"/>
      <c r="E160" s="584"/>
      <c r="F160" s="585"/>
      <c r="G160" s="586"/>
      <c r="H160" s="586"/>
      <c r="I160" s="586"/>
      <c r="J160" s="587"/>
      <c r="K160" s="588"/>
      <c r="L160" s="589"/>
      <c r="M160" s="590"/>
      <c r="N160" s="590"/>
      <c r="O160" s="585"/>
      <c r="P160" s="591"/>
    </row>
    <row r="161" spans="1:16">
      <c r="A161" s="592"/>
      <c r="B161" s="593"/>
      <c r="C161" s="593"/>
      <c r="D161" s="594"/>
      <c r="E161" s="595"/>
      <c r="F161" s="596"/>
      <c r="G161" s="597"/>
      <c r="H161" s="597"/>
      <c r="I161" s="598"/>
      <c r="J161" s="599"/>
      <c r="K161" s="600"/>
      <c r="L161" s="601"/>
      <c r="M161" s="600"/>
      <c r="N161" s="602"/>
      <c r="O161" s="603"/>
      <c r="P161" s="601"/>
    </row>
    <row r="162" spans="1:16">
      <c r="A162" s="592"/>
      <c r="B162" s="593"/>
      <c r="C162" s="593"/>
      <c r="D162" s="594"/>
      <c r="E162" s="595"/>
      <c r="F162" s="596"/>
      <c r="G162" s="597"/>
      <c r="H162" s="597"/>
      <c r="I162" s="598"/>
      <c r="J162" s="599"/>
      <c r="K162" s="600"/>
      <c r="L162" s="601"/>
      <c r="M162" s="600"/>
      <c r="N162" s="602"/>
      <c r="O162" s="603"/>
      <c r="P162" s="601"/>
    </row>
    <row r="163" spans="1:16">
      <c r="A163" s="592"/>
      <c r="B163" s="593"/>
      <c r="C163" s="593"/>
      <c r="D163" s="594"/>
      <c r="E163" s="595"/>
      <c r="F163" s="596"/>
      <c r="G163" s="597"/>
      <c r="H163" s="597"/>
      <c r="I163" s="598"/>
      <c r="J163" s="599"/>
      <c r="K163" s="600"/>
      <c r="L163" s="601"/>
      <c r="M163" s="600"/>
      <c r="N163" s="602"/>
      <c r="O163" s="603"/>
      <c r="P163" s="601"/>
    </row>
    <row r="164" spans="1:16">
      <c r="A164" s="592"/>
      <c r="B164" s="593"/>
      <c r="C164" s="593"/>
      <c r="D164" s="594"/>
      <c r="E164" s="595"/>
      <c r="F164" s="596"/>
      <c r="G164" s="597"/>
      <c r="H164" s="597"/>
      <c r="I164" s="598"/>
      <c r="J164" s="599"/>
      <c r="K164" s="600"/>
      <c r="L164" s="601"/>
      <c r="M164" s="600"/>
      <c r="N164" s="602"/>
      <c r="O164" s="603"/>
      <c r="P164" s="601"/>
    </row>
    <row r="165" spans="1:16">
      <c r="A165" s="592"/>
      <c r="B165" s="593"/>
      <c r="C165" s="593"/>
      <c r="D165" s="594"/>
      <c r="E165" s="595"/>
      <c r="F165" s="596"/>
      <c r="G165" s="597"/>
      <c r="H165" s="597"/>
      <c r="I165" s="598"/>
      <c r="J165" s="599"/>
      <c r="K165" s="600"/>
      <c r="L165" s="601"/>
      <c r="M165" s="600"/>
      <c r="N165" s="602"/>
      <c r="O165" s="603"/>
      <c r="P165" s="601"/>
    </row>
    <row r="166" spans="1:16">
      <c r="A166" s="592"/>
      <c r="B166" s="593"/>
      <c r="C166" s="593"/>
      <c r="D166" s="594"/>
      <c r="E166" s="595"/>
      <c r="F166" s="596"/>
      <c r="G166" s="597"/>
      <c r="H166" s="597"/>
      <c r="I166" s="598"/>
      <c r="J166" s="599"/>
      <c r="K166" s="600"/>
      <c r="L166" s="601"/>
      <c r="M166" s="600"/>
      <c r="N166" s="602"/>
      <c r="O166" s="603"/>
      <c r="P166" s="601"/>
    </row>
    <row r="167" spans="1:16">
      <c r="A167" s="592"/>
      <c r="B167" s="593"/>
      <c r="C167" s="593"/>
      <c r="D167" s="594"/>
      <c r="E167" s="595"/>
      <c r="F167" s="596"/>
      <c r="G167" s="597"/>
      <c r="H167" s="597"/>
      <c r="I167" s="598"/>
      <c r="J167" s="599"/>
      <c r="K167" s="600"/>
      <c r="L167" s="601"/>
      <c r="M167" s="600"/>
      <c r="N167" s="602"/>
      <c r="O167" s="603"/>
      <c r="P167" s="601"/>
    </row>
    <row r="168" spans="1:16">
      <c r="A168" s="592"/>
      <c r="B168" s="593"/>
      <c r="C168" s="593"/>
      <c r="D168" s="594"/>
      <c r="E168" s="595"/>
      <c r="F168" s="596"/>
      <c r="G168" s="597"/>
      <c r="H168" s="597"/>
      <c r="I168" s="598"/>
      <c r="J168" s="599"/>
      <c r="K168" s="600"/>
      <c r="L168" s="601"/>
      <c r="M168" s="600"/>
      <c r="N168" s="602"/>
      <c r="O168" s="603"/>
      <c r="P168" s="601"/>
    </row>
    <row r="169" spans="1:16">
      <c r="A169" s="592"/>
      <c r="B169" s="593"/>
      <c r="C169" s="593"/>
      <c r="D169" s="594"/>
      <c r="E169" s="595"/>
      <c r="F169" s="596"/>
      <c r="G169" s="597"/>
      <c r="H169" s="597"/>
      <c r="I169" s="597"/>
      <c r="J169" s="599"/>
      <c r="K169" s="600"/>
      <c r="L169" s="601"/>
      <c r="M169" s="600"/>
      <c r="N169" s="602"/>
      <c r="O169" s="603"/>
      <c r="P169" s="601"/>
    </row>
    <row r="170" spans="1:16">
      <c r="A170" s="592"/>
      <c r="B170" s="593"/>
      <c r="C170" s="593"/>
      <c r="D170" s="594"/>
      <c r="E170" s="595"/>
      <c r="F170" s="596"/>
      <c r="G170" s="597"/>
      <c r="H170" s="597"/>
      <c r="I170" s="597"/>
      <c r="J170" s="599"/>
      <c r="K170" s="600"/>
      <c r="L170" s="601"/>
      <c r="M170" s="600"/>
      <c r="N170" s="602"/>
      <c r="O170" s="603"/>
      <c r="P170" s="601"/>
    </row>
    <row r="171" spans="1:16">
      <c r="A171" s="592"/>
      <c r="B171" s="593"/>
      <c r="C171" s="593"/>
      <c r="D171" s="594"/>
      <c r="E171" s="595"/>
      <c r="F171" s="596"/>
      <c r="G171" s="597"/>
      <c r="H171" s="597"/>
      <c r="I171" s="597"/>
      <c r="J171" s="599"/>
      <c r="K171" s="600"/>
      <c r="L171" s="601"/>
      <c r="M171" s="600"/>
      <c r="N171" s="602"/>
      <c r="O171" s="603"/>
      <c r="P171" s="601"/>
    </row>
    <row r="172" spans="1:16">
      <c r="A172" s="592"/>
      <c r="B172" s="593"/>
      <c r="C172" s="593"/>
      <c r="D172" s="594"/>
      <c r="E172" s="595"/>
      <c r="F172" s="596"/>
      <c r="G172" s="597"/>
      <c r="H172" s="597"/>
      <c r="I172" s="597"/>
      <c r="J172" s="599"/>
      <c r="K172" s="600"/>
      <c r="L172" s="601"/>
      <c r="M172" s="600"/>
      <c r="N172" s="602"/>
      <c r="O172" s="603"/>
      <c r="P172" s="601"/>
    </row>
    <row r="173" spans="1:16">
      <c r="A173" s="569"/>
      <c r="B173" s="569"/>
      <c r="C173" s="569"/>
      <c r="D173" s="569"/>
      <c r="E173" s="569"/>
      <c r="F173" s="569"/>
      <c r="G173" s="569"/>
      <c r="H173" s="569"/>
      <c r="I173" s="569"/>
      <c r="J173" s="569"/>
      <c r="K173" s="603"/>
      <c r="L173" s="601"/>
      <c r="M173" s="603"/>
      <c r="N173" s="601"/>
      <c r="O173" s="604"/>
      <c r="P173" s="605"/>
    </row>
    <row r="174" spans="1:16">
      <c r="A174" s="606"/>
      <c r="B174" s="606"/>
      <c r="C174" s="606"/>
      <c r="D174" s="606"/>
      <c r="E174" s="606"/>
      <c r="F174" s="606"/>
      <c r="G174" s="606"/>
      <c r="H174" s="606"/>
      <c r="I174" s="606"/>
      <c r="J174" s="606"/>
      <c r="K174" s="606"/>
      <c r="L174" s="606"/>
      <c r="M174" s="606"/>
      <c r="N174" s="606"/>
      <c r="O174" s="606"/>
      <c r="P174" s="606"/>
    </row>
    <row r="175" spans="1:16" ht="2.85" customHeight="1"/>
    <row r="176" spans="1:16" ht="2.85" customHeight="1"/>
    <row r="177" ht="2.85" customHeight="1"/>
    <row r="178" ht="2.85" customHeight="1"/>
    <row r="179" ht="2.85" customHeight="1"/>
    <row r="180" ht="2.85" customHeight="1"/>
    <row r="181" ht="2.85" customHeight="1"/>
    <row r="182" ht="2.85" customHeight="1"/>
    <row r="183" ht="12.75" customHeight="1"/>
    <row r="205" ht="2.85" customHeight="1"/>
    <row r="206" ht="2.85" customHeight="1"/>
    <row r="207" ht="2.85" customHeight="1"/>
    <row r="208" ht="2.85" customHeight="1"/>
    <row r="209" ht="2.85" customHeight="1"/>
    <row r="210" ht="2.85" customHeight="1"/>
    <row r="211" ht="2.85" customHeight="1"/>
    <row r="212" ht="2.85" customHeight="1"/>
    <row r="235" ht="2.85" customHeight="1"/>
    <row r="236" ht="2.85" customHeight="1"/>
    <row r="237" ht="2.85" customHeight="1"/>
    <row r="238" ht="2.85" customHeight="1"/>
    <row r="239" ht="2.85" customHeight="1"/>
    <row r="240" ht="2.85" customHeight="1"/>
    <row r="241" ht="2.85" customHeight="1"/>
    <row r="242" ht="2.85" customHeight="1"/>
    <row r="265" ht="2.85" customHeight="1"/>
    <row r="266" ht="2.85" customHeight="1"/>
    <row r="267" ht="2.85" customHeight="1"/>
    <row r="268" ht="2.85" customHeight="1"/>
    <row r="269" ht="2.85" customHeight="1"/>
    <row r="270" ht="2.85" customHeight="1"/>
    <row r="271" ht="2.85" customHeight="1"/>
    <row r="272" ht="2.85" customHeight="1"/>
    <row r="295" ht="2.85" customHeight="1"/>
    <row r="296" ht="2.85" customHeight="1"/>
    <row r="297" ht="2.85" customHeight="1"/>
    <row r="298" ht="2.85" customHeight="1"/>
    <row r="299" ht="2.85" customHeight="1"/>
    <row r="300" ht="2.85" customHeight="1"/>
    <row r="301" ht="2.85" customHeight="1"/>
    <row r="302" ht="2.85" customHeight="1"/>
    <row r="325" ht="2.85" customHeight="1"/>
    <row r="326" ht="2.85" customHeight="1"/>
    <row r="327" ht="2.85" customHeight="1"/>
    <row r="328" ht="2.85" customHeight="1"/>
    <row r="329" ht="2.85" customHeight="1"/>
    <row r="330" ht="2.85" customHeight="1"/>
    <row r="331" ht="2.85" customHeight="1"/>
    <row r="332" ht="2.85" customHeight="1"/>
    <row r="355" ht="2.85" customHeight="1"/>
    <row r="356" ht="2.85" customHeight="1"/>
    <row r="357" ht="2.85" customHeight="1"/>
    <row r="358" ht="2.85" customHeight="1"/>
    <row r="359" ht="2.85" customHeight="1"/>
    <row r="360" ht="2.85" customHeight="1"/>
    <row r="361" ht="2.85" customHeight="1"/>
    <row r="362" ht="2.85" customHeight="1"/>
    <row r="384" ht="2.85" customHeight="1"/>
    <row r="385" ht="2.85" customHeight="1"/>
    <row r="386" ht="2.85" customHeight="1"/>
    <row r="387" ht="2.85" customHeight="1"/>
    <row r="388" ht="2.85" customHeight="1"/>
    <row r="389" ht="2.85" customHeight="1"/>
    <row r="390" ht="2.85" customHeight="1"/>
    <row r="391" ht="2.85" customHeight="1"/>
    <row r="392" ht="2.85" customHeight="1"/>
    <row r="415" ht="2.85" customHeight="1"/>
    <row r="416" ht="2.85" customHeight="1"/>
    <row r="417" ht="2.85" customHeight="1"/>
    <row r="418" ht="2.85" customHeight="1"/>
    <row r="419" ht="2.85" customHeight="1"/>
    <row r="420" ht="2.85" customHeight="1"/>
    <row r="421" ht="2.85" customHeight="1"/>
    <row r="422" ht="2.85" customHeight="1"/>
    <row r="445" ht="2.85" customHeight="1"/>
    <row r="446" ht="2.85" customHeight="1"/>
    <row r="447" ht="2.85" customHeight="1"/>
    <row r="448" ht="2.85" customHeight="1"/>
    <row r="449" ht="2.85" customHeight="1"/>
    <row r="450" ht="2.85" customHeight="1"/>
    <row r="451" ht="2.85" customHeight="1"/>
    <row r="452" ht="2.85" customHeight="1"/>
    <row r="475" ht="2.85" customHeight="1"/>
    <row r="476" ht="2.85" customHeight="1"/>
    <row r="477" ht="2.85" customHeight="1"/>
    <row r="478" ht="2.85" customHeight="1"/>
    <row r="479" ht="2.85" customHeight="1"/>
    <row r="480" ht="2.85" customHeight="1"/>
    <row r="481" ht="2.85" customHeight="1"/>
    <row r="482" ht="2.85" customHeight="1"/>
    <row r="505" ht="2.85" customHeight="1"/>
    <row r="506" ht="2.85" customHeight="1"/>
    <row r="507" ht="2.85" customHeight="1"/>
    <row r="508" ht="2.85" customHeight="1"/>
    <row r="509" ht="2.85" customHeight="1"/>
    <row r="510" ht="2.85" customHeight="1"/>
    <row r="511" ht="2.85" customHeight="1"/>
    <row r="512" ht="2.85" customHeight="1"/>
    <row r="535" ht="2.85" customHeight="1"/>
    <row r="536" ht="2.85" customHeight="1"/>
    <row r="537" ht="2.85" customHeight="1"/>
    <row r="538" ht="2.85" customHeight="1"/>
    <row r="539" ht="2.85" customHeight="1"/>
    <row r="540" ht="2.85" customHeight="1"/>
    <row r="541" ht="2.85" customHeight="1"/>
    <row r="542" ht="2.85" customHeight="1"/>
    <row r="565" ht="2.85" customHeight="1"/>
    <row r="566" ht="2.85" customHeight="1"/>
    <row r="567" ht="2.85" customHeight="1"/>
    <row r="568" ht="2.85" customHeight="1"/>
    <row r="569" ht="2.85" customHeight="1"/>
    <row r="570" ht="2.85" customHeight="1"/>
    <row r="571" ht="2.85" customHeight="1"/>
    <row r="572" ht="2.85" customHeight="1"/>
    <row r="595" ht="2.85" customHeight="1"/>
    <row r="596" ht="2.85" customHeight="1"/>
    <row r="597" ht="2.85" customHeight="1"/>
    <row r="598" ht="2.85" customHeight="1"/>
    <row r="599" ht="2.85" customHeight="1"/>
    <row r="600" ht="2.85" customHeight="1"/>
    <row r="601" ht="2.85" customHeight="1"/>
    <row r="602" ht="2.85" customHeight="1"/>
    <row r="625" ht="2.85" customHeight="1"/>
    <row r="626" ht="2.85" customHeight="1"/>
    <row r="627" ht="2.85" customHeight="1"/>
    <row r="628" ht="2.85" customHeight="1"/>
    <row r="629" ht="2.85" customHeight="1"/>
    <row r="630" ht="2.85" customHeight="1"/>
    <row r="631" ht="2.85" customHeight="1"/>
    <row r="632" ht="2.85" customHeight="1"/>
    <row r="655" ht="2.85" customHeight="1"/>
    <row r="656" ht="2.85" customHeight="1"/>
    <row r="657" ht="2.85" customHeight="1"/>
    <row r="658" ht="2.85" customHeight="1"/>
    <row r="659" ht="2.85" customHeight="1"/>
    <row r="660" ht="2.85" customHeight="1"/>
    <row r="661" ht="2.85" customHeight="1"/>
    <row r="662" ht="2.85" customHeight="1"/>
    <row r="685" ht="2.85" customHeight="1"/>
    <row r="686" ht="2.85" customHeight="1"/>
    <row r="687" ht="2.85" customHeight="1"/>
    <row r="688" ht="2.85" customHeight="1"/>
    <row r="689" ht="2.85" customHeight="1"/>
    <row r="690" ht="2.85" customHeight="1"/>
    <row r="691" ht="2.85" customHeight="1"/>
    <row r="692" ht="2.85" customHeight="1"/>
    <row r="715" ht="2.85" customHeight="1"/>
    <row r="716" ht="2.85" customHeight="1"/>
    <row r="717" ht="2.85" customHeight="1"/>
    <row r="718" ht="2.85" customHeight="1"/>
    <row r="719" ht="2.85" customHeight="1"/>
    <row r="720" ht="2.85" customHeight="1"/>
    <row r="721" ht="2.85" customHeight="1"/>
    <row r="722" ht="2.85" customHeight="1"/>
    <row r="745" ht="2.85" customHeight="1"/>
    <row r="746" ht="2.85" customHeight="1"/>
    <row r="747" ht="2.85" customHeight="1"/>
    <row r="748" ht="2.85" customHeight="1"/>
    <row r="749" ht="2.85" customHeight="1"/>
    <row r="750" ht="2.85" customHeight="1"/>
    <row r="751" ht="2.85" customHeight="1"/>
    <row r="752" ht="2.85" customHeight="1"/>
    <row r="775" ht="2.85" customHeight="1"/>
    <row r="776" ht="2.85" customHeight="1"/>
    <row r="777" ht="2.85" customHeight="1"/>
    <row r="778" ht="2.85" customHeight="1"/>
    <row r="779" ht="2.85" customHeight="1"/>
    <row r="780" ht="2.85" customHeight="1"/>
    <row r="781" ht="2.85" customHeight="1"/>
    <row r="782" ht="2.85" customHeight="1"/>
    <row r="805" ht="2.85" customHeight="1"/>
    <row r="806" ht="2.85" customHeight="1"/>
    <row r="807" ht="2.85" customHeight="1"/>
    <row r="808" ht="2.85" customHeight="1"/>
    <row r="809" ht="2.85" customHeight="1"/>
    <row r="810" ht="2.85" customHeight="1"/>
    <row r="811" ht="2.85" customHeight="1"/>
    <row r="812" ht="2.85" customHeight="1"/>
    <row r="835" ht="2.85" customHeight="1"/>
    <row r="836" ht="2.85" customHeight="1"/>
    <row r="837" ht="2.85" customHeight="1"/>
    <row r="838" ht="2.85" customHeight="1"/>
    <row r="839" ht="2.85" customHeight="1"/>
    <row r="840" ht="2.85" customHeight="1"/>
    <row r="841" ht="2.85" customHeight="1"/>
    <row r="842" ht="2.85" customHeight="1"/>
    <row r="865" ht="2.85" customHeight="1"/>
    <row r="866" ht="2.85" customHeight="1"/>
    <row r="867" ht="2.85" customHeight="1"/>
    <row r="868" ht="2.85" customHeight="1"/>
    <row r="869" ht="2.85" customHeight="1"/>
    <row r="870" ht="2.85" customHeight="1"/>
    <row r="871" ht="2.85" customHeight="1"/>
    <row r="872" ht="2.85" customHeight="1"/>
    <row r="894" ht="16.5" customHeight="1"/>
    <row r="895" ht="2.85" customHeight="1"/>
    <row r="896" ht="2.85" customHeight="1"/>
    <row r="897" ht="2.85" customHeight="1"/>
    <row r="898" ht="2.85" customHeight="1"/>
    <row r="899" ht="2.85" customHeight="1"/>
    <row r="900" ht="2.85" customHeight="1"/>
    <row r="901" ht="2.85" customHeight="1"/>
    <row r="902" ht="2.85" customHeight="1"/>
    <row r="925" ht="2.85" customHeight="1"/>
    <row r="926" ht="2.85" customHeight="1"/>
    <row r="927" ht="2.85" customHeight="1"/>
    <row r="928" ht="2.85" customHeight="1"/>
    <row r="929" ht="2.85" customHeight="1"/>
    <row r="930" ht="2.85" customHeight="1"/>
    <row r="931" ht="2.85" customHeight="1"/>
    <row r="932" ht="2.85" customHeight="1"/>
    <row r="955" ht="2.85" customHeight="1"/>
    <row r="956" ht="2.85" customHeight="1"/>
    <row r="957" ht="2.85" customHeight="1"/>
    <row r="958" ht="2.85" customHeight="1"/>
    <row r="959" ht="2.85" customHeight="1"/>
    <row r="960" ht="2.85" customHeight="1"/>
    <row r="961" ht="2.85" customHeight="1"/>
    <row r="962" ht="2.85" customHeight="1"/>
    <row r="985" ht="2.85" customHeight="1"/>
    <row r="986" ht="2.85" customHeight="1"/>
    <row r="987" ht="2.85" customHeight="1"/>
    <row r="988" ht="2.85" customHeight="1"/>
    <row r="989" ht="2.85" customHeight="1"/>
    <row r="990" ht="2.85" customHeight="1"/>
    <row r="991" ht="2.85" customHeight="1"/>
    <row r="992" ht="2.85" customHeight="1"/>
    <row r="1015" ht="2.85" customHeight="1"/>
    <row r="1016" ht="2.85" customHeight="1"/>
    <row r="1017" ht="2.85" customHeight="1"/>
    <row r="1018" ht="2.85" customHeight="1"/>
    <row r="1019" ht="2.85" customHeight="1"/>
    <row r="1020" ht="2.85" customHeight="1"/>
    <row r="1021" ht="2.85" customHeight="1"/>
    <row r="1022" ht="2.85" customHeight="1"/>
    <row r="1045" ht="2.85" customHeight="1"/>
    <row r="1046" ht="2.85" customHeight="1"/>
    <row r="1047" ht="2.85" customHeight="1"/>
    <row r="1048" ht="2.85" customHeight="1"/>
    <row r="1049" ht="2.85" customHeight="1"/>
    <row r="1050" ht="2.85" customHeight="1"/>
    <row r="1051" ht="2.85" customHeight="1"/>
    <row r="1052" ht="2.85" customHeight="1"/>
    <row r="1075" ht="2.85" customHeight="1"/>
    <row r="1076" ht="2.85" customHeight="1"/>
    <row r="1077" ht="2.85" customHeight="1"/>
    <row r="1078" ht="2.85" customHeight="1"/>
    <row r="1079" ht="2.85" customHeight="1"/>
    <row r="1080" ht="2.85" customHeight="1"/>
    <row r="1081" ht="2.85" customHeight="1"/>
    <row r="1082" ht="2.85" customHeight="1"/>
    <row r="1105" ht="2.85" customHeight="1"/>
    <row r="1106" ht="2.85" customHeight="1"/>
    <row r="1107" ht="2.85" customHeight="1"/>
    <row r="1108" ht="2.85" customHeight="1"/>
    <row r="1109" ht="2.85" customHeight="1"/>
    <row r="1110" ht="2.85" customHeight="1"/>
    <row r="1111" ht="2.85" customHeight="1"/>
    <row r="1112" ht="2.85" customHeight="1"/>
    <row r="1135" ht="2.85" customHeight="1"/>
    <row r="1136" ht="2.85" customHeight="1"/>
    <row r="1137" ht="2.85" customHeight="1"/>
    <row r="1138" ht="2.85" customHeight="1"/>
    <row r="1139" ht="2.85" customHeight="1"/>
    <row r="1140" ht="2.85" customHeight="1"/>
    <row r="1141" ht="2.85" customHeight="1"/>
    <row r="1142" ht="2.85" customHeight="1"/>
    <row r="1165" ht="2.85" customHeight="1"/>
    <row r="1166" ht="2.85" customHeight="1"/>
    <row r="1167" ht="2.85" customHeight="1"/>
    <row r="1168" ht="2.85" customHeight="1"/>
    <row r="1169" ht="2.85" customHeight="1"/>
    <row r="1170" ht="2.85" customHeight="1"/>
    <row r="1171" ht="2.85" customHeight="1"/>
    <row r="1172" ht="2.85" customHeight="1"/>
    <row r="1195" ht="2.85" customHeight="1"/>
    <row r="1196" ht="2.85" customHeight="1"/>
    <row r="1197" ht="2.85" customHeight="1"/>
    <row r="1198" ht="2.85" customHeight="1"/>
    <row r="1199" ht="2.85" customHeight="1"/>
    <row r="1200" ht="2.85" customHeight="1"/>
    <row r="1201" ht="2.85" customHeight="1"/>
    <row r="1202" ht="2.85" customHeight="1"/>
    <row r="1225" ht="2.85" customHeight="1"/>
    <row r="1226" ht="2.85" customHeight="1"/>
    <row r="1227" ht="2.85" customHeight="1"/>
    <row r="1228" ht="2.85" customHeight="1"/>
    <row r="1229" ht="2.85" customHeight="1"/>
    <row r="1230" ht="2.85" customHeight="1"/>
    <row r="1231" ht="2.85" customHeight="1"/>
    <row r="1232" ht="2.85" customHeight="1"/>
    <row r="1255" ht="2.85" customHeight="1"/>
    <row r="1256" ht="2.85" customHeight="1"/>
    <row r="1257" ht="2.85" customHeight="1"/>
    <row r="1258" ht="2.85" customHeight="1"/>
    <row r="1259" ht="2.85" customHeight="1"/>
    <row r="1260" ht="2.85" customHeight="1"/>
    <row r="1261" ht="2.85" customHeight="1"/>
    <row r="1262" ht="2.85" customHeight="1"/>
    <row r="1285" ht="2.85" customHeight="1"/>
    <row r="1286" ht="2.85" customHeight="1"/>
    <row r="1287" ht="2.85" customHeight="1"/>
    <row r="1288" ht="2.85" customHeight="1"/>
    <row r="1289" ht="2.85" customHeight="1"/>
    <row r="1290" ht="2.85" customHeight="1"/>
    <row r="1291" ht="2.85" customHeight="1"/>
    <row r="1292" ht="2.85" customHeight="1"/>
    <row r="1315" ht="2.85" customHeight="1"/>
    <row r="1316" ht="2.85" customHeight="1"/>
    <row r="1317" ht="2.85" customHeight="1"/>
    <row r="1318" ht="2.85" customHeight="1"/>
    <row r="1319" ht="2.85" customHeight="1"/>
    <row r="1320" ht="2.85" customHeight="1"/>
    <row r="1321" ht="2.85" customHeight="1"/>
    <row r="1322" ht="2.85" customHeight="1"/>
    <row r="1344" ht="2.85" customHeight="1"/>
    <row r="1345" ht="2.85" customHeight="1"/>
    <row r="1346" ht="2.85" customHeight="1"/>
    <row r="1347" ht="2.85" customHeight="1"/>
    <row r="1348" ht="2.85" customHeight="1"/>
    <row r="1349" ht="2.85" customHeight="1"/>
    <row r="1350" ht="2.85" customHeight="1"/>
    <row r="1351" ht="2.85" customHeight="1"/>
    <row r="1352" ht="2.85" customHeight="1"/>
    <row r="1375" ht="2.85" customHeight="1"/>
    <row r="1376" ht="2.85" customHeight="1"/>
    <row r="1377" ht="2.85" customHeight="1"/>
    <row r="1378" ht="2.85" customHeight="1"/>
    <row r="1379" ht="2.85" customHeight="1"/>
    <row r="1380" ht="2.85" customHeight="1"/>
    <row r="1381" ht="2.85" customHeight="1"/>
    <row r="1382" ht="2.85" customHeight="1"/>
    <row r="1405" ht="2.85" customHeight="1"/>
    <row r="1406" ht="2.85" customHeight="1"/>
    <row r="1407" ht="2.85" customHeight="1"/>
    <row r="1408" ht="2.85" customHeight="1"/>
    <row r="1409" ht="2.85" customHeight="1"/>
    <row r="1410" ht="2.85" customHeight="1"/>
    <row r="1411" ht="2.85" customHeight="1"/>
    <row r="1412" ht="2.85" customHeight="1"/>
    <row r="1435" ht="2.85" customHeight="1"/>
    <row r="1436" ht="2.85" customHeight="1"/>
    <row r="1437" ht="2.85" customHeight="1"/>
    <row r="1438" ht="2.85" customHeight="1"/>
    <row r="1439" ht="2.85" customHeight="1"/>
    <row r="1440" ht="2.85" customHeight="1"/>
    <row r="1441" ht="2.85" customHeight="1"/>
    <row r="1442" ht="2.85" customHeight="1"/>
    <row r="1465" ht="2.85" customHeight="1"/>
    <row r="1466" ht="2.85" customHeight="1"/>
    <row r="1467" ht="2.85" customHeight="1"/>
    <row r="1468" ht="2.85" customHeight="1"/>
    <row r="1469" ht="2.85" customHeight="1"/>
    <row r="1470" ht="2.85" customHeight="1"/>
    <row r="1471" ht="2.85" customHeight="1"/>
    <row r="1472" ht="2.85" customHeight="1"/>
    <row r="1495" ht="2.85" customHeight="1"/>
    <row r="1496" ht="2.85" customHeight="1"/>
    <row r="1497" ht="2.85" customHeight="1"/>
    <row r="1498" ht="2.85" customHeight="1"/>
    <row r="1499" ht="2.85" customHeight="1"/>
    <row r="1500" ht="2.85" customHeight="1"/>
    <row r="1501" ht="2.85" customHeight="1"/>
    <row r="1502" ht="2.85" customHeight="1"/>
  </sheetData>
  <sheetProtection sheet="1" objects="1" scenarios="1"/>
  <mergeCells count="1">
    <mergeCell ref="E1:M1"/>
  </mergeCells>
  <conditionalFormatting sqref="K113">
    <cfRule type="cellIs" dxfId="115" priority="3" operator="greaterThan">
      <formula>10000</formula>
    </cfRule>
  </conditionalFormatting>
  <conditionalFormatting sqref="K143">
    <cfRule type="cellIs" dxfId="114" priority="2" operator="greaterThan">
      <formula>10000</formula>
    </cfRule>
  </conditionalFormatting>
  <conditionalFormatting sqref="K173">
    <cfRule type="cellIs" dxfId="113" priority="1" operator="greaterThan">
      <formula>10000</formula>
    </cfRule>
  </conditionalFormatting>
  <conditionalFormatting sqref="K53">
    <cfRule type="cellIs" dxfId="112" priority="6" operator="greaterThan">
      <formula>10000</formula>
    </cfRule>
  </conditionalFormatting>
  <conditionalFormatting sqref="K83">
    <cfRule type="cellIs" dxfId="111" priority="5" operator="greaterThan">
      <formula>10000</formula>
    </cfRule>
  </conditionalFormatting>
  <conditionalFormatting sqref="K23">
    <cfRule type="cellIs" dxfId="110" priority="4" operator="greaterThan">
      <formula>10000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8" scale="78" fitToHeight="0" orientation="landscape" r:id="rId1"/>
  <headerFooter>
    <oddHeader>&amp;L&amp;"Calibri"&amp;10&amp;K000000Sensitivity - General&amp;1#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0">
    <tabColor rgb="FF0070C0"/>
    <pageSetUpPr fitToPage="1"/>
  </sheetPr>
  <dimension ref="A1:R558"/>
  <sheetViews>
    <sheetView zoomScale="112" zoomScaleNormal="112" zoomScalePageLayoutView="91" workbookViewId="0">
      <selection activeCell="M43" sqref="M43"/>
    </sheetView>
  </sheetViews>
  <sheetFormatPr defaultRowHeight="13.2"/>
  <cols>
    <col min="1" max="1" width="9.44140625" style="2" bestFit="1" customWidth="1"/>
    <col min="2" max="2" width="9.109375" style="2"/>
    <col min="3" max="3" width="12" style="2" bestFit="1" customWidth="1"/>
    <col min="4" max="6" width="9.109375" style="2"/>
    <col min="7" max="7" width="17.44140625" style="2" customWidth="1"/>
    <col min="8" max="8" width="17.33203125" style="2" customWidth="1"/>
    <col min="9" max="9" width="9.6640625" style="2" customWidth="1"/>
    <col min="10" max="10" width="12.6640625" style="2" customWidth="1"/>
    <col min="11" max="11" width="19.5546875" style="2" bestFit="1" customWidth="1"/>
    <col min="12" max="12" width="16.5546875" style="2" bestFit="1" customWidth="1"/>
    <col min="13" max="13" width="9.109375" style="2"/>
    <col min="14" max="14" width="16.44140625" style="2" customWidth="1"/>
    <col min="15" max="15" width="11.109375" style="2" customWidth="1"/>
    <col min="16" max="254" width="9.109375" style="2"/>
    <col min="255" max="255" width="9.44140625" style="2" bestFit="1" customWidth="1"/>
    <col min="256" max="256" width="9.109375" style="2"/>
    <col min="257" max="257" width="12" style="2" bestFit="1" customWidth="1"/>
    <col min="258" max="261" width="9.109375" style="2"/>
    <col min="262" max="262" width="17.33203125" style="2" customWidth="1"/>
    <col min="263" max="263" width="9.6640625" style="2" customWidth="1"/>
    <col min="264" max="264" width="12.6640625" style="2" customWidth="1"/>
    <col min="265" max="265" width="13.44140625" style="2" bestFit="1" customWidth="1"/>
    <col min="266" max="266" width="16.5546875" style="2" bestFit="1" customWidth="1"/>
    <col min="267" max="510" width="9.109375" style="2"/>
    <col min="511" max="511" width="9.44140625" style="2" bestFit="1" customWidth="1"/>
    <col min="512" max="512" width="9.109375" style="2"/>
    <col min="513" max="513" width="12" style="2" bestFit="1" customWidth="1"/>
    <col min="514" max="517" width="9.109375" style="2"/>
    <col min="518" max="518" width="17.33203125" style="2" customWidth="1"/>
    <col min="519" max="519" width="9.6640625" style="2" customWidth="1"/>
    <col min="520" max="520" width="12.6640625" style="2" customWidth="1"/>
    <col min="521" max="521" width="13.44140625" style="2" bestFit="1" customWidth="1"/>
    <col min="522" max="522" width="16.5546875" style="2" bestFit="1" customWidth="1"/>
    <col min="523" max="766" width="9.109375" style="2"/>
    <col min="767" max="767" width="9.44140625" style="2" bestFit="1" customWidth="1"/>
    <col min="768" max="768" width="9.109375" style="2"/>
    <col min="769" max="769" width="12" style="2" bestFit="1" customWidth="1"/>
    <col min="770" max="773" width="9.109375" style="2"/>
    <col min="774" max="774" width="17.33203125" style="2" customWidth="1"/>
    <col min="775" max="775" width="9.6640625" style="2" customWidth="1"/>
    <col min="776" max="776" width="12.6640625" style="2" customWidth="1"/>
    <col min="777" max="777" width="13.44140625" style="2" bestFit="1" customWidth="1"/>
    <col min="778" max="778" width="16.5546875" style="2" bestFit="1" customWidth="1"/>
    <col min="779" max="1022" width="9.109375" style="2"/>
    <col min="1023" max="1023" width="9.44140625" style="2" bestFit="1" customWidth="1"/>
    <col min="1024" max="1024" width="9.109375" style="2"/>
    <col min="1025" max="1025" width="12" style="2" bestFit="1" customWidth="1"/>
    <col min="1026" max="1029" width="9.109375" style="2"/>
    <col min="1030" max="1030" width="17.33203125" style="2" customWidth="1"/>
    <col min="1031" max="1031" width="9.6640625" style="2" customWidth="1"/>
    <col min="1032" max="1032" width="12.6640625" style="2" customWidth="1"/>
    <col min="1033" max="1033" width="13.44140625" style="2" bestFit="1" customWidth="1"/>
    <col min="1034" max="1034" width="16.5546875" style="2" bestFit="1" customWidth="1"/>
    <col min="1035" max="1278" width="9.109375" style="2"/>
    <col min="1279" max="1279" width="9.44140625" style="2" bestFit="1" customWidth="1"/>
    <col min="1280" max="1280" width="9.109375" style="2"/>
    <col min="1281" max="1281" width="12" style="2" bestFit="1" customWidth="1"/>
    <col min="1282" max="1285" width="9.109375" style="2"/>
    <col min="1286" max="1286" width="17.33203125" style="2" customWidth="1"/>
    <col min="1287" max="1287" width="9.6640625" style="2" customWidth="1"/>
    <col min="1288" max="1288" width="12.6640625" style="2" customWidth="1"/>
    <col min="1289" max="1289" width="13.44140625" style="2" bestFit="1" customWidth="1"/>
    <col min="1290" max="1290" width="16.5546875" style="2" bestFit="1" customWidth="1"/>
    <col min="1291" max="1534" width="9.109375" style="2"/>
    <col min="1535" max="1535" width="9.44140625" style="2" bestFit="1" customWidth="1"/>
    <col min="1536" max="1536" width="9.109375" style="2"/>
    <col min="1537" max="1537" width="12" style="2" bestFit="1" customWidth="1"/>
    <col min="1538" max="1541" width="9.109375" style="2"/>
    <col min="1542" max="1542" width="17.33203125" style="2" customWidth="1"/>
    <col min="1543" max="1543" width="9.6640625" style="2" customWidth="1"/>
    <col min="1544" max="1544" width="12.6640625" style="2" customWidth="1"/>
    <col min="1545" max="1545" width="13.44140625" style="2" bestFit="1" customWidth="1"/>
    <col min="1546" max="1546" width="16.5546875" style="2" bestFit="1" customWidth="1"/>
    <col min="1547" max="1790" width="9.109375" style="2"/>
    <col min="1791" max="1791" width="9.44140625" style="2" bestFit="1" customWidth="1"/>
    <col min="1792" max="1792" width="9.109375" style="2"/>
    <col min="1793" max="1793" width="12" style="2" bestFit="1" customWidth="1"/>
    <col min="1794" max="1797" width="9.109375" style="2"/>
    <col min="1798" max="1798" width="17.33203125" style="2" customWidth="1"/>
    <col min="1799" max="1799" width="9.6640625" style="2" customWidth="1"/>
    <col min="1800" max="1800" width="12.6640625" style="2" customWidth="1"/>
    <col min="1801" max="1801" width="13.44140625" style="2" bestFit="1" customWidth="1"/>
    <col min="1802" max="1802" width="16.5546875" style="2" bestFit="1" customWidth="1"/>
    <col min="1803" max="2046" width="9.109375" style="2"/>
    <col min="2047" max="2047" width="9.44140625" style="2" bestFit="1" customWidth="1"/>
    <col min="2048" max="2048" width="9.109375" style="2"/>
    <col min="2049" max="2049" width="12" style="2" bestFit="1" customWidth="1"/>
    <col min="2050" max="2053" width="9.109375" style="2"/>
    <col min="2054" max="2054" width="17.33203125" style="2" customWidth="1"/>
    <col min="2055" max="2055" width="9.6640625" style="2" customWidth="1"/>
    <col min="2056" max="2056" width="12.6640625" style="2" customWidth="1"/>
    <col min="2057" max="2057" width="13.44140625" style="2" bestFit="1" customWidth="1"/>
    <col min="2058" max="2058" width="16.5546875" style="2" bestFit="1" customWidth="1"/>
    <col min="2059" max="2302" width="9.109375" style="2"/>
    <col min="2303" max="2303" width="9.44140625" style="2" bestFit="1" customWidth="1"/>
    <col min="2304" max="2304" width="9.109375" style="2"/>
    <col min="2305" max="2305" width="12" style="2" bestFit="1" customWidth="1"/>
    <col min="2306" max="2309" width="9.109375" style="2"/>
    <col min="2310" max="2310" width="17.33203125" style="2" customWidth="1"/>
    <col min="2311" max="2311" width="9.6640625" style="2" customWidth="1"/>
    <col min="2312" max="2312" width="12.6640625" style="2" customWidth="1"/>
    <col min="2313" max="2313" width="13.44140625" style="2" bestFit="1" customWidth="1"/>
    <col min="2314" max="2314" width="16.5546875" style="2" bestFit="1" customWidth="1"/>
    <col min="2315" max="2558" width="9.109375" style="2"/>
    <col min="2559" max="2559" width="9.44140625" style="2" bestFit="1" customWidth="1"/>
    <col min="2560" max="2560" width="9.109375" style="2"/>
    <col min="2561" max="2561" width="12" style="2" bestFit="1" customWidth="1"/>
    <col min="2562" max="2565" width="9.109375" style="2"/>
    <col min="2566" max="2566" width="17.33203125" style="2" customWidth="1"/>
    <col min="2567" max="2567" width="9.6640625" style="2" customWidth="1"/>
    <col min="2568" max="2568" width="12.6640625" style="2" customWidth="1"/>
    <col min="2569" max="2569" width="13.44140625" style="2" bestFit="1" customWidth="1"/>
    <col min="2570" max="2570" width="16.5546875" style="2" bestFit="1" customWidth="1"/>
    <col min="2571" max="2814" width="9.109375" style="2"/>
    <col min="2815" max="2815" width="9.44140625" style="2" bestFit="1" customWidth="1"/>
    <col min="2816" max="2816" width="9.109375" style="2"/>
    <col min="2817" max="2817" width="12" style="2" bestFit="1" customWidth="1"/>
    <col min="2818" max="2821" width="9.109375" style="2"/>
    <col min="2822" max="2822" width="17.33203125" style="2" customWidth="1"/>
    <col min="2823" max="2823" width="9.6640625" style="2" customWidth="1"/>
    <col min="2824" max="2824" width="12.6640625" style="2" customWidth="1"/>
    <col min="2825" max="2825" width="13.44140625" style="2" bestFit="1" customWidth="1"/>
    <col min="2826" max="2826" width="16.5546875" style="2" bestFit="1" customWidth="1"/>
    <col min="2827" max="3070" width="9.109375" style="2"/>
    <col min="3071" max="3071" width="9.44140625" style="2" bestFit="1" customWidth="1"/>
    <col min="3072" max="3072" width="9.109375" style="2"/>
    <col min="3073" max="3073" width="12" style="2" bestFit="1" customWidth="1"/>
    <col min="3074" max="3077" width="9.109375" style="2"/>
    <col min="3078" max="3078" width="17.33203125" style="2" customWidth="1"/>
    <col min="3079" max="3079" width="9.6640625" style="2" customWidth="1"/>
    <col min="3080" max="3080" width="12.6640625" style="2" customWidth="1"/>
    <col min="3081" max="3081" width="13.44140625" style="2" bestFit="1" customWidth="1"/>
    <col min="3082" max="3082" width="16.5546875" style="2" bestFit="1" customWidth="1"/>
    <col min="3083" max="3326" width="9.109375" style="2"/>
    <col min="3327" max="3327" width="9.44140625" style="2" bestFit="1" customWidth="1"/>
    <col min="3328" max="3328" width="9.109375" style="2"/>
    <col min="3329" max="3329" width="12" style="2" bestFit="1" customWidth="1"/>
    <col min="3330" max="3333" width="9.109375" style="2"/>
    <col min="3334" max="3334" width="17.33203125" style="2" customWidth="1"/>
    <col min="3335" max="3335" width="9.6640625" style="2" customWidth="1"/>
    <col min="3336" max="3336" width="12.6640625" style="2" customWidth="1"/>
    <col min="3337" max="3337" width="13.44140625" style="2" bestFit="1" customWidth="1"/>
    <col min="3338" max="3338" width="16.5546875" style="2" bestFit="1" customWidth="1"/>
    <col min="3339" max="3582" width="9.109375" style="2"/>
    <col min="3583" max="3583" width="9.44140625" style="2" bestFit="1" customWidth="1"/>
    <col min="3584" max="3584" width="9.109375" style="2"/>
    <col min="3585" max="3585" width="12" style="2" bestFit="1" customWidth="1"/>
    <col min="3586" max="3589" width="9.109375" style="2"/>
    <col min="3590" max="3590" width="17.33203125" style="2" customWidth="1"/>
    <col min="3591" max="3591" width="9.6640625" style="2" customWidth="1"/>
    <col min="3592" max="3592" width="12.6640625" style="2" customWidth="1"/>
    <col min="3593" max="3593" width="13.44140625" style="2" bestFit="1" customWidth="1"/>
    <col min="3594" max="3594" width="16.5546875" style="2" bestFit="1" customWidth="1"/>
    <col min="3595" max="3838" width="9.109375" style="2"/>
    <col min="3839" max="3839" width="9.44140625" style="2" bestFit="1" customWidth="1"/>
    <col min="3840" max="3840" width="9.109375" style="2"/>
    <col min="3841" max="3841" width="12" style="2" bestFit="1" customWidth="1"/>
    <col min="3842" max="3845" width="9.109375" style="2"/>
    <col min="3846" max="3846" width="17.33203125" style="2" customWidth="1"/>
    <col min="3847" max="3847" width="9.6640625" style="2" customWidth="1"/>
    <col min="3848" max="3848" width="12.6640625" style="2" customWidth="1"/>
    <col min="3849" max="3849" width="13.44140625" style="2" bestFit="1" customWidth="1"/>
    <col min="3850" max="3850" width="16.5546875" style="2" bestFit="1" customWidth="1"/>
    <col min="3851" max="4094" width="9.109375" style="2"/>
    <col min="4095" max="4095" width="9.44140625" style="2" bestFit="1" customWidth="1"/>
    <col min="4096" max="4096" width="9.109375" style="2"/>
    <col min="4097" max="4097" width="12" style="2" bestFit="1" customWidth="1"/>
    <col min="4098" max="4101" width="9.109375" style="2"/>
    <col min="4102" max="4102" width="17.33203125" style="2" customWidth="1"/>
    <col min="4103" max="4103" width="9.6640625" style="2" customWidth="1"/>
    <col min="4104" max="4104" width="12.6640625" style="2" customWidth="1"/>
    <col min="4105" max="4105" width="13.44140625" style="2" bestFit="1" customWidth="1"/>
    <col min="4106" max="4106" width="16.5546875" style="2" bestFit="1" customWidth="1"/>
    <col min="4107" max="4350" width="9.109375" style="2"/>
    <col min="4351" max="4351" width="9.44140625" style="2" bestFit="1" customWidth="1"/>
    <col min="4352" max="4352" width="9.109375" style="2"/>
    <col min="4353" max="4353" width="12" style="2" bestFit="1" customWidth="1"/>
    <col min="4354" max="4357" width="9.109375" style="2"/>
    <col min="4358" max="4358" width="17.33203125" style="2" customWidth="1"/>
    <col min="4359" max="4359" width="9.6640625" style="2" customWidth="1"/>
    <col min="4360" max="4360" width="12.6640625" style="2" customWidth="1"/>
    <col min="4361" max="4361" width="13.44140625" style="2" bestFit="1" customWidth="1"/>
    <col min="4362" max="4362" width="16.5546875" style="2" bestFit="1" customWidth="1"/>
    <col min="4363" max="4606" width="9.109375" style="2"/>
    <col min="4607" max="4607" width="9.44140625" style="2" bestFit="1" customWidth="1"/>
    <col min="4608" max="4608" width="9.109375" style="2"/>
    <col min="4609" max="4609" width="12" style="2" bestFit="1" customWidth="1"/>
    <col min="4610" max="4613" width="9.109375" style="2"/>
    <col min="4614" max="4614" width="17.33203125" style="2" customWidth="1"/>
    <col min="4615" max="4615" width="9.6640625" style="2" customWidth="1"/>
    <col min="4616" max="4616" width="12.6640625" style="2" customWidth="1"/>
    <col min="4617" max="4617" width="13.44140625" style="2" bestFit="1" customWidth="1"/>
    <col min="4618" max="4618" width="16.5546875" style="2" bestFit="1" customWidth="1"/>
    <col min="4619" max="4862" width="9.109375" style="2"/>
    <col min="4863" max="4863" width="9.44140625" style="2" bestFit="1" customWidth="1"/>
    <col min="4864" max="4864" width="9.109375" style="2"/>
    <col min="4865" max="4865" width="12" style="2" bestFit="1" customWidth="1"/>
    <col min="4866" max="4869" width="9.109375" style="2"/>
    <col min="4870" max="4870" width="17.33203125" style="2" customWidth="1"/>
    <col min="4871" max="4871" width="9.6640625" style="2" customWidth="1"/>
    <col min="4872" max="4872" width="12.6640625" style="2" customWidth="1"/>
    <col min="4873" max="4873" width="13.44140625" style="2" bestFit="1" customWidth="1"/>
    <col min="4874" max="4874" width="16.5546875" style="2" bestFit="1" customWidth="1"/>
    <col min="4875" max="5118" width="9.109375" style="2"/>
    <col min="5119" max="5119" width="9.44140625" style="2" bestFit="1" customWidth="1"/>
    <col min="5120" max="5120" width="9.109375" style="2"/>
    <col min="5121" max="5121" width="12" style="2" bestFit="1" customWidth="1"/>
    <col min="5122" max="5125" width="9.109375" style="2"/>
    <col min="5126" max="5126" width="17.33203125" style="2" customWidth="1"/>
    <col min="5127" max="5127" width="9.6640625" style="2" customWidth="1"/>
    <col min="5128" max="5128" width="12.6640625" style="2" customWidth="1"/>
    <col min="5129" max="5129" width="13.44140625" style="2" bestFit="1" customWidth="1"/>
    <col min="5130" max="5130" width="16.5546875" style="2" bestFit="1" customWidth="1"/>
    <col min="5131" max="5374" width="9.109375" style="2"/>
    <col min="5375" max="5375" width="9.44140625" style="2" bestFit="1" customWidth="1"/>
    <col min="5376" max="5376" width="9.109375" style="2"/>
    <col min="5377" max="5377" width="12" style="2" bestFit="1" customWidth="1"/>
    <col min="5378" max="5381" width="9.109375" style="2"/>
    <col min="5382" max="5382" width="17.33203125" style="2" customWidth="1"/>
    <col min="5383" max="5383" width="9.6640625" style="2" customWidth="1"/>
    <col min="5384" max="5384" width="12.6640625" style="2" customWidth="1"/>
    <col min="5385" max="5385" width="13.44140625" style="2" bestFit="1" customWidth="1"/>
    <col min="5386" max="5386" width="16.5546875" style="2" bestFit="1" customWidth="1"/>
    <col min="5387" max="5630" width="9.109375" style="2"/>
    <col min="5631" max="5631" width="9.44140625" style="2" bestFit="1" customWidth="1"/>
    <col min="5632" max="5632" width="9.109375" style="2"/>
    <col min="5633" max="5633" width="12" style="2" bestFit="1" customWidth="1"/>
    <col min="5634" max="5637" width="9.109375" style="2"/>
    <col min="5638" max="5638" width="17.33203125" style="2" customWidth="1"/>
    <col min="5639" max="5639" width="9.6640625" style="2" customWidth="1"/>
    <col min="5640" max="5640" width="12.6640625" style="2" customWidth="1"/>
    <col min="5641" max="5641" width="13.44140625" style="2" bestFit="1" customWidth="1"/>
    <col min="5642" max="5642" width="16.5546875" style="2" bestFit="1" customWidth="1"/>
    <col min="5643" max="5886" width="9.109375" style="2"/>
    <col min="5887" max="5887" width="9.44140625" style="2" bestFit="1" customWidth="1"/>
    <col min="5888" max="5888" width="9.109375" style="2"/>
    <col min="5889" max="5889" width="12" style="2" bestFit="1" customWidth="1"/>
    <col min="5890" max="5893" width="9.109375" style="2"/>
    <col min="5894" max="5894" width="17.33203125" style="2" customWidth="1"/>
    <col min="5895" max="5895" width="9.6640625" style="2" customWidth="1"/>
    <col min="5896" max="5896" width="12.6640625" style="2" customWidth="1"/>
    <col min="5897" max="5897" width="13.44140625" style="2" bestFit="1" customWidth="1"/>
    <col min="5898" max="5898" width="16.5546875" style="2" bestFit="1" customWidth="1"/>
    <col min="5899" max="6142" width="9.109375" style="2"/>
    <col min="6143" max="6143" width="9.44140625" style="2" bestFit="1" customWidth="1"/>
    <col min="6144" max="6144" width="9.109375" style="2"/>
    <col min="6145" max="6145" width="12" style="2" bestFit="1" customWidth="1"/>
    <col min="6146" max="6149" width="9.109375" style="2"/>
    <col min="6150" max="6150" width="17.33203125" style="2" customWidth="1"/>
    <col min="6151" max="6151" width="9.6640625" style="2" customWidth="1"/>
    <col min="6152" max="6152" width="12.6640625" style="2" customWidth="1"/>
    <col min="6153" max="6153" width="13.44140625" style="2" bestFit="1" customWidth="1"/>
    <col min="6154" max="6154" width="16.5546875" style="2" bestFit="1" customWidth="1"/>
    <col min="6155" max="6398" width="9.109375" style="2"/>
    <col min="6399" max="6399" width="9.44140625" style="2" bestFit="1" customWidth="1"/>
    <col min="6400" max="6400" width="9.109375" style="2"/>
    <col min="6401" max="6401" width="12" style="2" bestFit="1" customWidth="1"/>
    <col min="6402" max="6405" width="9.109375" style="2"/>
    <col min="6406" max="6406" width="17.33203125" style="2" customWidth="1"/>
    <col min="6407" max="6407" width="9.6640625" style="2" customWidth="1"/>
    <col min="6408" max="6408" width="12.6640625" style="2" customWidth="1"/>
    <col min="6409" max="6409" width="13.44140625" style="2" bestFit="1" customWidth="1"/>
    <col min="6410" max="6410" width="16.5546875" style="2" bestFit="1" customWidth="1"/>
    <col min="6411" max="6654" width="9.109375" style="2"/>
    <col min="6655" max="6655" width="9.44140625" style="2" bestFit="1" customWidth="1"/>
    <col min="6656" max="6656" width="9.109375" style="2"/>
    <col min="6657" max="6657" width="12" style="2" bestFit="1" customWidth="1"/>
    <col min="6658" max="6661" width="9.109375" style="2"/>
    <col min="6662" max="6662" width="17.33203125" style="2" customWidth="1"/>
    <col min="6663" max="6663" width="9.6640625" style="2" customWidth="1"/>
    <col min="6664" max="6664" width="12.6640625" style="2" customWidth="1"/>
    <col min="6665" max="6665" width="13.44140625" style="2" bestFit="1" customWidth="1"/>
    <col min="6666" max="6666" width="16.5546875" style="2" bestFit="1" customWidth="1"/>
    <col min="6667" max="6910" width="9.109375" style="2"/>
    <col min="6911" max="6911" width="9.44140625" style="2" bestFit="1" customWidth="1"/>
    <col min="6912" max="6912" width="9.109375" style="2"/>
    <col min="6913" max="6913" width="12" style="2" bestFit="1" customWidth="1"/>
    <col min="6914" max="6917" width="9.109375" style="2"/>
    <col min="6918" max="6918" width="17.33203125" style="2" customWidth="1"/>
    <col min="6919" max="6919" width="9.6640625" style="2" customWidth="1"/>
    <col min="6920" max="6920" width="12.6640625" style="2" customWidth="1"/>
    <col min="6921" max="6921" width="13.44140625" style="2" bestFit="1" customWidth="1"/>
    <col min="6922" max="6922" width="16.5546875" style="2" bestFit="1" customWidth="1"/>
    <col min="6923" max="7166" width="9.109375" style="2"/>
    <col min="7167" max="7167" width="9.44140625" style="2" bestFit="1" customWidth="1"/>
    <col min="7168" max="7168" width="9.109375" style="2"/>
    <col min="7169" max="7169" width="12" style="2" bestFit="1" customWidth="1"/>
    <col min="7170" max="7173" width="9.109375" style="2"/>
    <col min="7174" max="7174" width="17.33203125" style="2" customWidth="1"/>
    <col min="7175" max="7175" width="9.6640625" style="2" customWidth="1"/>
    <col min="7176" max="7176" width="12.6640625" style="2" customWidth="1"/>
    <col min="7177" max="7177" width="13.44140625" style="2" bestFit="1" customWidth="1"/>
    <col min="7178" max="7178" width="16.5546875" style="2" bestFit="1" customWidth="1"/>
    <col min="7179" max="7422" width="9.109375" style="2"/>
    <col min="7423" max="7423" width="9.44140625" style="2" bestFit="1" customWidth="1"/>
    <col min="7424" max="7424" width="9.109375" style="2"/>
    <col min="7425" max="7425" width="12" style="2" bestFit="1" customWidth="1"/>
    <col min="7426" max="7429" width="9.109375" style="2"/>
    <col min="7430" max="7430" width="17.33203125" style="2" customWidth="1"/>
    <col min="7431" max="7431" width="9.6640625" style="2" customWidth="1"/>
    <col min="7432" max="7432" width="12.6640625" style="2" customWidth="1"/>
    <col min="7433" max="7433" width="13.44140625" style="2" bestFit="1" customWidth="1"/>
    <col min="7434" max="7434" width="16.5546875" style="2" bestFit="1" customWidth="1"/>
    <col min="7435" max="7678" width="9.109375" style="2"/>
    <col min="7679" max="7679" width="9.44140625" style="2" bestFit="1" customWidth="1"/>
    <col min="7680" max="7680" width="9.109375" style="2"/>
    <col min="7681" max="7681" width="12" style="2" bestFit="1" customWidth="1"/>
    <col min="7682" max="7685" width="9.109375" style="2"/>
    <col min="7686" max="7686" width="17.33203125" style="2" customWidth="1"/>
    <col min="7687" max="7687" width="9.6640625" style="2" customWidth="1"/>
    <col min="7688" max="7688" width="12.6640625" style="2" customWidth="1"/>
    <col min="7689" max="7689" width="13.44140625" style="2" bestFit="1" customWidth="1"/>
    <col min="7690" max="7690" width="16.5546875" style="2" bestFit="1" customWidth="1"/>
    <col min="7691" max="7934" width="9.109375" style="2"/>
    <col min="7935" max="7935" width="9.44140625" style="2" bestFit="1" customWidth="1"/>
    <col min="7936" max="7936" width="9.109375" style="2"/>
    <col min="7937" max="7937" width="12" style="2" bestFit="1" customWidth="1"/>
    <col min="7938" max="7941" width="9.109375" style="2"/>
    <col min="7942" max="7942" width="17.33203125" style="2" customWidth="1"/>
    <col min="7943" max="7943" width="9.6640625" style="2" customWidth="1"/>
    <col min="7944" max="7944" width="12.6640625" style="2" customWidth="1"/>
    <col min="7945" max="7945" width="13.44140625" style="2" bestFit="1" customWidth="1"/>
    <col min="7946" max="7946" width="16.5546875" style="2" bestFit="1" customWidth="1"/>
    <col min="7947" max="8190" width="9.109375" style="2"/>
    <col min="8191" max="8191" width="9.44140625" style="2" bestFit="1" customWidth="1"/>
    <col min="8192" max="8192" width="9.109375" style="2"/>
    <col min="8193" max="8193" width="12" style="2" bestFit="1" customWidth="1"/>
    <col min="8194" max="8197" width="9.109375" style="2"/>
    <col min="8198" max="8198" width="17.33203125" style="2" customWidth="1"/>
    <col min="8199" max="8199" width="9.6640625" style="2" customWidth="1"/>
    <col min="8200" max="8200" width="12.6640625" style="2" customWidth="1"/>
    <col min="8201" max="8201" width="13.44140625" style="2" bestFit="1" customWidth="1"/>
    <col min="8202" max="8202" width="16.5546875" style="2" bestFit="1" customWidth="1"/>
    <col min="8203" max="8446" width="9.109375" style="2"/>
    <col min="8447" max="8447" width="9.44140625" style="2" bestFit="1" customWidth="1"/>
    <col min="8448" max="8448" width="9.109375" style="2"/>
    <col min="8449" max="8449" width="12" style="2" bestFit="1" customWidth="1"/>
    <col min="8450" max="8453" width="9.109375" style="2"/>
    <col min="8454" max="8454" width="17.33203125" style="2" customWidth="1"/>
    <col min="8455" max="8455" width="9.6640625" style="2" customWidth="1"/>
    <col min="8456" max="8456" width="12.6640625" style="2" customWidth="1"/>
    <col min="8457" max="8457" width="13.44140625" style="2" bestFit="1" customWidth="1"/>
    <col min="8458" max="8458" width="16.5546875" style="2" bestFit="1" customWidth="1"/>
    <col min="8459" max="8702" width="9.109375" style="2"/>
    <col min="8703" max="8703" width="9.44140625" style="2" bestFit="1" customWidth="1"/>
    <col min="8704" max="8704" width="9.109375" style="2"/>
    <col min="8705" max="8705" width="12" style="2" bestFit="1" customWidth="1"/>
    <col min="8706" max="8709" width="9.109375" style="2"/>
    <col min="8710" max="8710" width="17.33203125" style="2" customWidth="1"/>
    <col min="8711" max="8711" width="9.6640625" style="2" customWidth="1"/>
    <col min="8712" max="8712" width="12.6640625" style="2" customWidth="1"/>
    <col min="8713" max="8713" width="13.44140625" style="2" bestFit="1" customWidth="1"/>
    <col min="8714" max="8714" width="16.5546875" style="2" bestFit="1" customWidth="1"/>
    <col min="8715" max="8958" width="9.109375" style="2"/>
    <col min="8959" max="8959" width="9.44140625" style="2" bestFit="1" customWidth="1"/>
    <col min="8960" max="8960" width="9.109375" style="2"/>
    <col min="8961" max="8961" width="12" style="2" bestFit="1" customWidth="1"/>
    <col min="8962" max="8965" width="9.109375" style="2"/>
    <col min="8966" max="8966" width="17.33203125" style="2" customWidth="1"/>
    <col min="8967" max="8967" width="9.6640625" style="2" customWidth="1"/>
    <col min="8968" max="8968" width="12.6640625" style="2" customWidth="1"/>
    <col min="8969" max="8969" width="13.44140625" style="2" bestFit="1" customWidth="1"/>
    <col min="8970" max="8970" width="16.5546875" style="2" bestFit="1" customWidth="1"/>
    <col min="8971" max="9214" width="9.109375" style="2"/>
    <col min="9215" max="9215" width="9.44140625" style="2" bestFit="1" customWidth="1"/>
    <col min="9216" max="9216" width="9.109375" style="2"/>
    <col min="9217" max="9217" width="12" style="2" bestFit="1" customWidth="1"/>
    <col min="9218" max="9221" width="9.109375" style="2"/>
    <col min="9222" max="9222" width="17.33203125" style="2" customWidth="1"/>
    <col min="9223" max="9223" width="9.6640625" style="2" customWidth="1"/>
    <col min="9224" max="9224" width="12.6640625" style="2" customWidth="1"/>
    <col min="9225" max="9225" width="13.44140625" style="2" bestFit="1" customWidth="1"/>
    <col min="9226" max="9226" width="16.5546875" style="2" bestFit="1" customWidth="1"/>
    <col min="9227" max="9470" width="9.109375" style="2"/>
    <col min="9471" max="9471" width="9.44140625" style="2" bestFit="1" customWidth="1"/>
    <col min="9472" max="9472" width="9.109375" style="2"/>
    <col min="9473" max="9473" width="12" style="2" bestFit="1" customWidth="1"/>
    <col min="9474" max="9477" width="9.109375" style="2"/>
    <col min="9478" max="9478" width="17.33203125" style="2" customWidth="1"/>
    <col min="9479" max="9479" width="9.6640625" style="2" customWidth="1"/>
    <col min="9480" max="9480" width="12.6640625" style="2" customWidth="1"/>
    <col min="9481" max="9481" width="13.44140625" style="2" bestFit="1" customWidth="1"/>
    <col min="9482" max="9482" width="16.5546875" style="2" bestFit="1" customWidth="1"/>
    <col min="9483" max="9726" width="9.109375" style="2"/>
    <col min="9727" max="9727" width="9.44140625" style="2" bestFit="1" customWidth="1"/>
    <col min="9728" max="9728" width="9.109375" style="2"/>
    <col min="9729" max="9729" width="12" style="2" bestFit="1" customWidth="1"/>
    <col min="9730" max="9733" width="9.109375" style="2"/>
    <col min="9734" max="9734" width="17.33203125" style="2" customWidth="1"/>
    <col min="9735" max="9735" width="9.6640625" style="2" customWidth="1"/>
    <col min="9736" max="9736" width="12.6640625" style="2" customWidth="1"/>
    <col min="9737" max="9737" width="13.44140625" style="2" bestFit="1" customWidth="1"/>
    <col min="9738" max="9738" width="16.5546875" style="2" bestFit="1" customWidth="1"/>
    <col min="9739" max="9982" width="9.109375" style="2"/>
    <col min="9983" max="9983" width="9.44140625" style="2" bestFit="1" customWidth="1"/>
    <col min="9984" max="9984" width="9.109375" style="2"/>
    <col min="9985" max="9985" width="12" style="2" bestFit="1" customWidth="1"/>
    <col min="9986" max="9989" width="9.109375" style="2"/>
    <col min="9990" max="9990" width="17.33203125" style="2" customWidth="1"/>
    <col min="9991" max="9991" width="9.6640625" style="2" customWidth="1"/>
    <col min="9992" max="9992" width="12.6640625" style="2" customWidth="1"/>
    <col min="9993" max="9993" width="13.44140625" style="2" bestFit="1" customWidth="1"/>
    <col min="9994" max="9994" width="16.5546875" style="2" bestFit="1" customWidth="1"/>
    <col min="9995" max="10238" width="9.109375" style="2"/>
    <col min="10239" max="10239" width="9.44140625" style="2" bestFit="1" customWidth="1"/>
    <col min="10240" max="10240" width="9.109375" style="2"/>
    <col min="10241" max="10241" width="12" style="2" bestFit="1" customWidth="1"/>
    <col min="10242" max="10245" width="9.109375" style="2"/>
    <col min="10246" max="10246" width="17.33203125" style="2" customWidth="1"/>
    <col min="10247" max="10247" width="9.6640625" style="2" customWidth="1"/>
    <col min="10248" max="10248" width="12.6640625" style="2" customWidth="1"/>
    <col min="10249" max="10249" width="13.44140625" style="2" bestFit="1" customWidth="1"/>
    <col min="10250" max="10250" width="16.5546875" style="2" bestFit="1" customWidth="1"/>
    <col min="10251" max="10494" width="9.109375" style="2"/>
    <col min="10495" max="10495" width="9.44140625" style="2" bestFit="1" customWidth="1"/>
    <col min="10496" max="10496" width="9.109375" style="2"/>
    <col min="10497" max="10497" width="12" style="2" bestFit="1" customWidth="1"/>
    <col min="10498" max="10501" width="9.109375" style="2"/>
    <col min="10502" max="10502" width="17.33203125" style="2" customWidth="1"/>
    <col min="10503" max="10503" width="9.6640625" style="2" customWidth="1"/>
    <col min="10504" max="10504" width="12.6640625" style="2" customWidth="1"/>
    <col min="10505" max="10505" width="13.44140625" style="2" bestFit="1" customWidth="1"/>
    <col min="10506" max="10506" width="16.5546875" style="2" bestFit="1" customWidth="1"/>
    <col min="10507" max="10750" width="9.109375" style="2"/>
    <col min="10751" max="10751" width="9.44140625" style="2" bestFit="1" customWidth="1"/>
    <col min="10752" max="10752" width="9.109375" style="2"/>
    <col min="10753" max="10753" width="12" style="2" bestFit="1" customWidth="1"/>
    <col min="10754" max="10757" width="9.109375" style="2"/>
    <col min="10758" max="10758" width="17.33203125" style="2" customWidth="1"/>
    <col min="10759" max="10759" width="9.6640625" style="2" customWidth="1"/>
    <col min="10760" max="10760" width="12.6640625" style="2" customWidth="1"/>
    <col min="10761" max="10761" width="13.44140625" style="2" bestFit="1" customWidth="1"/>
    <col min="10762" max="10762" width="16.5546875" style="2" bestFit="1" customWidth="1"/>
    <col min="10763" max="11006" width="9.109375" style="2"/>
    <col min="11007" max="11007" width="9.44140625" style="2" bestFit="1" customWidth="1"/>
    <col min="11008" max="11008" width="9.109375" style="2"/>
    <col min="11009" max="11009" width="12" style="2" bestFit="1" customWidth="1"/>
    <col min="11010" max="11013" width="9.109375" style="2"/>
    <col min="11014" max="11014" width="17.33203125" style="2" customWidth="1"/>
    <col min="11015" max="11015" width="9.6640625" style="2" customWidth="1"/>
    <col min="11016" max="11016" width="12.6640625" style="2" customWidth="1"/>
    <col min="11017" max="11017" width="13.44140625" style="2" bestFit="1" customWidth="1"/>
    <col min="11018" max="11018" width="16.5546875" style="2" bestFit="1" customWidth="1"/>
    <col min="11019" max="11262" width="9.109375" style="2"/>
    <col min="11263" max="11263" width="9.44140625" style="2" bestFit="1" customWidth="1"/>
    <col min="11264" max="11264" width="9.109375" style="2"/>
    <col min="11265" max="11265" width="12" style="2" bestFit="1" customWidth="1"/>
    <col min="11266" max="11269" width="9.109375" style="2"/>
    <col min="11270" max="11270" width="17.33203125" style="2" customWidth="1"/>
    <col min="11271" max="11271" width="9.6640625" style="2" customWidth="1"/>
    <col min="11272" max="11272" width="12.6640625" style="2" customWidth="1"/>
    <col min="11273" max="11273" width="13.44140625" style="2" bestFit="1" customWidth="1"/>
    <col min="11274" max="11274" width="16.5546875" style="2" bestFit="1" customWidth="1"/>
    <col min="11275" max="11518" width="9.109375" style="2"/>
    <col min="11519" max="11519" width="9.44140625" style="2" bestFit="1" customWidth="1"/>
    <col min="11520" max="11520" width="9.109375" style="2"/>
    <col min="11521" max="11521" width="12" style="2" bestFit="1" customWidth="1"/>
    <col min="11522" max="11525" width="9.109375" style="2"/>
    <col min="11526" max="11526" width="17.33203125" style="2" customWidth="1"/>
    <col min="11527" max="11527" width="9.6640625" style="2" customWidth="1"/>
    <col min="11528" max="11528" width="12.6640625" style="2" customWidth="1"/>
    <col min="11529" max="11529" width="13.44140625" style="2" bestFit="1" customWidth="1"/>
    <col min="11530" max="11530" width="16.5546875" style="2" bestFit="1" customWidth="1"/>
    <col min="11531" max="11774" width="9.109375" style="2"/>
    <col min="11775" max="11775" width="9.44140625" style="2" bestFit="1" customWidth="1"/>
    <col min="11776" max="11776" width="9.109375" style="2"/>
    <col min="11777" max="11777" width="12" style="2" bestFit="1" customWidth="1"/>
    <col min="11778" max="11781" width="9.109375" style="2"/>
    <col min="11782" max="11782" width="17.33203125" style="2" customWidth="1"/>
    <col min="11783" max="11783" width="9.6640625" style="2" customWidth="1"/>
    <col min="11784" max="11784" width="12.6640625" style="2" customWidth="1"/>
    <col min="11785" max="11785" width="13.44140625" style="2" bestFit="1" customWidth="1"/>
    <col min="11786" max="11786" width="16.5546875" style="2" bestFit="1" customWidth="1"/>
    <col min="11787" max="12030" width="9.109375" style="2"/>
    <col min="12031" max="12031" width="9.44140625" style="2" bestFit="1" customWidth="1"/>
    <col min="12032" max="12032" width="9.109375" style="2"/>
    <col min="12033" max="12033" width="12" style="2" bestFit="1" customWidth="1"/>
    <col min="12034" max="12037" width="9.109375" style="2"/>
    <col min="12038" max="12038" width="17.33203125" style="2" customWidth="1"/>
    <col min="12039" max="12039" width="9.6640625" style="2" customWidth="1"/>
    <col min="12040" max="12040" width="12.6640625" style="2" customWidth="1"/>
    <col min="12041" max="12041" width="13.44140625" style="2" bestFit="1" customWidth="1"/>
    <col min="12042" max="12042" width="16.5546875" style="2" bestFit="1" customWidth="1"/>
    <col min="12043" max="12286" width="9.109375" style="2"/>
    <col min="12287" max="12287" width="9.44140625" style="2" bestFit="1" customWidth="1"/>
    <col min="12288" max="12288" width="9.109375" style="2"/>
    <col min="12289" max="12289" width="12" style="2" bestFit="1" customWidth="1"/>
    <col min="12290" max="12293" width="9.109375" style="2"/>
    <col min="12294" max="12294" width="17.33203125" style="2" customWidth="1"/>
    <col min="12295" max="12295" width="9.6640625" style="2" customWidth="1"/>
    <col min="12296" max="12296" width="12.6640625" style="2" customWidth="1"/>
    <col min="12297" max="12297" width="13.44140625" style="2" bestFit="1" customWidth="1"/>
    <col min="12298" max="12298" width="16.5546875" style="2" bestFit="1" customWidth="1"/>
    <col min="12299" max="12542" width="9.109375" style="2"/>
    <col min="12543" max="12543" width="9.44140625" style="2" bestFit="1" customWidth="1"/>
    <col min="12544" max="12544" width="9.109375" style="2"/>
    <col min="12545" max="12545" width="12" style="2" bestFit="1" customWidth="1"/>
    <col min="12546" max="12549" width="9.109375" style="2"/>
    <col min="12550" max="12550" width="17.33203125" style="2" customWidth="1"/>
    <col min="12551" max="12551" width="9.6640625" style="2" customWidth="1"/>
    <col min="12552" max="12552" width="12.6640625" style="2" customWidth="1"/>
    <col min="12553" max="12553" width="13.44140625" style="2" bestFit="1" customWidth="1"/>
    <col min="12554" max="12554" width="16.5546875" style="2" bestFit="1" customWidth="1"/>
    <col min="12555" max="12798" width="9.109375" style="2"/>
    <col min="12799" max="12799" width="9.44140625" style="2" bestFit="1" customWidth="1"/>
    <col min="12800" max="12800" width="9.109375" style="2"/>
    <col min="12801" max="12801" width="12" style="2" bestFit="1" customWidth="1"/>
    <col min="12802" max="12805" width="9.109375" style="2"/>
    <col min="12806" max="12806" width="17.33203125" style="2" customWidth="1"/>
    <col min="12807" max="12807" width="9.6640625" style="2" customWidth="1"/>
    <col min="12808" max="12808" width="12.6640625" style="2" customWidth="1"/>
    <col min="12809" max="12809" width="13.44140625" style="2" bestFit="1" customWidth="1"/>
    <col min="12810" max="12810" width="16.5546875" style="2" bestFit="1" customWidth="1"/>
    <col min="12811" max="13054" width="9.109375" style="2"/>
    <col min="13055" max="13055" width="9.44140625" style="2" bestFit="1" customWidth="1"/>
    <col min="13056" max="13056" width="9.109375" style="2"/>
    <col min="13057" max="13057" width="12" style="2" bestFit="1" customWidth="1"/>
    <col min="13058" max="13061" width="9.109375" style="2"/>
    <col min="13062" max="13062" width="17.33203125" style="2" customWidth="1"/>
    <col min="13063" max="13063" width="9.6640625" style="2" customWidth="1"/>
    <col min="13064" max="13064" width="12.6640625" style="2" customWidth="1"/>
    <col min="13065" max="13065" width="13.44140625" style="2" bestFit="1" customWidth="1"/>
    <col min="13066" max="13066" width="16.5546875" style="2" bestFit="1" customWidth="1"/>
    <col min="13067" max="13310" width="9.109375" style="2"/>
    <col min="13311" max="13311" width="9.44140625" style="2" bestFit="1" customWidth="1"/>
    <col min="13312" max="13312" width="9.109375" style="2"/>
    <col min="13313" max="13313" width="12" style="2" bestFit="1" customWidth="1"/>
    <col min="13314" max="13317" width="9.109375" style="2"/>
    <col min="13318" max="13318" width="17.33203125" style="2" customWidth="1"/>
    <col min="13319" max="13319" width="9.6640625" style="2" customWidth="1"/>
    <col min="13320" max="13320" width="12.6640625" style="2" customWidth="1"/>
    <col min="13321" max="13321" width="13.44140625" style="2" bestFit="1" customWidth="1"/>
    <col min="13322" max="13322" width="16.5546875" style="2" bestFit="1" customWidth="1"/>
    <col min="13323" max="13566" width="9.109375" style="2"/>
    <col min="13567" max="13567" width="9.44140625" style="2" bestFit="1" customWidth="1"/>
    <col min="13568" max="13568" width="9.109375" style="2"/>
    <col min="13569" max="13569" width="12" style="2" bestFit="1" customWidth="1"/>
    <col min="13570" max="13573" width="9.109375" style="2"/>
    <col min="13574" max="13574" width="17.33203125" style="2" customWidth="1"/>
    <col min="13575" max="13575" width="9.6640625" style="2" customWidth="1"/>
    <col min="13576" max="13576" width="12.6640625" style="2" customWidth="1"/>
    <col min="13577" max="13577" width="13.44140625" style="2" bestFit="1" customWidth="1"/>
    <col min="13578" max="13578" width="16.5546875" style="2" bestFit="1" customWidth="1"/>
    <col min="13579" max="13822" width="9.109375" style="2"/>
    <col min="13823" max="13823" width="9.44140625" style="2" bestFit="1" customWidth="1"/>
    <col min="13824" max="13824" width="9.109375" style="2"/>
    <col min="13825" max="13825" width="12" style="2" bestFit="1" customWidth="1"/>
    <col min="13826" max="13829" width="9.109375" style="2"/>
    <col min="13830" max="13830" width="17.33203125" style="2" customWidth="1"/>
    <col min="13831" max="13831" width="9.6640625" style="2" customWidth="1"/>
    <col min="13832" max="13832" width="12.6640625" style="2" customWidth="1"/>
    <col min="13833" max="13833" width="13.44140625" style="2" bestFit="1" customWidth="1"/>
    <col min="13834" max="13834" width="16.5546875" style="2" bestFit="1" customWidth="1"/>
    <col min="13835" max="14078" width="9.109375" style="2"/>
    <col min="14079" max="14079" width="9.44140625" style="2" bestFit="1" customWidth="1"/>
    <col min="14080" max="14080" width="9.109375" style="2"/>
    <col min="14081" max="14081" width="12" style="2" bestFit="1" customWidth="1"/>
    <col min="14082" max="14085" width="9.109375" style="2"/>
    <col min="14086" max="14086" width="17.33203125" style="2" customWidth="1"/>
    <col min="14087" max="14087" width="9.6640625" style="2" customWidth="1"/>
    <col min="14088" max="14088" width="12.6640625" style="2" customWidth="1"/>
    <col min="14089" max="14089" width="13.44140625" style="2" bestFit="1" customWidth="1"/>
    <col min="14090" max="14090" width="16.5546875" style="2" bestFit="1" customWidth="1"/>
    <col min="14091" max="14334" width="9.109375" style="2"/>
    <col min="14335" max="14335" width="9.44140625" style="2" bestFit="1" customWidth="1"/>
    <col min="14336" max="14336" width="9.109375" style="2"/>
    <col min="14337" max="14337" width="12" style="2" bestFit="1" customWidth="1"/>
    <col min="14338" max="14341" width="9.109375" style="2"/>
    <col min="14342" max="14342" width="17.33203125" style="2" customWidth="1"/>
    <col min="14343" max="14343" width="9.6640625" style="2" customWidth="1"/>
    <col min="14344" max="14344" width="12.6640625" style="2" customWidth="1"/>
    <col min="14345" max="14345" width="13.44140625" style="2" bestFit="1" customWidth="1"/>
    <col min="14346" max="14346" width="16.5546875" style="2" bestFit="1" customWidth="1"/>
    <col min="14347" max="14590" width="9.109375" style="2"/>
    <col min="14591" max="14591" width="9.44140625" style="2" bestFit="1" customWidth="1"/>
    <col min="14592" max="14592" width="9.109375" style="2"/>
    <col min="14593" max="14593" width="12" style="2" bestFit="1" customWidth="1"/>
    <col min="14594" max="14597" width="9.109375" style="2"/>
    <col min="14598" max="14598" width="17.33203125" style="2" customWidth="1"/>
    <col min="14599" max="14599" width="9.6640625" style="2" customWidth="1"/>
    <col min="14600" max="14600" width="12.6640625" style="2" customWidth="1"/>
    <col min="14601" max="14601" width="13.44140625" style="2" bestFit="1" customWidth="1"/>
    <col min="14602" max="14602" width="16.5546875" style="2" bestFit="1" customWidth="1"/>
    <col min="14603" max="14846" width="9.109375" style="2"/>
    <col min="14847" max="14847" width="9.44140625" style="2" bestFit="1" customWidth="1"/>
    <col min="14848" max="14848" width="9.109375" style="2"/>
    <col min="14849" max="14849" width="12" style="2" bestFit="1" customWidth="1"/>
    <col min="14850" max="14853" width="9.109375" style="2"/>
    <col min="14854" max="14854" width="17.33203125" style="2" customWidth="1"/>
    <col min="14855" max="14855" width="9.6640625" style="2" customWidth="1"/>
    <col min="14856" max="14856" width="12.6640625" style="2" customWidth="1"/>
    <col min="14857" max="14857" width="13.44140625" style="2" bestFit="1" customWidth="1"/>
    <col min="14858" max="14858" width="16.5546875" style="2" bestFit="1" customWidth="1"/>
    <col min="14859" max="15102" width="9.109375" style="2"/>
    <col min="15103" max="15103" width="9.44140625" style="2" bestFit="1" customWidth="1"/>
    <col min="15104" max="15104" width="9.109375" style="2"/>
    <col min="15105" max="15105" width="12" style="2" bestFit="1" customWidth="1"/>
    <col min="15106" max="15109" width="9.109375" style="2"/>
    <col min="15110" max="15110" width="17.33203125" style="2" customWidth="1"/>
    <col min="15111" max="15111" width="9.6640625" style="2" customWidth="1"/>
    <col min="15112" max="15112" width="12.6640625" style="2" customWidth="1"/>
    <col min="15113" max="15113" width="13.44140625" style="2" bestFit="1" customWidth="1"/>
    <col min="15114" max="15114" width="16.5546875" style="2" bestFit="1" customWidth="1"/>
    <col min="15115" max="15358" width="9.109375" style="2"/>
    <col min="15359" max="15359" width="9.44140625" style="2" bestFit="1" customWidth="1"/>
    <col min="15360" max="15360" width="9.109375" style="2"/>
    <col min="15361" max="15361" width="12" style="2" bestFit="1" customWidth="1"/>
    <col min="15362" max="15365" width="9.109375" style="2"/>
    <col min="15366" max="15366" width="17.33203125" style="2" customWidth="1"/>
    <col min="15367" max="15367" width="9.6640625" style="2" customWidth="1"/>
    <col min="15368" max="15368" width="12.6640625" style="2" customWidth="1"/>
    <col min="15369" max="15369" width="13.44140625" style="2" bestFit="1" customWidth="1"/>
    <col min="15370" max="15370" width="16.5546875" style="2" bestFit="1" customWidth="1"/>
    <col min="15371" max="15614" width="9.109375" style="2"/>
    <col min="15615" max="15615" width="9.44140625" style="2" bestFit="1" customWidth="1"/>
    <col min="15616" max="15616" width="9.109375" style="2"/>
    <col min="15617" max="15617" width="12" style="2" bestFit="1" customWidth="1"/>
    <col min="15618" max="15621" width="9.109375" style="2"/>
    <col min="15622" max="15622" width="17.33203125" style="2" customWidth="1"/>
    <col min="15623" max="15623" width="9.6640625" style="2" customWidth="1"/>
    <col min="15624" max="15624" width="12.6640625" style="2" customWidth="1"/>
    <col min="15625" max="15625" width="13.44140625" style="2" bestFit="1" customWidth="1"/>
    <col min="15626" max="15626" width="16.5546875" style="2" bestFit="1" customWidth="1"/>
    <col min="15627" max="15870" width="9.109375" style="2"/>
    <col min="15871" max="15871" width="9.44140625" style="2" bestFit="1" customWidth="1"/>
    <col min="15872" max="15872" width="9.109375" style="2"/>
    <col min="15873" max="15873" width="12" style="2" bestFit="1" customWidth="1"/>
    <col min="15874" max="15877" width="9.109375" style="2"/>
    <col min="15878" max="15878" width="17.33203125" style="2" customWidth="1"/>
    <col min="15879" max="15879" width="9.6640625" style="2" customWidth="1"/>
    <col min="15880" max="15880" width="12.6640625" style="2" customWidth="1"/>
    <col min="15881" max="15881" width="13.44140625" style="2" bestFit="1" customWidth="1"/>
    <col min="15882" max="15882" width="16.5546875" style="2" bestFit="1" customWidth="1"/>
    <col min="15883" max="16126" width="9.109375" style="2"/>
    <col min="16127" max="16127" width="9.44140625" style="2" bestFit="1" customWidth="1"/>
    <col min="16128" max="16128" width="9.109375" style="2"/>
    <col min="16129" max="16129" width="12" style="2" bestFit="1" customWidth="1"/>
    <col min="16130" max="16133" width="9.109375" style="2"/>
    <col min="16134" max="16134" width="17.33203125" style="2" customWidth="1"/>
    <col min="16135" max="16135" width="9.6640625" style="2" customWidth="1"/>
    <col min="16136" max="16136" width="12.6640625" style="2" customWidth="1"/>
    <col min="16137" max="16137" width="13.44140625" style="2" bestFit="1" customWidth="1"/>
    <col min="16138" max="16138" width="16.5546875" style="2" bestFit="1" customWidth="1"/>
    <col min="16139" max="16384" width="9.109375" style="2"/>
  </cols>
  <sheetData>
    <row r="1" spans="1:12" ht="15.6">
      <c r="L1" s="492" t="s">
        <v>224</v>
      </c>
    </row>
    <row r="2" spans="1:12" ht="8.25" customHeight="1">
      <c r="L2" s="493"/>
    </row>
    <row r="3" spans="1:12" ht="15.75" customHeight="1">
      <c r="A3" s="1198" t="s">
        <v>228</v>
      </c>
      <c r="B3" s="1136"/>
      <c r="C3" s="87" t="str">
        <f>'Pg 3 Travel'!A3</f>
        <v>GP2026/001/68120/2004</v>
      </c>
      <c r="D3" s="89"/>
      <c r="E3" s="494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138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225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29.25" customHeight="1" thickBot="1">
      <c r="A8" s="1195" t="s">
        <v>0</v>
      </c>
      <c r="B8" s="1196"/>
      <c r="C8" s="1196"/>
      <c r="D8" s="1196"/>
      <c r="E8" s="1196"/>
      <c r="F8" s="1196"/>
      <c r="G8" s="1196"/>
      <c r="H8" s="384" t="s">
        <v>379</v>
      </c>
      <c r="I8" s="234" t="s">
        <v>1</v>
      </c>
      <c r="J8" s="234" t="s">
        <v>2</v>
      </c>
      <c r="K8" s="234" t="s">
        <v>3</v>
      </c>
      <c r="L8" s="235" t="s">
        <v>214</v>
      </c>
    </row>
    <row r="9" spans="1:12" ht="12.75" customHeight="1">
      <c r="A9" s="1214" t="str">
        <f>'Pricing Schedule'!A9&amp;" " &amp;'Pricing Schedule'!B9</f>
        <v xml:space="preserve"> </v>
      </c>
      <c r="B9" s="1215"/>
      <c r="C9" s="1215"/>
      <c r="D9" s="1215"/>
      <c r="E9" s="1215"/>
      <c r="F9" s="1215"/>
      <c r="G9" s="1215"/>
      <c r="H9" s="495"/>
      <c r="I9" s="239"/>
      <c r="J9" s="239"/>
      <c r="K9" s="239"/>
      <c r="L9" s="240"/>
    </row>
    <row r="10" spans="1:12" ht="14.4">
      <c r="A10" s="1216" t="str">
        <f>'Pricing Schedule'!A15&amp;" " &amp;'Pricing Schedule'!B15</f>
        <v>1300 TRANSITIONAL ARRANGEMENTS</v>
      </c>
      <c r="B10" s="1217"/>
      <c r="C10" s="1217"/>
      <c r="D10" s="1217"/>
      <c r="E10" s="1217"/>
      <c r="F10" s="1217"/>
      <c r="G10" s="1217"/>
      <c r="H10" s="496"/>
      <c r="I10" s="497"/>
      <c r="J10" s="498"/>
      <c r="K10" s="497"/>
      <c r="L10" s="499"/>
    </row>
    <row r="11" spans="1:12">
      <c r="A11" s="1184" t="str">
        <f>'Pricing Schedule'!A16&amp;" " &amp;'Pricing Schedule'!B16</f>
        <v>13.01 Engagement of the previous service provider</v>
      </c>
      <c r="B11" s="1185"/>
      <c r="C11" s="1185"/>
      <c r="D11" s="1185"/>
      <c r="E11" s="1185"/>
      <c r="F11" s="1185"/>
      <c r="G11" s="1185"/>
      <c r="H11" s="496">
        <f>'Pricing Schedule'!F16</f>
        <v>50000</v>
      </c>
      <c r="I11" s="497"/>
      <c r="J11" s="497"/>
      <c r="K11" s="500">
        <f>IF(H11=0,L11/100,(L11/H11))</f>
        <v>0</v>
      </c>
      <c r="L11" s="499">
        <f>SUM(L12:L18)</f>
        <v>0</v>
      </c>
    </row>
    <row r="12" spans="1:12">
      <c r="A12" s="1179"/>
      <c r="B12" s="1180"/>
      <c r="C12" s="1180"/>
      <c r="D12" s="1180"/>
      <c r="E12" s="1180"/>
      <c r="F12" s="1180"/>
      <c r="G12" s="1180"/>
      <c r="H12" s="511"/>
      <c r="I12" s="512"/>
      <c r="J12" s="513"/>
      <c r="K12" s="514"/>
      <c r="L12" s="501">
        <f>K12*J12</f>
        <v>0</v>
      </c>
    </row>
    <row r="13" spans="1:12">
      <c r="A13" s="1179"/>
      <c r="B13" s="1180"/>
      <c r="C13" s="1180"/>
      <c r="D13" s="1180"/>
      <c r="E13" s="1180"/>
      <c r="F13" s="1180"/>
      <c r="G13" s="1180"/>
      <c r="H13" s="511"/>
      <c r="I13" s="512"/>
      <c r="J13" s="513"/>
      <c r="K13" s="514"/>
      <c r="L13" s="499">
        <f t="shared" ref="L13:L26" si="0">K13*J13</f>
        <v>0</v>
      </c>
    </row>
    <row r="14" spans="1:12">
      <c r="A14" s="1179"/>
      <c r="B14" s="1180"/>
      <c r="C14" s="1180"/>
      <c r="D14" s="1180"/>
      <c r="E14" s="1180"/>
      <c r="F14" s="1180"/>
      <c r="G14" s="1180"/>
      <c r="H14" s="511"/>
      <c r="I14" s="512"/>
      <c r="J14" s="513"/>
      <c r="K14" s="514"/>
      <c r="L14" s="499">
        <f t="shared" si="0"/>
        <v>0</v>
      </c>
    </row>
    <row r="15" spans="1:12">
      <c r="A15" s="1179"/>
      <c r="B15" s="1180"/>
      <c r="C15" s="1180"/>
      <c r="D15" s="1180"/>
      <c r="E15" s="1180"/>
      <c r="F15" s="1180"/>
      <c r="G15" s="1180"/>
      <c r="H15" s="511"/>
      <c r="I15" s="512"/>
      <c r="J15" s="513"/>
      <c r="K15" s="514"/>
      <c r="L15" s="499">
        <f t="shared" si="0"/>
        <v>0</v>
      </c>
    </row>
    <row r="16" spans="1:12">
      <c r="A16" s="1179"/>
      <c r="B16" s="1180"/>
      <c r="C16" s="1180"/>
      <c r="D16" s="1180"/>
      <c r="E16" s="1180"/>
      <c r="F16" s="1180"/>
      <c r="G16" s="1180"/>
      <c r="H16" s="511"/>
      <c r="I16" s="512"/>
      <c r="J16" s="513"/>
      <c r="K16" s="514"/>
      <c r="L16" s="499">
        <f t="shared" si="0"/>
        <v>0</v>
      </c>
    </row>
    <row r="17" spans="1:12">
      <c r="A17" s="1179"/>
      <c r="B17" s="1180"/>
      <c r="C17" s="1180"/>
      <c r="D17" s="1180"/>
      <c r="E17" s="1180"/>
      <c r="F17" s="1180"/>
      <c r="G17" s="1180"/>
      <c r="H17" s="511"/>
      <c r="I17" s="512"/>
      <c r="J17" s="513"/>
      <c r="K17" s="514"/>
      <c r="L17" s="499">
        <f t="shared" si="0"/>
        <v>0</v>
      </c>
    </row>
    <row r="18" spans="1:12">
      <c r="A18" s="1179"/>
      <c r="B18" s="1180"/>
      <c r="C18" s="1180"/>
      <c r="D18" s="1180"/>
      <c r="E18" s="1180"/>
      <c r="F18" s="1180"/>
      <c r="G18" s="1180"/>
      <c r="H18" s="511"/>
      <c r="I18" s="512"/>
      <c r="J18" s="513"/>
      <c r="K18" s="514"/>
      <c r="L18" s="499">
        <f t="shared" si="0"/>
        <v>0</v>
      </c>
    </row>
    <row r="19" spans="1:12">
      <c r="A19" s="1184" t="str">
        <f>'Pricing Schedule'!A20&amp;" " &amp;'Pricing Schedule'!B20</f>
        <v>13.04(a) Cost of Transport - files and documentation</v>
      </c>
      <c r="B19" s="1185"/>
      <c r="C19" s="1185"/>
      <c r="D19" s="1185"/>
      <c r="E19" s="1185"/>
      <c r="F19" s="1185"/>
      <c r="G19" s="1185"/>
      <c r="H19" s="496">
        <f>'Pricing Schedule'!F20</f>
        <v>20000</v>
      </c>
      <c r="I19" s="497"/>
      <c r="J19" s="497"/>
      <c r="K19" s="500">
        <f>IF(H19=0,L19/100,(L19/H19))</f>
        <v>0</v>
      </c>
      <c r="L19" s="499">
        <f>SUM(L20:L26)</f>
        <v>0</v>
      </c>
    </row>
    <row r="20" spans="1:12">
      <c r="A20" s="1179"/>
      <c r="B20" s="1180"/>
      <c r="C20" s="1180"/>
      <c r="D20" s="1180"/>
      <c r="E20" s="1180"/>
      <c r="F20" s="1180"/>
      <c r="G20" s="1180"/>
      <c r="H20" s="511"/>
      <c r="I20" s="512"/>
      <c r="J20" s="513"/>
      <c r="K20" s="514"/>
      <c r="L20" s="499">
        <f t="shared" si="0"/>
        <v>0</v>
      </c>
    </row>
    <row r="21" spans="1:12">
      <c r="A21" s="1179"/>
      <c r="B21" s="1180"/>
      <c r="C21" s="1180"/>
      <c r="D21" s="1180"/>
      <c r="E21" s="1180"/>
      <c r="F21" s="1180"/>
      <c r="G21" s="1180"/>
      <c r="H21" s="511"/>
      <c r="I21" s="512"/>
      <c r="J21" s="513"/>
      <c r="K21" s="514"/>
      <c r="L21" s="499">
        <f t="shared" si="0"/>
        <v>0</v>
      </c>
    </row>
    <row r="22" spans="1:12">
      <c r="A22" s="1179"/>
      <c r="B22" s="1180"/>
      <c r="C22" s="1180"/>
      <c r="D22" s="1180"/>
      <c r="E22" s="1180"/>
      <c r="F22" s="1180"/>
      <c r="G22" s="1180"/>
      <c r="H22" s="511"/>
      <c r="I22" s="512"/>
      <c r="J22" s="513"/>
      <c r="K22" s="514"/>
      <c r="L22" s="499">
        <f t="shared" si="0"/>
        <v>0</v>
      </c>
    </row>
    <row r="23" spans="1:12">
      <c r="A23" s="1179"/>
      <c r="B23" s="1180"/>
      <c r="C23" s="1180"/>
      <c r="D23" s="1180"/>
      <c r="E23" s="1180"/>
      <c r="F23" s="1180"/>
      <c r="G23" s="1180"/>
      <c r="H23" s="511"/>
      <c r="I23" s="512"/>
      <c r="J23" s="513"/>
      <c r="K23" s="514"/>
      <c r="L23" s="499">
        <f t="shared" si="0"/>
        <v>0</v>
      </c>
    </row>
    <row r="24" spans="1:12">
      <c r="A24" s="1179"/>
      <c r="B24" s="1180"/>
      <c r="C24" s="1180"/>
      <c r="D24" s="1180"/>
      <c r="E24" s="1180"/>
      <c r="F24" s="1180"/>
      <c r="G24" s="1180"/>
      <c r="H24" s="511"/>
      <c r="I24" s="512"/>
      <c r="J24" s="513"/>
      <c r="K24" s="514"/>
      <c r="L24" s="499">
        <f t="shared" si="0"/>
        <v>0</v>
      </c>
    </row>
    <row r="25" spans="1:12">
      <c r="A25" s="1179"/>
      <c r="B25" s="1180"/>
      <c r="C25" s="1180"/>
      <c r="D25" s="1180"/>
      <c r="E25" s="1180"/>
      <c r="F25" s="1180"/>
      <c r="G25" s="1180"/>
      <c r="H25" s="511"/>
      <c r="I25" s="512"/>
      <c r="J25" s="513"/>
      <c r="K25" s="514"/>
      <c r="L25" s="499">
        <f t="shared" si="0"/>
        <v>0</v>
      </c>
    </row>
    <row r="26" spans="1:12" ht="13.8" thickBot="1">
      <c r="A26" s="1179"/>
      <c r="B26" s="1180"/>
      <c r="C26" s="1180"/>
      <c r="D26" s="1180"/>
      <c r="E26" s="1180"/>
      <c r="F26" s="1180"/>
      <c r="G26" s="1180"/>
      <c r="H26" s="511"/>
      <c r="I26" s="512"/>
      <c r="J26" s="513"/>
      <c r="K26" s="514"/>
      <c r="L26" s="499">
        <f t="shared" si="0"/>
        <v>0</v>
      </c>
    </row>
    <row r="27" spans="1:12">
      <c r="A27" s="1189"/>
      <c r="B27" s="1190"/>
      <c r="C27" s="1190"/>
      <c r="D27" s="1190"/>
      <c r="E27" s="1190"/>
      <c r="F27" s="1190"/>
      <c r="G27" s="1190"/>
      <c r="H27" s="1191"/>
      <c r="I27" s="502"/>
      <c r="J27" s="503" t="s">
        <v>183</v>
      </c>
      <c r="K27" s="504">
        <f>'1300'!A7</f>
        <v>1300</v>
      </c>
      <c r="L27" s="505">
        <f>L11+L19</f>
        <v>0</v>
      </c>
    </row>
    <row r="28" spans="1:12" ht="13.8" thickBot="1">
      <c r="A28" s="1192"/>
      <c r="B28" s="1193"/>
      <c r="C28" s="1193"/>
      <c r="D28" s="1193"/>
      <c r="E28" s="1193"/>
      <c r="F28" s="1193"/>
      <c r="G28" s="1193"/>
      <c r="H28" s="1194"/>
      <c r="I28" s="506"/>
      <c r="J28" s="506"/>
      <c r="K28" s="507"/>
      <c r="L28" s="508"/>
    </row>
    <row r="29" spans="1:12" ht="13.8" thickBot="1">
      <c r="A29" s="1195" t="s">
        <v>226</v>
      </c>
      <c r="B29" s="1196"/>
      <c r="C29" s="1196"/>
      <c r="D29" s="1196"/>
      <c r="E29" s="1196"/>
      <c r="F29" s="1196"/>
      <c r="G29" s="1196"/>
      <c r="H29" s="1196"/>
      <c r="I29" s="1196"/>
      <c r="J29" s="1196"/>
      <c r="K29" s="1197"/>
      <c r="L29" s="509">
        <f>L27</f>
        <v>0</v>
      </c>
    </row>
    <row r="30" spans="1:12" ht="15.6">
      <c r="L30" s="492" t="s">
        <v>227</v>
      </c>
    </row>
    <row r="31" spans="1:12" ht="8.25" customHeight="1">
      <c r="L31" s="493"/>
    </row>
    <row r="32" spans="1:12" ht="15.75" customHeight="1">
      <c r="A32" s="1198" t="s">
        <v>228</v>
      </c>
      <c r="B32" s="1136"/>
      <c r="C32" s="230" t="str">
        <f>$C$3</f>
        <v>GP2026/001/68120/2004</v>
      </c>
      <c r="D32" s="89"/>
      <c r="E32" s="89"/>
      <c r="F32" s="1204">
        <f>$F$3</f>
        <v>46006</v>
      </c>
      <c r="G32" s="1204"/>
      <c r="H32" s="1199" t="s">
        <v>193</v>
      </c>
      <c r="I32" s="1199"/>
      <c r="J32" s="1199"/>
      <c r="K32" s="1200">
        <f>$K$3</f>
        <v>1</v>
      </c>
      <c r="L32" s="1138"/>
    </row>
    <row r="33" spans="1:12" ht="15.75" customHeight="1" thickBot="1"/>
    <row r="34" spans="1:12" ht="15.75" customHeigh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231"/>
    </row>
    <row r="35" spans="1:12" ht="15.75" customHeight="1">
      <c r="A35" s="1130" t="s">
        <v>225</v>
      </c>
      <c r="B35" s="1131"/>
      <c r="C35" s="1131"/>
      <c r="D35" s="1131"/>
      <c r="E35" s="1131"/>
      <c r="F35" s="1131"/>
      <c r="G35" s="1131"/>
      <c r="H35" s="1131"/>
      <c r="I35" s="1131"/>
      <c r="J35" s="1131"/>
      <c r="K35" s="1131"/>
      <c r="L35" s="1132"/>
    </row>
    <row r="36" spans="1:12" ht="15.75" customHeight="1" thickBot="1">
      <c r="A36" s="232"/>
      <c r="L36" s="233"/>
    </row>
    <row r="37" spans="1:12" ht="15.75" customHeight="1" thickBot="1">
      <c r="A37" s="1201" t="s">
        <v>0</v>
      </c>
      <c r="B37" s="1202"/>
      <c r="C37" s="1202"/>
      <c r="D37" s="1202"/>
      <c r="E37" s="1202"/>
      <c r="F37" s="1202"/>
      <c r="G37" s="1202"/>
      <c r="H37" s="1203"/>
      <c r="I37" s="234" t="s">
        <v>1</v>
      </c>
      <c r="J37" s="234" t="s">
        <v>2</v>
      </c>
      <c r="K37" s="234" t="s">
        <v>3</v>
      </c>
      <c r="L37" s="235" t="s">
        <v>214</v>
      </c>
    </row>
    <row r="38" spans="1:12" ht="12.75" customHeight="1" thickBot="1">
      <c r="A38" s="1195" t="s">
        <v>229</v>
      </c>
      <c r="B38" s="1196"/>
      <c r="C38" s="1196"/>
      <c r="D38" s="1196"/>
      <c r="E38" s="1196"/>
      <c r="F38" s="1196"/>
      <c r="G38" s="1196"/>
      <c r="H38" s="1196"/>
      <c r="I38" s="1196"/>
      <c r="J38" s="1196"/>
      <c r="K38" s="1197"/>
      <c r="L38" s="247">
        <f>L29</f>
        <v>0</v>
      </c>
    </row>
    <row r="39" spans="1:12" ht="12.75" customHeight="1">
      <c r="A39" s="1214" t="str">
        <f>'Pricing Schedule'!A27&amp;" " &amp;'Pricing Schedule'!B27</f>
        <v>1500 REIMBURSABLE COSTS</v>
      </c>
      <c r="B39" s="1215"/>
      <c r="C39" s="1215"/>
      <c r="D39" s="1215"/>
      <c r="E39" s="1215"/>
      <c r="F39" s="1215"/>
      <c r="G39" s="1215"/>
      <c r="H39" s="495"/>
      <c r="I39" s="239"/>
      <c r="J39" s="239"/>
      <c r="K39" s="239"/>
      <c r="L39" s="240"/>
    </row>
    <row r="40" spans="1:12" ht="14.4">
      <c r="A40" s="1184" t="str">
        <f>'Pricing Schedule'!A26&amp;" " &amp;'Pricing Schedule'!B26</f>
        <v xml:space="preserve"> </v>
      </c>
      <c r="B40" s="1185"/>
      <c r="C40" s="1185"/>
      <c r="D40" s="1185"/>
      <c r="E40" s="1185"/>
      <c r="F40" s="1185"/>
      <c r="G40" s="1185"/>
      <c r="H40" s="496"/>
      <c r="I40" s="497"/>
      <c r="J40" s="498"/>
      <c r="K40" s="497"/>
      <c r="L40" s="499"/>
    </row>
    <row r="41" spans="1:12">
      <c r="A41" s="1184" t="str">
        <f>'Pricing Schedule'!A28&amp;" " &amp;'Pricing Schedule'!B28</f>
        <v>15.01 Formal charges</v>
      </c>
      <c r="B41" s="1185"/>
      <c r="C41" s="1185"/>
      <c r="D41" s="1185"/>
      <c r="E41" s="1185"/>
      <c r="F41" s="1185"/>
      <c r="G41" s="1185"/>
      <c r="H41" s="496">
        <f>'Pricing Schedule'!F28</f>
        <v>25000</v>
      </c>
      <c r="I41" s="497"/>
      <c r="J41" s="497"/>
      <c r="K41" s="500">
        <f>IF(H41=0,L41/100,(L41/H41))</f>
        <v>0</v>
      </c>
      <c r="L41" s="499">
        <f>SUM(L42:L48)</f>
        <v>0</v>
      </c>
    </row>
    <row r="42" spans="1:12">
      <c r="A42" s="1179"/>
      <c r="B42" s="1180"/>
      <c r="C42" s="1180"/>
      <c r="D42" s="1180"/>
      <c r="E42" s="1180"/>
      <c r="F42" s="1180"/>
      <c r="G42" s="1180"/>
      <c r="H42" s="511"/>
      <c r="I42" s="512"/>
      <c r="J42" s="513"/>
      <c r="K42" s="514"/>
      <c r="L42" s="501">
        <f>K42*J42</f>
        <v>0</v>
      </c>
    </row>
    <row r="43" spans="1:12">
      <c r="A43" s="1179"/>
      <c r="B43" s="1180"/>
      <c r="C43" s="1180"/>
      <c r="D43" s="1180"/>
      <c r="E43" s="1180"/>
      <c r="F43" s="1180"/>
      <c r="G43" s="1180"/>
      <c r="H43" s="511"/>
      <c r="I43" s="512"/>
      <c r="J43" s="513"/>
      <c r="K43" s="514"/>
      <c r="L43" s="501">
        <f t="shared" ref="L43:L53" si="1">K43*J43</f>
        <v>0</v>
      </c>
    </row>
    <row r="44" spans="1:12">
      <c r="A44" s="1179"/>
      <c r="B44" s="1180"/>
      <c r="C44" s="1180"/>
      <c r="D44" s="1180"/>
      <c r="E44" s="1180"/>
      <c r="F44" s="1180"/>
      <c r="G44" s="1180"/>
      <c r="H44" s="511"/>
      <c r="I44" s="512"/>
      <c r="J44" s="513"/>
      <c r="K44" s="514"/>
      <c r="L44" s="501">
        <f t="shared" si="1"/>
        <v>0</v>
      </c>
    </row>
    <row r="45" spans="1:12">
      <c r="A45" s="1179"/>
      <c r="B45" s="1180"/>
      <c r="C45" s="1180"/>
      <c r="D45" s="1180"/>
      <c r="E45" s="1180"/>
      <c r="F45" s="1180"/>
      <c r="G45" s="1180"/>
      <c r="H45" s="511"/>
      <c r="I45" s="512"/>
      <c r="J45" s="513"/>
      <c r="K45" s="514"/>
      <c r="L45" s="501">
        <f t="shared" si="1"/>
        <v>0</v>
      </c>
    </row>
    <row r="46" spans="1:12">
      <c r="A46" s="1179"/>
      <c r="B46" s="1180"/>
      <c r="C46" s="1180"/>
      <c r="D46" s="1180"/>
      <c r="E46" s="1180"/>
      <c r="F46" s="1180"/>
      <c r="G46" s="1180"/>
      <c r="H46" s="511"/>
      <c r="I46" s="512"/>
      <c r="J46" s="513"/>
      <c r="K46" s="514"/>
      <c r="L46" s="501">
        <f t="shared" si="1"/>
        <v>0</v>
      </c>
    </row>
    <row r="47" spans="1:12">
      <c r="A47" s="1179"/>
      <c r="B47" s="1180"/>
      <c r="C47" s="1180"/>
      <c r="D47" s="1180"/>
      <c r="E47" s="1180"/>
      <c r="F47" s="1180"/>
      <c r="G47" s="1180"/>
      <c r="H47" s="511"/>
      <c r="I47" s="512"/>
      <c r="J47" s="513"/>
      <c r="K47" s="514"/>
      <c r="L47" s="501">
        <f t="shared" si="1"/>
        <v>0</v>
      </c>
    </row>
    <row r="48" spans="1:12">
      <c r="A48" s="1179"/>
      <c r="B48" s="1180"/>
      <c r="C48" s="1180"/>
      <c r="D48" s="1180"/>
      <c r="E48" s="1180"/>
      <c r="F48" s="1180"/>
      <c r="G48" s="1180"/>
      <c r="H48" s="511"/>
      <c r="I48" s="512"/>
      <c r="J48" s="513"/>
      <c r="K48" s="514"/>
      <c r="L48" s="501">
        <f t="shared" si="1"/>
        <v>0</v>
      </c>
    </row>
    <row r="49" spans="1:12">
      <c r="A49" s="1184" t="str">
        <f>'Pricing Schedule'!A30&amp;" " &amp;'Pricing Schedule'!B30</f>
        <v>15.02 Other costs approved by the Employer</v>
      </c>
      <c r="B49" s="1185"/>
      <c r="C49" s="1185"/>
      <c r="D49" s="1185"/>
      <c r="E49" s="1185"/>
      <c r="F49" s="1185"/>
      <c r="G49" s="1185"/>
      <c r="H49" s="496">
        <f>'Pricing Schedule'!F30</f>
        <v>50000</v>
      </c>
      <c r="I49" s="497"/>
      <c r="J49" s="497"/>
      <c r="K49" s="500">
        <f>IF(H49=0,L49/100,(L49/H49))</f>
        <v>0</v>
      </c>
      <c r="L49" s="499">
        <f>SUM(L50:L56)</f>
        <v>0</v>
      </c>
    </row>
    <row r="50" spans="1:12">
      <c r="A50" s="1179"/>
      <c r="B50" s="1180"/>
      <c r="C50" s="1180"/>
      <c r="D50" s="1180"/>
      <c r="E50" s="1180"/>
      <c r="F50" s="1180"/>
      <c r="G50" s="1180"/>
      <c r="H50" s="511"/>
      <c r="I50" s="512"/>
      <c r="J50" s="513"/>
      <c r="K50" s="514"/>
      <c r="L50" s="501">
        <f t="shared" si="1"/>
        <v>0</v>
      </c>
    </row>
    <row r="51" spans="1:12">
      <c r="A51" s="1179"/>
      <c r="B51" s="1180"/>
      <c r="C51" s="1180"/>
      <c r="D51" s="1180"/>
      <c r="E51" s="1180"/>
      <c r="F51" s="1180"/>
      <c r="G51" s="1180"/>
      <c r="H51" s="511"/>
      <c r="I51" s="512"/>
      <c r="J51" s="513"/>
      <c r="K51" s="514"/>
      <c r="L51" s="501">
        <f t="shared" si="1"/>
        <v>0</v>
      </c>
    </row>
    <row r="52" spans="1:12">
      <c r="A52" s="1179"/>
      <c r="B52" s="1180"/>
      <c r="C52" s="1180"/>
      <c r="D52" s="1180"/>
      <c r="E52" s="1180"/>
      <c r="F52" s="1180"/>
      <c r="G52" s="1180"/>
      <c r="H52" s="511"/>
      <c r="I52" s="512"/>
      <c r="J52" s="513"/>
      <c r="K52" s="514"/>
      <c r="L52" s="501">
        <f t="shared" si="1"/>
        <v>0</v>
      </c>
    </row>
    <row r="53" spans="1:12">
      <c r="A53" s="1179"/>
      <c r="B53" s="1180"/>
      <c r="C53" s="1180"/>
      <c r="D53" s="1180"/>
      <c r="E53" s="1180"/>
      <c r="F53" s="1180"/>
      <c r="G53" s="1180"/>
      <c r="H53" s="511"/>
      <c r="I53" s="512"/>
      <c r="J53" s="513"/>
      <c r="K53" s="514"/>
      <c r="L53" s="501">
        <f t="shared" si="1"/>
        <v>0</v>
      </c>
    </row>
    <row r="54" spans="1:12">
      <c r="A54" s="1179"/>
      <c r="B54" s="1180"/>
      <c r="C54" s="1180"/>
      <c r="D54" s="1180"/>
      <c r="E54" s="1180"/>
      <c r="F54" s="1180"/>
      <c r="G54" s="1180"/>
      <c r="H54" s="511"/>
      <c r="I54" s="512"/>
      <c r="J54" s="513"/>
      <c r="K54" s="514"/>
      <c r="L54" s="501">
        <f t="shared" ref="L54:L56" si="2">K54*J54</f>
        <v>0</v>
      </c>
    </row>
    <row r="55" spans="1:12">
      <c r="A55" s="1179"/>
      <c r="B55" s="1180"/>
      <c r="C55" s="1180"/>
      <c r="D55" s="1180"/>
      <c r="E55" s="1180"/>
      <c r="F55" s="1180"/>
      <c r="G55" s="1180"/>
      <c r="H55" s="511"/>
      <c r="I55" s="512"/>
      <c r="J55" s="513"/>
      <c r="K55" s="514"/>
      <c r="L55" s="501">
        <f t="shared" si="2"/>
        <v>0</v>
      </c>
    </row>
    <row r="56" spans="1:12" ht="13.8" thickBot="1">
      <c r="A56" s="1179"/>
      <c r="B56" s="1180"/>
      <c r="C56" s="1180"/>
      <c r="D56" s="1180"/>
      <c r="E56" s="1180"/>
      <c r="F56" s="1180"/>
      <c r="G56" s="1180"/>
      <c r="H56" s="511"/>
      <c r="I56" s="512"/>
      <c r="J56" s="513"/>
      <c r="K56" s="514"/>
      <c r="L56" s="501">
        <f t="shared" si="2"/>
        <v>0</v>
      </c>
    </row>
    <row r="57" spans="1:12">
      <c r="A57" s="1189"/>
      <c r="B57" s="1190"/>
      <c r="C57" s="1190"/>
      <c r="D57" s="1190"/>
      <c r="E57" s="1190"/>
      <c r="F57" s="1190"/>
      <c r="G57" s="1190"/>
      <c r="H57" s="1191"/>
      <c r="I57" s="502"/>
      <c r="J57" s="503" t="s">
        <v>183</v>
      </c>
      <c r="K57" s="504">
        <f>'1500'!A7</f>
        <v>1500</v>
      </c>
      <c r="L57" s="505">
        <f>L41+L49</f>
        <v>0</v>
      </c>
    </row>
    <row r="58" spans="1:12" ht="13.8" thickBot="1">
      <c r="A58" s="1192"/>
      <c r="B58" s="1193"/>
      <c r="C58" s="1193"/>
      <c r="D58" s="1193"/>
      <c r="E58" s="1193"/>
      <c r="F58" s="1193"/>
      <c r="G58" s="1193"/>
      <c r="H58" s="1194"/>
      <c r="I58" s="506"/>
      <c r="J58" s="506"/>
      <c r="K58" s="507"/>
      <c r="L58" s="508"/>
    </row>
    <row r="59" spans="1:12" ht="13.8" thickBot="1">
      <c r="A59" s="1195" t="s">
        <v>230</v>
      </c>
      <c r="B59" s="1196"/>
      <c r="C59" s="1196"/>
      <c r="D59" s="1196"/>
      <c r="E59" s="1196"/>
      <c r="F59" s="1196"/>
      <c r="G59" s="1196"/>
      <c r="H59" s="1196"/>
      <c r="I59" s="1196"/>
      <c r="J59" s="1196"/>
      <c r="K59" s="1197"/>
      <c r="L59" s="510">
        <f>L38+L57</f>
        <v>0</v>
      </c>
    </row>
    <row r="60" spans="1:12" ht="15.6">
      <c r="L60" s="492" t="s">
        <v>231</v>
      </c>
    </row>
    <row r="61" spans="1:12" ht="8.25" customHeight="1">
      <c r="L61" s="493"/>
    </row>
    <row r="62" spans="1:12" ht="15.75" customHeight="1">
      <c r="A62" s="1198" t="s">
        <v>228</v>
      </c>
      <c r="B62" s="1136"/>
      <c r="C62" s="230" t="str">
        <f>$C$3</f>
        <v>GP2026/001/68120/2004</v>
      </c>
      <c r="D62" s="89"/>
      <c r="E62" s="89"/>
      <c r="F62" s="1204">
        <f>$F$3</f>
        <v>46006</v>
      </c>
      <c r="G62" s="1204"/>
      <c r="H62" s="1199" t="s">
        <v>193</v>
      </c>
      <c r="I62" s="1199"/>
      <c r="J62" s="1199"/>
      <c r="K62" s="1200">
        <f>$K$3</f>
        <v>1</v>
      </c>
      <c r="L62" s="1138"/>
    </row>
    <row r="63" spans="1:12" ht="15.75" customHeight="1" thickBot="1"/>
    <row r="64" spans="1:12" ht="15.75" customHeight="1">
      <c r="A64" s="184"/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231"/>
    </row>
    <row r="65" spans="1:14" ht="15.75" customHeight="1">
      <c r="A65" s="1130" t="s">
        <v>225</v>
      </c>
      <c r="B65" s="1131"/>
      <c r="C65" s="1131"/>
      <c r="D65" s="1131"/>
      <c r="E65" s="1131"/>
      <c r="F65" s="1131"/>
      <c r="G65" s="1131"/>
      <c r="H65" s="1131"/>
      <c r="I65" s="1131"/>
      <c r="J65" s="1131"/>
      <c r="K65" s="1131"/>
      <c r="L65" s="1132"/>
    </row>
    <row r="66" spans="1:14" ht="15.75" customHeight="1" thickBot="1">
      <c r="A66" s="232"/>
      <c r="L66" s="233"/>
    </row>
    <row r="67" spans="1:14" ht="15.75" customHeight="1" thickBot="1">
      <c r="A67" s="1201" t="s">
        <v>0</v>
      </c>
      <c r="B67" s="1202"/>
      <c r="C67" s="1202"/>
      <c r="D67" s="1202"/>
      <c r="E67" s="1202"/>
      <c r="F67" s="1202"/>
      <c r="G67" s="1202"/>
      <c r="H67" s="1203"/>
      <c r="I67" s="234" t="s">
        <v>1</v>
      </c>
      <c r="J67" s="234" t="s">
        <v>2</v>
      </c>
      <c r="K67" s="234" t="s">
        <v>3</v>
      </c>
      <c r="L67" s="235" t="s">
        <v>214</v>
      </c>
    </row>
    <row r="68" spans="1:14" ht="12.75" customHeight="1" thickBot="1">
      <c r="A68" s="1195" t="s">
        <v>232</v>
      </c>
      <c r="B68" s="1196"/>
      <c r="C68" s="1196"/>
      <c r="D68" s="1196"/>
      <c r="E68" s="1196"/>
      <c r="F68" s="1196"/>
      <c r="G68" s="1196"/>
      <c r="H68" s="1196"/>
      <c r="I68" s="1196"/>
      <c r="J68" s="1196"/>
      <c r="K68" s="1197"/>
      <c r="L68" s="247">
        <f>L59</f>
        <v>0</v>
      </c>
    </row>
    <row r="69" spans="1:14" ht="12.75" customHeight="1">
      <c r="A69" s="1212" t="str">
        <f>'Pricing Schedule'!A34&amp;" " &amp;'Pricing Schedule'!B34</f>
        <v>2100 PROCUREMENT AND CONTRACT PARTICIPATION</v>
      </c>
      <c r="B69" s="1213"/>
      <c r="C69" s="1213"/>
      <c r="D69" s="1213"/>
      <c r="E69" s="1213"/>
      <c r="F69" s="1213"/>
      <c r="G69" s="1213"/>
      <c r="H69" s="1213"/>
      <c r="I69" s="1213"/>
      <c r="J69" s="1213"/>
      <c r="K69" s="1149"/>
      <c r="L69" s="747"/>
    </row>
    <row r="70" spans="1:14">
      <c r="A70" s="1184" t="str">
        <f>'Pricing Schedule'!A41&amp;" " &amp;'Pricing Schedule'!B41</f>
        <v>21.05 Tender advertisements</v>
      </c>
      <c r="B70" s="1185"/>
      <c r="C70" s="1185"/>
      <c r="D70" s="1185"/>
      <c r="E70" s="1185"/>
      <c r="F70" s="1185"/>
      <c r="G70" s="1185"/>
      <c r="H70" s="496">
        <f>'Pricing Schedule'!F41</f>
        <v>100000</v>
      </c>
      <c r="I70" s="497"/>
      <c r="J70" s="497"/>
      <c r="K70" s="748">
        <f>IF(H70=0,L70/100,(L70/H70))</f>
        <v>0</v>
      </c>
      <c r="L70" s="499">
        <f>SUM(L71:L77)</f>
        <v>0</v>
      </c>
    </row>
    <row r="71" spans="1:14">
      <c r="A71" s="1179"/>
      <c r="B71" s="1180"/>
      <c r="C71" s="1180"/>
      <c r="D71" s="1180"/>
      <c r="E71" s="1180"/>
      <c r="F71" s="1180"/>
      <c r="G71" s="1180"/>
      <c r="H71" s="511"/>
      <c r="I71" s="512"/>
      <c r="J71" s="513"/>
      <c r="K71" s="514"/>
      <c r="L71" s="501">
        <f>K71*J71</f>
        <v>0</v>
      </c>
    </row>
    <row r="72" spans="1:14">
      <c r="A72" s="1181"/>
      <c r="B72" s="1182"/>
      <c r="C72" s="1182"/>
      <c r="D72" s="1182"/>
      <c r="E72" s="1182"/>
      <c r="F72" s="1182"/>
      <c r="G72" s="1183"/>
      <c r="H72" s="511"/>
      <c r="I72" s="512"/>
      <c r="J72" s="513"/>
      <c r="K72" s="514"/>
      <c r="L72" s="501">
        <f t="shared" ref="L72:L77" si="3">K72*J72</f>
        <v>0</v>
      </c>
    </row>
    <row r="73" spans="1:14">
      <c r="A73" s="1179"/>
      <c r="B73" s="1180"/>
      <c r="C73" s="1180"/>
      <c r="D73" s="1180"/>
      <c r="E73" s="1180"/>
      <c r="F73" s="1180"/>
      <c r="G73" s="1180"/>
      <c r="H73" s="511"/>
      <c r="I73" s="512"/>
      <c r="J73" s="513"/>
      <c r="K73" s="514"/>
      <c r="L73" s="501">
        <f t="shared" si="3"/>
        <v>0</v>
      </c>
    </row>
    <row r="74" spans="1:14">
      <c r="A74" s="1179"/>
      <c r="B74" s="1180"/>
      <c r="C74" s="1180"/>
      <c r="D74" s="1180"/>
      <c r="E74" s="1180"/>
      <c r="F74" s="1180"/>
      <c r="G74" s="1180"/>
      <c r="H74" s="511"/>
      <c r="I74" s="512"/>
      <c r="J74" s="513"/>
      <c r="K74" s="514"/>
      <c r="L74" s="501">
        <f t="shared" si="3"/>
        <v>0</v>
      </c>
    </row>
    <row r="75" spans="1:14">
      <c r="A75" s="1179"/>
      <c r="B75" s="1180"/>
      <c r="C75" s="1180"/>
      <c r="D75" s="1180"/>
      <c r="E75" s="1180"/>
      <c r="F75" s="1180"/>
      <c r="G75" s="1180"/>
      <c r="H75" s="511"/>
      <c r="I75" s="512"/>
      <c r="J75" s="513"/>
      <c r="K75" s="514"/>
      <c r="L75" s="501">
        <f t="shared" si="3"/>
        <v>0</v>
      </c>
    </row>
    <row r="76" spans="1:14">
      <c r="A76" s="1179"/>
      <c r="B76" s="1180"/>
      <c r="C76" s="1180"/>
      <c r="D76" s="1180"/>
      <c r="E76" s="1180"/>
      <c r="F76" s="1180"/>
      <c r="G76" s="1180"/>
      <c r="H76" s="511"/>
      <c r="I76" s="512"/>
      <c r="J76" s="513"/>
      <c r="K76" s="514"/>
      <c r="L76" s="501">
        <f t="shared" si="3"/>
        <v>0</v>
      </c>
      <c r="N76" s="2" t="s">
        <v>592</v>
      </c>
    </row>
    <row r="77" spans="1:14">
      <c r="A77" s="1179"/>
      <c r="B77" s="1180"/>
      <c r="C77" s="1180"/>
      <c r="D77" s="1180"/>
      <c r="E77" s="1180"/>
      <c r="F77" s="1180"/>
      <c r="G77" s="1180"/>
      <c r="H77" s="511"/>
      <c r="I77" s="512"/>
      <c r="J77" s="513"/>
      <c r="K77" s="514"/>
      <c r="L77" s="501">
        <f t="shared" si="3"/>
        <v>0</v>
      </c>
    </row>
    <row r="78" spans="1:14">
      <c r="A78" s="1184" t="str">
        <f>'Pricing Schedule'!A46&amp;" " &amp;'Pricing Schedule'!B46</f>
        <v>21.07 Payment of subcontractors</v>
      </c>
      <c r="B78" s="1185"/>
      <c r="C78" s="1185"/>
      <c r="D78" s="1185"/>
      <c r="E78" s="1185"/>
      <c r="F78" s="1185"/>
      <c r="G78" s="1185"/>
      <c r="H78" s="496"/>
      <c r="I78" s="497"/>
      <c r="J78" s="497"/>
      <c r="K78" s="748"/>
      <c r="L78" s="499"/>
    </row>
    <row r="79" spans="1:14">
      <c r="A79" s="1184" t="str">
        <f>'Pricing Schedule'!A47&amp;" " &amp;'Pricing Schedule'!B47</f>
        <v>21.07 (a) Fire Fighting Equipment &amp; Sprinklers</v>
      </c>
      <c r="B79" s="1185"/>
      <c r="C79" s="1185"/>
      <c r="D79" s="1185"/>
      <c r="E79" s="1185"/>
      <c r="F79" s="1185"/>
      <c r="G79" s="1185"/>
      <c r="H79" s="496">
        <f>'Pricing Schedule'!F47</f>
        <v>3000000</v>
      </c>
      <c r="I79" s="497"/>
      <c r="J79" s="497"/>
      <c r="K79" s="636">
        <f>IF(H79=0,L79/100,(L79/H79))</f>
        <v>0</v>
      </c>
      <c r="L79" s="499">
        <f>SUM(L80:L92)</f>
        <v>0</v>
      </c>
      <c r="N79" s="754" t="s">
        <v>592</v>
      </c>
    </row>
    <row r="80" spans="1:14">
      <c r="A80" s="1181"/>
      <c r="B80" s="1182"/>
      <c r="C80" s="1182"/>
      <c r="D80" s="1182"/>
      <c r="E80" s="1182"/>
      <c r="F80" s="1182"/>
      <c r="G80" s="1183"/>
      <c r="H80" s="511"/>
      <c r="I80" s="713"/>
      <c r="J80" s="714"/>
      <c r="K80" s="514"/>
      <c r="L80" s="501">
        <f>K80*J80</f>
        <v>0</v>
      </c>
    </row>
    <row r="81" spans="1:14">
      <c r="A81" s="1179"/>
      <c r="B81" s="1180"/>
      <c r="C81" s="1180"/>
      <c r="D81" s="1180"/>
      <c r="E81" s="1180"/>
      <c r="F81" s="1180"/>
      <c r="G81" s="1180"/>
      <c r="H81" s="511"/>
      <c r="I81" s="512"/>
      <c r="J81" s="513"/>
      <c r="K81" s="514"/>
      <c r="L81" s="501">
        <f t="shared" ref="L81:L82" si="4">K81*J81</f>
        <v>0</v>
      </c>
    </row>
    <row r="82" spans="1:14">
      <c r="A82" s="1179"/>
      <c r="B82" s="1180"/>
      <c r="C82" s="1180"/>
      <c r="D82" s="1180"/>
      <c r="E82" s="1180"/>
      <c r="F82" s="1180"/>
      <c r="G82" s="1180"/>
      <c r="H82" s="511"/>
      <c r="I82" s="512"/>
      <c r="J82" s="513"/>
      <c r="K82" s="514"/>
      <c r="L82" s="501">
        <f t="shared" si="4"/>
        <v>0</v>
      </c>
    </row>
    <row r="83" spans="1:14">
      <c r="A83" s="1179"/>
      <c r="B83" s="1180"/>
      <c r="C83" s="1180"/>
      <c r="D83" s="1180"/>
      <c r="E83" s="1180"/>
      <c r="F83" s="1180"/>
      <c r="G83" s="1180"/>
      <c r="H83" s="511"/>
      <c r="I83" s="512"/>
      <c r="J83" s="513"/>
      <c r="K83" s="514"/>
      <c r="L83" s="501">
        <f t="shared" ref="L83:L91" si="5">K83*J83</f>
        <v>0</v>
      </c>
    </row>
    <row r="84" spans="1:14">
      <c r="A84" s="1179"/>
      <c r="B84" s="1180"/>
      <c r="C84" s="1180"/>
      <c r="D84" s="1180"/>
      <c r="E84" s="1180"/>
      <c r="F84" s="1180"/>
      <c r="G84" s="1180"/>
      <c r="H84" s="511"/>
      <c r="I84" s="512"/>
      <c r="J84" s="513"/>
      <c r="K84" s="514"/>
      <c r="L84" s="501">
        <f t="shared" si="5"/>
        <v>0</v>
      </c>
    </row>
    <row r="85" spans="1:14">
      <c r="A85" s="1179"/>
      <c r="B85" s="1180"/>
      <c r="C85" s="1180"/>
      <c r="D85" s="1180"/>
      <c r="E85" s="1180"/>
      <c r="F85" s="1180"/>
      <c r="G85" s="1180"/>
      <c r="H85" s="511"/>
      <c r="I85" s="512"/>
      <c r="J85" s="513"/>
      <c r="K85" s="514"/>
      <c r="L85" s="501">
        <f t="shared" si="5"/>
        <v>0</v>
      </c>
    </row>
    <row r="86" spans="1:14">
      <c r="A86" s="1179"/>
      <c r="B86" s="1180"/>
      <c r="C86" s="1180"/>
      <c r="D86" s="1180"/>
      <c r="E86" s="1180"/>
      <c r="F86" s="1180"/>
      <c r="G86" s="1180"/>
      <c r="H86" s="511"/>
      <c r="I86" s="512"/>
      <c r="J86" s="513"/>
      <c r="K86" s="514"/>
      <c r="L86" s="501">
        <f t="shared" si="5"/>
        <v>0</v>
      </c>
    </row>
    <row r="87" spans="1:14">
      <c r="A87" s="1181"/>
      <c r="B87" s="1182"/>
      <c r="C87" s="1182"/>
      <c r="D87" s="1182"/>
      <c r="E87" s="1182"/>
      <c r="F87" s="1182"/>
      <c r="G87" s="1183"/>
      <c r="H87" s="511"/>
      <c r="I87" s="512"/>
      <c r="J87" s="513"/>
      <c r="K87" s="514"/>
      <c r="L87" s="501">
        <f t="shared" si="5"/>
        <v>0</v>
      </c>
    </row>
    <row r="88" spans="1:14">
      <c r="A88" s="1181"/>
      <c r="B88" s="1182"/>
      <c r="C88" s="1182"/>
      <c r="D88" s="1182"/>
      <c r="E88" s="1182"/>
      <c r="F88" s="1182"/>
      <c r="G88" s="1183"/>
      <c r="H88" s="511"/>
      <c r="I88" s="512"/>
      <c r="J88" s="513"/>
      <c r="K88" s="514"/>
      <c r="L88" s="501">
        <f t="shared" si="5"/>
        <v>0</v>
      </c>
    </row>
    <row r="89" spans="1:14">
      <c r="A89" s="744"/>
      <c r="B89" s="745"/>
      <c r="C89" s="745"/>
      <c r="D89" s="745"/>
      <c r="E89" s="745"/>
      <c r="F89" s="745"/>
      <c r="G89" s="746"/>
      <c r="H89" s="511"/>
      <c r="I89" s="512"/>
      <c r="J89" s="513"/>
      <c r="K89" s="514"/>
      <c r="L89" s="501">
        <f t="shared" si="5"/>
        <v>0</v>
      </c>
    </row>
    <row r="90" spans="1:14">
      <c r="A90" s="744"/>
      <c r="B90" s="745"/>
      <c r="C90" s="745"/>
      <c r="D90" s="745"/>
      <c r="E90" s="745"/>
      <c r="F90" s="745"/>
      <c r="G90" s="746"/>
      <c r="H90" s="511"/>
      <c r="I90" s="512"/>
      <c r="J90" s="513"/>
      <c r="K90" s="514"/>
      <c r="L90" s="501">
        <f t="shared" si="5"/>
        <v>0</v>
      </c>
    </row>
    <row r="91" spans="1:14">
      <c r="A91" s="744"/>
      <c r="B91" s="745"/>
      <c r="C91" s="745"/>
      <c r="D91" s="745"/>
      <c r="E91" s="745"/>
      <c r="F91" s="745"/>
      <c r="G91" s="746"/>
      <c r="H91" s="511"/>
      <c r="I91" s="512"/>
      <c r="J91" s="513"/>
      <c r="K91" s="514"/>
      <c r="L91" s="501">
        <f t="shared" si="5"/>
        <v>0</v>
      </c>
    </row>
    <row r="92" spans="1:14">
      <c r="A92" s="1179"/>
      <c r="B92" s="1180"/>
      <c r="C92" s="1180"/>
      <c r="D92" s="1180"/>
      <c r="E92" s="1180"/>
      <c r="F92" s="1180"/>
      <c r="G92" s="1180"/>
      <c r="H92" s="511"/>
      <c r="I92" s="512"/>
      <c r="J92" s="513"/>
      <c r="K92" s="514"/>
      <c r="L92" s="501"/>
    </row>
    <row r="93" spans="1:14">
      <c r="A93" s="1184" t="str">
        <f>'Pricing Schedule'!A48&amp;" " &amp;'Pricing Schedule'!B48</f>
        <v>21.07 (b) Security</v>
      </c>
      <c r="B93" s="1185"/>
      <c r="C93" s="1185"/>
      <c r="D93" s="1185"/>
      <c r="E93" s="1185"/>
      <c r="F93" s="1185"/>
      <c r="G93" s="1185"/>
      <c r="H93" s="496">
        <f>'Pricing Schedule'!F48</f>
        <v>7500000</v>
      </c>
      <c r="I93" s="497"/>
      <c r="J93" s="497"/>
      <c r="K93" s="748">
        <f>IF(H93=0,L93/100,(L93/H93))</f>
        <v>0</v>
      </c>
      <c r="L93" s="499">
        <f>SUM(L94:L123)</f>
        <v>0</v>
      </c>
      <c r="N93" s="754" t="s">
        <v>592</v>
      </c>
    </row>
    <row r="94" spans="1:14">
      <c r="A94" s="1181"/>
      <c r="B94" s="1182"/>
      <c r="C94" s="1182"/>
      <c r="D94" s="1182"/>
      <c r="E94" s="1182"/>
      <c r="F94" s="1182"/>
      <c r="G94" s="1183"/>
      <c r="H94" s="511"/>
      <c r="I94" s="512"/>
      <c r="J94" s="513"/>
      <c r="K94" s="514"/>
      <c r="L94" s="501">
        <f t="shared" ref="L94:L99" si="6">K94*J94</f>
        <v>0</v>
      </c>
    </row>
    <row r="95" spans="1:14">
      <c r="A95" s="1181"/>
      <c r="B95" s="1182"/>
      <c r="C95" s="1182"/>
      <c r="D95" s="1182"/>
      <c r="E95" s="1182"/>
      <c r="F95" s="1182"/>
      <c r="G95" s="1183"/>
      <c r="H95" s="511"/>
      <c r="I95" s="512"/>
      <c r="J95" s="513"/>
      <c r="K95" s="514"/>
      <c r="L95" s="501">
        <f t="shared" si="6"/>
        <v>0</v>
      </c>
    </row>
    <row r="96" spans="1:14">
      <c r="A96" s="1181"/>
      <c r="B96" s="1182"/>
      <c r="C96" s="1182"/>
      <c r="D96" s="1182"/>
      <c r="E96" s="1182"/>
      <c r="F96" s="1182"/>
      <c r="G96" s="1183"/>
      <c r="H96" s="511"/>
      <c r="I96" s="512"/>
      <c r="J96" s="513"/>
      <c r="K96" s="514"/>
      <c r="L96" s="501">
        <f t="shared" si="6"/>
        <v>0</v>
      </c>
    </row>
    <row r="97" spans="1:12">
      <c r="A97" s="1181"/>
      <c r="B97" s="1182"/>
      <c r="C97" s="1182"/>
      <c r="D97" s="1182"/>
      <c r="E97" s="1182"/>
      <c r="F97" s="1182"/>
      <c r="G97" s="1183"/>
      <c r="H97" s="511"/>
      <c r="I97" s="713"/>
      <c r="J97" s="714"/>
      <c r="K97" s="514"/>
      <c r="L97" s="501">
        <f t="shared" si="6"/>
        <v>0</v>
      </c>
    </row>
    <row r="98" spans="1:12">
      <c r="A98" s="1181"/>
      <c r="B98" s="1182"/>
      <c r="C98" s="1182"/>
      <c r="D98" s="1182"/>
      <c r="E98" s="1182"/>
      <c r="F98" s="1182"/>
      <c r="G98" s="1183"/>
      <c r="H98" s="511"/>
      <c r="I98" s="713"/>
      <c r="J98" s="714"/>
      <c r="K98" s="514"/>
      <c r="L98" s="501">
        <f t="shared" si="6"/>
        <v>0</v>
      </c>
    </row>
    <row r="99" spans="1:12">
      <c r="A99" s="1181"/>
      <c r="B99" s="1182"/>
      <c r="C99" s="1182"/>
      <c r="D99" s="1182"/>
      <c r="E99" s="1182"/>
      <c r="F99" s="1182"/>
      <c r="G99" s="1183"/>
      <c r="H99" s="511"/>
      <c r="I99" s="713"/>
      <c r="J99" s="714"/>
      <c r="K99" s="514"/>
      <c r="L99" s="501">
        <f t="shared" si="6"/>
        <v>0</v>
      </c>
    </row>
    <row r="100" spans="1:12">
      <c r="A100" s="1179"/>
      <c r="B100" s="1180"/>
      <c r="C100" s="1180"/>
      <c r="D100" s="1180"/>
      <c r="E100" s="1180"/>
      <c r="F100" s="1180"/>
      <c r="G100" s="1180"/>
      <c r="H100" s="511"/>
      <c r="I100" s="512"/>
      <c r="J100" s="513"/>
      <c r="K100" s="514"/>
      <c r="L100" s="501">
        <f t="shared" ref="L100:L122" si="7">K100*J100</f>
        <v>0</v>
      </c>
    </row>
    <row r="101" spans="1:12">
      <c r="A101" s="1179"/>
      <c r="B101" s="1180"/>
      <c r="C101" s="1180"/>
      <c r="D101" s="1180"/>
      <c r="E101" s="1180"/>
      <c r="F101" s="1180"/>
      <c r="G101" s="1180"/>
      <c r="H101" s="511"/>
      <c r="I101" s="512"/>
      <c r="J101" s="513"/>
      <c r="K101" s="514"/>
      <c r="L101" s="501">
        <f t="shared" si="7"/>
        <v>0</v>
      </c>
    </row>
    <row r="102" spans="1:12">
      <c r="A102" s="1179"/>
      <c r="B102" s="1180"/>
      <c r="C102" s="1180"/>
      <c r="D102" s="1180"/>
      <c r="E102" s="1180"/>
      <c r="F102" s="1180"/>
      <c r="G102" s="1180"/>
      <c r="H102" s="511"/>
      <c r="I102" s="512"/>
      <c r="J102" s="513"/>
      <c r="K102" s="514"/>
      <c r="L102" s="501">
        <f t="shared" si="7"/>
        <v>0</v>
      </c>
    </row>
    <row r="103" spans="1:12">
      <c r="A103" s="1179"/>
      <c r="B103" s="1180"/>
      <c r="C103" s="1180"/>
      <c r="D103" s="1180"/>
      <c r="E103" s="1180"/>
      <c r="F103" s="1180"/>
      <c r="G103" s="1180"/>
      <c r="H103" s="511"/>
      <c r="I103" s="512"/>
      <c r="J103" s="513"/>
      <c r="K103" s="514"/>
      <c r="L103" s="501">
        <f t="shared" si="7"/>
        <v>0</v>
      </c>
    </row>
    <row r="104" spans="1:12">
      <c r="A104" s="1179"/>
      <c r="B104" s="1180"/>
      <c r="C104" s="1180"/>
      <c r="D104" s="1180"/>
      <c r="E104" s="1180"/>
      <c r="F104" s="1180"/>
      <c r="G104" s="1180"/>
      <c r="H104" s="511"/>
      <c r="I104" s="512"/>
      <c r="J104" s="513"/>
      <c r="K104" s="514"/>
      <c r="L104" s="501">
        <f t="shared" si="7"/>
        <v>0</v>
      </c>
    </row>
    <row r="105" spans="1:12">
      <c r="A105" s="1179"/>
      <c r="B105" s="1180"/>
      <c r="C105" s="1180"/>
      <c r="D105" s="1180"/>
      <c r="E105" s="1180"/>
      <c r="F105" s="1180"/>
      <c r="G105" s="1180"/>
      <c r="H105" s="511"/>
      <c r="I105" s="512"/>
      <c r="J105" s="513"/>
      <c r="K105" s="514"/>
      <c r="L105" s="501">
        <f t="shared" si="7"/>
        <v>0</v>
      </c>
    </row>
    <row r="106" spans="1:12">
      <c r="A106" s="1179"/>
      <c r="B106" s="1180"/>
      <c r="C106" s="1180"/>
      <c r="D106" s="1180"/>
      <c r="E106" s="1180"/>
      <c r="F106" s="1180"/>
      <c r="G106" s="1180"/>
      <c r="H106" s="511"/>
      <c r="I106" s="512"/>
      <c r="J106" s="513"/>
      <c r="K106" s="514"/>
      <c r="L106" s="501">
        <f t="shared" si="7"/>
        <v>0</v>
      </c>
    </row>
    <row r="107" spans="1:12">
      <c r="A107" s="1179"/>
      <c r="B107" s="1180"/>
      <c r="C107" s="1180"/>
      <c r="D107" s="1180"/>
      <c r="E107" s="1180"/>
      <c r="F107" s="1180"/>
      <c r="G107" s="1180"/>
      <c r="H107" s="511"/>
      <c r="I107" s="512"/>
      <c r="J107" s="513"/>
      <c r="K107" s="514"/>
      <c r="L107" s="501">
        <f t="shared" si="7"/>
        <v>0</v>
      </c>
    </row>
    <row r="108" spans="1:12">
      <c r="A108" s="1179"/>
      <c r="B108" s="1180"/>
      <c r="C108" s="1180"/>
      <c r="D108" s="1180"/>
      <c r="E108" s="1180"/>
      <c r="F108" s="1180"/>
      <c r="G108" s="1180"/>
      <c r="H108" s="511"/>
      <c r="I108" s="512"/>
      <c r="J108" s="513"/>
      <c r="K108" s="514"/>
      <c r="L108" s="501">
        <f t="shared" si="7"/>
        <v>0</v>
      </c>
    </row>
    <row r="109" spans="1:12">
      <c r="A109" s="1179"/>
      <c r="B109" s="1180"/>
      <c r="C109" s="1180"/>
      <c r="D109" s="1180"/>
      <c r="E109" s="1180"/>
      <c r="F109" s="1180"/>
      <c r="G109" s="1180"/>
      <c r="H109" s="511"/>
      <c r="I109" s="512"/>
      <c r="J109" s="513"/>
      <c r="K109" s="514"/>
      <c r="L109" s="501">
        <f t="shared" si="7"/>
        <v>0</v>
      </c>
    </row>
    <row r="110" spans="1:12">
      <c r="A110" s="1179"/>
      <c r="B110" s="1180"/>
      <c r="C110" s="1180"/>
      <c r="D110" s="1180"/>
      <c r="E110" s="1180"/>
      <c r="F110" s="1180"/>
      <c r="G110" s="1180"/>
      <c r="H110" s="511"/>
      <c r="I110" s="512"/>
      <c r="J110" s="513"/>
      <c r="K110" s="514"/>
      <c r="L110" s="501">
        <f t="shared" si="7"/>
        <v>0</v>
      </c>
    </row>
    <row r="111" spans="1:12">
      <c r="A111" s="1179"/>
      <c r="B111" s="1180"/>
      <c r="C111" s="1180"/>
      <c r="D111" s="1180"/>
      <c r="E111" s="1180"/>
      <c r="F111" s="1180"/>
      <c r="G111" s="1180"/>
      <c r="H111" s="511"/>
      <c r="I111" s="512"/>
      <c r="J111" s="513"/>
      <c r="K111" s="514"/>
      <c r="L111" s="501">
        <f t="shared" si="7"/>
        <v>0</v>
      </c>
    </row>
    <row r="112" spans="1:12">
      <c r="A112" s="1179"/>
      <c r="B112" s="1180"/>
      <c r="C112" s="1180"/>
      <c r="D112" s="1180"/>
      <c r="E112" s="1180"/>
      <c r="F112" s="1180"/>
      <c r="G112" s="1180"/>
      <c r="H112" s="511"/>
      <c r="I112" s="512"/>
      <c r="J112" s="513"/>
      <c r="K112" s="514"/>
      <c r="L112" s="501">
        <f t="shared" si="7"/>
        <v>0</v>
      </c>
    </row>
    <row r="113" spans="1:14">
      <c r="A113" s="1179"/>
      <c r="B113" s="1180"/>
      <c r="C113" s="1180"/>
      <c r="D113" s="1180"/>
      <c r="E113" s="1180"/>
      <c r="F113" s="1180"/>
      <c r="G113" s="1180"/>
      <c r="H113" s="511"/>
      <c r="I113" s="512"/>
      <c r="J113" s="513"/>
      <c r="K113" s="514"/>
      <c r="L113" s="501">
        <f t="shared" si="7"/>
        <v>0</v>
      </c>
    </row>
    <row r="114" spans="1:14">
      <c r="A114" s="1179"/>
      <c r="B114" s="1180"/>
      <c r="C114" s="1180"/>
      <c r="D114" s="1180"/>
      <c r="E114" s="1180"/>
      <c r="F114" s="1180"/>
      <c r="G114" s="1180"/>
      <c r="H114" s="511"/>
      <c r="I114" s="512"/>
      <c r="J114" s="513"/>
      <c r="K114" s="514"/>
      <c r="L114" s="501">
        <f t="shared" si="7"/>
        <v>0</v>
      </c>
    </row>
    <row r="115" spans="1:14">
      <c r="A115" s="1179"/>
      <c r="B115" s="1180"/>
      <c r="C115" s="1180"/>
      <c r="D115" s="1180"/>
      <c r="E115" s="1180"/>
      <c r="F115" s="1180"/>
      <c r="G115" s="1180"/>
      <c r="H115" s="511"/>
      <c r="I115" s="512"/>
      <c r="J115" s="513"/>
      <c r="K115" s="514"/>
      <c r="L115" s="501">
        <f t="shared" si="7"/>
        <v>0</v>
      </c>
    </row>
    <row r="116" spans="1:14">
      <c r="A116" s="1179"/>
      <c r="B116" s="1180"/>
      <c r="C116" s="1180"/>
      <c r="D116" s="1180"/>
      <c r="E116" s="1180"/>
      <c r="F116" s="1180"/>
      <c r="G116" s="1180"/>
      <c r="H116" s="511"/>
      <c r="I116" s="512"/>
      <c r="J116" s="513"/>
      <c r="K116" s="514"/>
      <c r="L116" s="501">
        <f t="shared" si="7"/>
        <v>0</v>
      </c>
    </row>
    <row r="117" spans="1:14">
      <c r="A117" s="1179"/>
      <c r="B117" s="1180"/>
      <c r="C117" s="1180"/>
      <c r="D117" s="1180"/>
      <c r="E117" s="1180"/>
      <c r="F117" s="1180"/>
      <c r="G117" s="1180"/>
      <c r="H117" s="511"/>
      <c r="I117" s="512"/>
      <c r="J117" s="513"/>
      <c r="K117" s="514"/>
      <c r="L117" s="501">
        <f t="shared" si="7"/>
        <v>0</v>
      </c>
    </row>
    <row r="118" spans="1:14">
      <c r="A118" s="1179"/>
      <c r="B118" s="1180"/>
      <c r="C118" s="1180"/>
      <c r="D118" s="1180"/>
      <c r="E118" s="1180"/>
      <c r="F118" s="1180"/>
      <c r="G118" s="1180"/>
      <c r="H118" s="511"/>
      <c r="I118" s="512"/>
      <c r="J118" s="513"/>
      <c r="K118" s="514"/>
      <c r="L118" s="501">
        <f t="shared" si="7"/>
        <v>0</v>
      </c>
    </row>
    <row r="119" spans="1:14">
      <c r="A119" s="1179"/>
      <c r="B119" s="1180"/>
      <c r="C119" s="1180"/>
      <c r="D119" s="1180"/>
      <c r="E119" s="1180"/>
      <c r="F119" s="1180"/>
      <c r="G119" s="1180"/>
      <c r="H119" s="511"/>
      <c r="I119" s="512"/>
      <c r="J119" s="513"/>
      <c r="K119" s="514"/>
      <c r="L119" s="501">
        <f t="shared" si="7"/>
        <v>0</v>
      </c>
    </row>
    <row r="120" spans="1:14">
      <c r="A120" s="744"/>
      <c r="B120" s="745"/>
      <c r="C120" s="745"/>
      <c r="D120" s="745"/>
      <c r="E120" s="745"/>
      <c r="F120" s="745"/>
      <c r="G120" s="746"/>
      <c r="H120" s="511"/>
      <c r="I120" s="512"/>
      <c r="J120" s="513"/>
      <c r="K120" s="514"/>
      <c r="L120" s="501">
        <f t="shared" si="7"/>
        <v>0</v>
      </c>
    </row>
    <row r="121" spans="1:14">
      <c r="A121" s="744"/>
      <c r="B121" s="745"/>
      <c r="C121" s="745"/>
      <c r="D121" s="745"/>
      <c r="E121" s="745"/>
      <c r="F121" s="745"/>
      <c r="G121" s="746"/>
      <c r="H121" s="511"/>
      <c r="I121" s="512"/>
      <c r="J121" s="513"/>
      <c r="K121" s="514"/>
      <c r="L121" s="501">
        <f t="shared" si="7"/>
        <v>0</v>
      </c>
    </row>
    <row r="122" spans="1:14">
      <c r="A122" s="744"/>
      <c r="B122" s="745"/>
      <c r="C122" s="745"/>
      <c r="D122" s="745"/>
      <c r="E122" s="745"/>
      <c r="F122" s="745"/>
      <c r="G122" s="746"/>
      <c r="H122" s="511"/>
      <c r="I122" s="512"/>
      <c r="J122" s="513"/>
      <c r="K122" s="514"/>
      <c r="L122" s="501">
        <f t="shared" si="7"/>
        <v>0</v>
      </c>
    </row>
    <row r="123" spans="1:14">
      <c r="A123" s="744"/>
      <c r="B123" s="745"/>
      <c r="C123" s="745"/>
      <c r="D123" s="745"/>
      <c r="E123" s="745"/>
      <c r="F123" s="745"/>
      <c r="G123" s="746"/>
      <c r="H123" s="511"/>
      <c r="I123" s="713"/>
      <c r="J123" s="714"/>
      <c r="K123" s="514"/>
      <c r="L123" s="501"/>
    </row>
    <row r="124" spans="1:14">
      <c r="A124" s="1184" t="str">
        <f>'Pricing Schedule'!A49&amp;" " &amp;'Pricing Schedule'!B49</f>
        <v>21.07 (c) Cleaning</v>
      </c>
      <c r="B124" s="1185"/>
      <c r="C124" s="1185"/>
      <c r="D124" s="1185"/>
      <c r="E124" s="1185"/>
      <c r="F124" s="1185"/>
      <c r="G124" s="1185"/>
      <c r="H124" s="496">
        <f>'Pricing Schedule'!F49</f>
        <v>5000000</v>
      </c>
      <c r="I124" s="497"/>
      <c r="J124" s="497"/>
      <c r="K124" s="748">
        <f>IF(H124=0,L124/100,(L124/H124))</f>
        <v>0</v>
      </c>
      <c r="L124" s="499">
        <f>SUM(L125:L155)</f>
        <v>0</v>
      </c>
      <c r="N124" s="754"/>
    </row>
    <row r="125" spans="1:14">
      <c r="A125" s="1179"/>
      <c r="B125" s="1180"/>
      <c r="C125" s="1180"/>
      <c r="D125" s="1180"/>
      <c r="E125" s="1180"/>
      <c r="F125" s="1180"/>
      <c r="G125" s="1180"/>
      <c r="H125" s="511"/>
      <c r="I125" s="512"/>
      <c r="J125" s="513"/>
      <c r="K125" s="514"/>
      <c r="L125" s="501">
        <f t="shared" ref="L125:L126" si="8">K125*J125</f>
        <v>0</v>
      </c>
      <c r="N125" s="755"/>
    </row>
    <row r="126" spans="1:14">
      <c r="A126" s="1179"/>
      <c r="B126" s="1180"/>
      <c r="C126" s="1180"/>
      <c r="D126" s="1180"/>
      <c r="E126" s="1180"/>
      <c r="F126" s="1180"/>
      <c r="G126" s="1180"/>
      <c r="H126" s="511"/>
      <c r="I126" s="512"/>
      <c r="J126" s="513"/>
      <c r="K126" s="514"/>
      <c r="L126" s="501">
        <f t="shared" si="8"/>
        <v>0</v>
      </c>
      <c r="N126" s="754"/>
    </row>
    <row r="127" spans="1:14">
      <c r="A127" s="1179"/>
      <c r="B127" s="1180"/>
      <c r="C127" s="1180"/>
      <c r="D127" s="1180"/>
      <c r="E127" s="1180"/>
      <c r="F127" s="1180"/>
      <c r="G127" s="1180"/>
      <c r="H127" s="511"/>
      <c r="I127" s="512"/>
      <c r="J127" s="513"/>
      <c r="K127" s="514"/>
      <c r="L127" s="501">
        <f t="shared" ref="L127" si="9">K127*J127</f>
        <v>0</v>
      </c>
    </row>
    <row r="128" spans="1:14">
      <c r="A128" s="1179"/>
      <c r="B128" s="1180"/>
      <c r="C128" s="1180"/>
      <c r="D128" s="1180"/>
      <c r="E128" s="1180"/>
      <c r="F128" s="1180"/>
      <c r="G128" s="1180"/>
      <c r="H128" s="511"/>
      <c r="I128" s="512"/>
      <c r="J128" s="513"/>
      <c r="K128" s="514"/>
      <c r="L128" s="501">
        <f t="shared" ref="L128" si="10">K128*J128</f>
        <v>0</v>
      </c>
    </row>
    <row r="129" spans="1:12">
      <c r="A129" s="1179"/>
      <c r="B129" s="1180"/>
      <c r="C129" s="1180"/>
      <c r="D129" s="1180"/>
      <c r="E129" s="1180"/>
      <c r="F129" s="1180"/>
      <c r="G129" s="1180"/>
      <c r="H129" s="511"/>
      <c r="I129" s="512"/>
      <c r="J129" s="513"/>
      <c r="K129" s="514"/>
      <c r="L129" s="501">
        <f t="shared" ref="L129:L150" si="11">K129*J129</f>
        <v>0</v>
      </c>
    </row>
    <row r="130" spans="1:12">
      <c r="A130" s="1179"/>
      <c r="B130" s="1180"/>
      <c r="C130" s="1180"/>
      <c r="D130" s="1180"/>
      <c r="E130" s="1180"/>
      <c r="F130" s="1180"/>
      <c r="G130" s="1180"/>
      <c r="H130" s="511"/>
      <c r="I130" s="512"/>
      <c r="J130" s="513"/>
      <c r="K130" s="514"/>
      <c r="L130" s="501">
        <f t="shared" si="11"/>
        <v>0</v>
      </c>
    </row>
    <row r="131" spans="1:12">
      <c r="A131" s="1179"/>
      <c r="B131" s="1180"/>
      <c r="C131" s="1180"/>
      <c r="D131" s="1180"/>
      <c r="E131" s="1180"/>
      <c r="F131" s="1180"/>
      <c r="G131" s="1180"/>
      <c r="H131" s="511"/>
      <c r="I131" s="512"/>
      <c r="J131" s="513"/>
      <c r="K131" s="514"/>
      <c r="L131" s="501">
        <f t="shared" si="11"/>
        <v>0</v>
      </c>
    </row>
    <row r="132" spans="1:12">
      <c r="A132" s="1179"/>
      <c r="B132" s="1180"/>
      <c r="C132" s="1180"/>
      <c r="D132" s="1180"/>
      <c r="E132" s="1180"/>
      <c r="F132" s="1180"/>
      <c r="G132" s="1180"/>
      <c r="H132" s="511"/>
      <c r="I132" s="512"/>
      <c r="J132" s="513"/>
      <c r="K132" s="514"/>
      <c r="L132" s="501">
        <f t="shared" si="11"/>
        <v>0</v>
      </c>
    </row>
    <row r="133" spans="1:12">
      <c r="A133" s="1179"/>
      <c r="B133" s="1180"/>
      <c r="C133" s="1180"/>
      <c r="D133" s="1180"/>
      <c r="E133" s="1180"/>
      <c r="F133" s="1180"/>
      <c r="G133" s="1180"/>
      <c r="H133" s="511"/>
      <c r="I133" s="512"/>
      <c r="J133" s="513"/>
      <c r="K133" s="514"/>
      <c r="L133" s="501">
        <f t="shared" si="11"/>
        <v>0</v>
      </c>
    </row>
    <row r="134" spans="1:12">
      <c r="A134" s="1179"/>
      <c r="B134" s="1180"/>
      <c r="C134" s="1180"/>
      <c r="D134" s="1180"/>
      <c r="E134" s="1180"/>
      <c r="F134" s="1180"/>
      <c r="G134" s="1180"/>
      <c r="H134" s="511"/>
      <c r="I134" s="512"/>
      <c r="J134" s="513"/>
      <c r="K134" s="514"/>
      <c r="L134" s="501">
        <f t="shared" si="11"/>
        <v>0</v>
      </c>
    </row>
    <row r="135" spans="1:12">
      <c r="A135" s="1179"/>
      <c r="B135" s="1180"/>
      <c r="C135" s="1180"/>
      <c r="D135" s="1180"/>
      <c r="E135" s="1180"/>
      <c r="F135" s="1180"/>
      <c r="G135" s="1180"/>
      <c r="H135" s="511"/>
      <c r="I135" s="512"/>
      <c r="J135" s="513"/>
      <c r="K135" s="514"/>
      <c r="L135" s="501">
        <f t="shared" si="11"/>
        <v>0</v>
      </c>
    </row>
    <row r="136" spans="1:12">
      <c r="A136" s="1179"/>
      <c r="B136" s="1180"/>
      <c r="C136" s="1180"/>
      <c r="D136" s="1180"/>
      <c r="E136" s="1180"/>
      <c r="F136" s="1180"/>
      <c r="G136" s="1180"/>
      <c r="H136" s="511"/>
      <c r="I136" s="512"/>
      <c r="J136" s="513"/>
      <c r="K136" s="514"/>
      <c r="L136" s="501">
        <f t="shared" si="11"/>
        <v>0</v>
      </c>
    </row>
    <row r="137" spans="1:12">
      <c r="A137" s="1179"/>
      <c r="B137" s="1180"/>
      <c r="C137" s="1180"/>
      <c r="D137" s="1180"/>
      <c r="E137" s="1180"/>
      <c r="F137" s="1180"/>
      <c r="G137" s="1180"/>
      <c r="H137" s="511"/>
      <c r="I137" s="512"/>
      <c r="J137" s="513"/>
      <c r="K137" s="514"/>
      <c r="L137" s="501">
        <f t="shared" si="11"/>
        <v>0</v>
      </c>
    </row>
    <row r="138" spans="1:12">
      <c r="A138" s="1179"/>
      <c r="B138" s="1180"/>
      <c r="C138" s="1180"/>
      <c r="D138" s="1180"/>
      <c r="E138" s="1180"/>
      <c r="F138" s="1180"/>
      <c r="G138" s="1180"/>
      <c r="H138" s="511"/>
      <c r="I138" s="512"/>
      <c r="J138" s="513"/>
      <c r="K138" s="514"/>
      <c r="L138" s="501">
        <f t="shared" si="11"/>
        <v>0</v>
      </c>
    </row>
    <row r="139" spans="1:12">
      <c r="A139" s="1179"/>
      <c r="B139" s="1180"/>
      <c r="C139" s="1180"/>
      <c r="D139" s="1180"/>
      <c r="E139" s="1180"/>
      <c r="F139" s="1180"/>
      <c r="G139" s="1180"/>
      <c r="H139" s="511"/>
      <c r="I139" s="512"/>
      <c r="J139" s="513"/>
      <c r="K139" s="514"/>
      <c r="L139" s="501">
        <f t="shared" si="11"/>
        <v>0</v>
      </c>
    </row>
    <row r="140" spans="1:12">
      <c r="A140" s="1179"/>
      <c r="B140" s="1180"/>
      <c r="C140" s="1180"/>
      <c r="D140" s="1180"/>
      <c r="E140" s="1180"/>
      <c r="F140" s="1180"/>
      <c r="G140" s="1180"/>
      <c r="H140" s="511"/>
      <c r="I140" s="512"/>
      <c r="J140" s="513"/>
      <c r="K140" s="514"/>
      <c r="L140" s="501">
        <f t="shared" si="11"/>
        <v>0</v>
      </c>
    </row>
    <row r="141" spans="1:12">
      <c r="A141" s="1179"/>
      <c r="B141" s="1180"/>
      <c r="C141" s="1180"/>
      <c r="D141" s="1180"/>
      <c r="E141" s="1180"/>
      <c r="F141" s="1180"/>
      <c r="G141" s="1180"/>
      <c r="H141" s="511"/>
      <c r="I141" s="512"/>
      <c r="J141" s="513"/>
      <c r="K141" s="514"/>
      <c r="L141" s="501">
        <f t="shared" si="11"/>
        <v>0</v>
      </c>
    </row>
    <row r="142" spans="1:12">
      <c r="A142" s="1179"/>
      <c r="B142" s="1180"/>
      <c r="C142" s="1180"/>
      <c r="D142" s="1180"/>
      <c r="E142" s="1180"/>
      <c r="F142" s="1180"/>
      <c r="G142" s="1180"/>
      <c r="H142" s="511"/>
      <c r="I142" s="512"/>
      <c r="J142" s="513"/>
      <c r="K142" s="514"/>
      <c r="L142" s="501">
        <f t="shared" si="11"/>
        <v>0</v>
      </c>
    </row>
    <row r="143" spans="1:12">
      <c r="A143" s="1179"/>
      <c r="B143" s="1180"/>
      <c r="C143" s="1180"/>
      <c r="D143" s="1180"/>
      <c r="E143" s="1180"/>
      <c r="F143" s="1180"/>
      <c r="G143" s="1180"/>
      <c r="H143" s="511"/>
      <c r="I143" s="512"/>
      <c r="J143" s="513"/>
      <c r="K143" s="514"/>
      <c r="L143" s="501">
        <f t="shared" si="11"/>
        <v>0</v>
      </c>
    </row>
    <row r="144" spans="1:12">
      <c r="A144" s="1179"/>
      <c r="B144" s="1180"/>
      <c r="C144" s="1180"/>
      <c r="D144" s="1180"/>
      <c r="E144" s="1180"/>
      <c r="F144" s="1180"/>
      <c r="G144" s="1180"/>
      <c r="H144" s="511"/>
      <c r="I144" s="512"/>
      <c r="J144" s="513"/>
      <c r="K144" s="514"/>
      <c r="L144" s="501">
        <f t="shared" si="11"/>
        <v>0</v>
      </c>
    </row>
    <row r="145" spans="1:12">
      <c r="A145" s="1179"/>
      <c r="B145" s="1180"/>
      <c r="C145" s="1180"/>
      <c r="D145" s="1180"/>
      <c r="E145" s="1180"/>
      <c r="F145" s="1180"/>
      <c r="G145" s="1180"/>
      <c r="H145" s="511"/>
      <c r="I145" s="512"/>
      <c r="J145" s="513"/>
      <c r="K145" s="514"/>
      <c r="L145" s="501">
        <f t="shared" si="11"/>
        <v>0</v>
      </c>
    </row>
    <row r="146" spans="1:12">
      <c r="A146" s="1179"/>
      <c r="B146" s="1180"/>
      <c r="C146" s="1180"/>
      <c r="D146" s="1180"/>
      <c r="E146" s="1180"/>
      <c r="F146" s="1180"/>
      <c r="G146" s="1180"/>
      <c r="H146" s="511"/>
      <c r="I146" s="512"/>
      <c r="J146" s="513"/>
      <c r="K146" s="514"/>
      <c r="L146" s="501">
        <f t="shared" si="11"/>
        <v>0</v>
      </c>
    </row>
    <row r="147" spans="1:12">
      <c r="A147" s="1179"/>
      <c r="B147" s="1180"/>
      <c r="C147" s="1180"/>
      <c r="D147" s="1180"/>
      <c r="E147" s="1180"/>
      <c r="F147" s="1180"/>
      <c r="G147" s="1180"/>
      <c r="H147" s="511"/>
      <c r="I147" s="512"/>
      <c r="J147" s="513"/>
      <c r="K147" s="514"/>
      <c r="L147" s="501">
        <f t="shared" si="11"/>
        <v>0</v>
      </c>
    </row>
    <row r="148" spans="1:12">
      <c r="A148" s="1179"/>
      <c r="B148" s="1180"/>
      <c r="C148" s="1180"/>
      <c r="D148" s="1180"/>
      <c r="E148" s="1180"/>
      <c r="F148" s="1180"/>
      <c r="G148" s="1180"/>
      <c r="H148" s="511"/>
      <c r="I148" s="512"/>
      <c r="J148" s="513"/>
      <c r="K148" s="514"/>
      <c r="L148" s="501">
        <f t="shared" si="11"/>
        <v>0</v>
      </c>
    </row>
    <row r="149" spans="1:12">
      <c r="A149" s="1179"/>
      <c r="B149" s="1180"/>
      <c r="C149" s="1180"/>
      <c r="D149" s="1180"/>
      <c r="E149" s="1180"/>
      <c r="F149" s="1180"/>
      <c r="G149" s="1180"/>
      <c r="H149" s="511"/>
      <c r="I149" s="512"/>
      <c r="J149" s="513"/>
      <c r="K149" s="514"/>
      <c r="L149" s="501">
        <f t="shared" si="11"/>
        <v>0</v>
      </c>
    </row>
    <row r="150" spans="1:12">
      <c r="A150" s="1179"/>
      <c r="B150" s="1180"/>
      <c r="C150" s="1180"/>
      <c r="D150" s="1180"/>
      <c r="E150" s="1180"/>
      <c r="F150" s="1180"/>
      <c r="G150" s="1180"/>
      <c r="H150" s="511"/>
      <c r="I150" s="512"/>
      <c r="J150" s="513"/>
      <c r="K150" s="514"/>
      <c r="L150" s="501">
        <f t="shared" si="11"/>
        <v>0</v>
      </c>
    </row>
    <row r="151" spans="1:12">
      <c r="A151" s="1179"/>
      <c r="B151" s="1180"/>
      <c r="C151" s="1180"/>
      <c r="D151" s="1180"/>
      <c r="E151" s="1180"/>
      <c r="F151" s="1180"/>
      <c r="G151" s="1180"/>
      <c r="H151" s="511"/>
      <c r="I151" s="512"/>
      <c r="J151" s="513"/>
      <c r="K151" s="514"/>
      <c r="L151" s="501">
        <f t="shared" ref="L151:L154" si="12">K151*J151</f>
        <v>0</v>
      </c>
    </row>
    <row r="152" spans="1:12">
      <c r="A152" s="1181"/>
      <c r="B152" s="1182"/>
      <c r="C152" s="1182"/>
      <c r="D152" s="1182"/>
      <c r="E152" s="1182"/>
      <c r="F152" s="1182"/>
      <c r="G152" s="1183"/>
      <c r="H152" s="511"/>
      <c r="I152" s="512"/>
      <c r="J152" s="513"/>
      <c r="K152" s="514"/>
      <c r="L152" s="501">
        <f t="shared" si="12"/>
        <v>0</v>
      </c>
    </row>
    <row r="153" spans="1:12">
      <c r="A153" s="1181"/>
      <c r="B153" s="1182"/>
      <c r="C153" s="1182"/>
      <c r="D153" s="1182"/>
      <c r="E153" s="1182"/>
      <c r="F153" s="1182"/>
      <c r="G153" s="1183"/>
      <c r="H153" s="511"/>
      <c r="I153" s="512"/>
      <c r="J153" s="513"/>
      <c r="K153" s="514"/>
      <c r="L153" s="501">
        <f t="shared" si="12"/>
        <v>0</v>
      </c>
    </row>
    <row r="154" spans="1:12">
      <c r="A154" s="1181"/>
      <c r="B154" s="1182"/>
      <c r="C154" s="1182"/>
      <c r="D154" s="1182"/>
      <c r="E154" s="1182"/>
      <c r="F154" s="1182"/>
      <c r="G154" s="1183"/>
      <c r="H154" s="511"/>
      <c r="I154" s="512"/>
      <c r="J154" s="513"/>
      <c r="K154" s="514"/>
      <c r="L154" s="501">
        <f t="shared" si="12"/>
        <v>0</v>
      </c>
    </row>
    <row r="155" spans="1:12">
      <c r="A155" s="1186"/>
      <c r="B155" s="1187"/>
      <c r="C155" s="1187"/>
      <c r="D155" s="1187"/>
      <c r="E155" s="1187"/>
      <c r="F155" s="1187"/>
      <c r="G155" s="1188"/>
      <c r="H155" s="511"/>
      <c r="I155" s="512"/>
      <c r="J155" s="513"/>
      <c r="K155" s="514"/>
      <c r="L155" s="501"/>
    </row>
    <row r="156" spans="1:12">
      <c r="A156" s="1184" t="str">
        <f>'Pricing Schedule'!A50&amp;" " &amp;'Pricing Schedule'!B50</f>
        <v>21.07 (d) Hygiene</v>
      </c>
      <c r="B156" s="1185"/>
      <c r="C156" s="1185"/>
      <c r="D156" s="1185"/>
      <c r="E156" s="1185"/>
      <c r="F156" s="1185"/>
      <c r="G156" s="1185"/>
      <c r="H156" s="496">
        <f>'Pricing Schedule'!F50</f>
        <v>3000000</v>
      </c>
      <c r="I156" s="497"/>
      <c r="J156" s="497"/>
      <c r="K156" s="748">
        <f>IF(H156=0,L156/100,(L156/H156))</f>
        <v>0</v>
      </c>
      <c r="L156" s="499">
        <f>SUM(L157:L186)</f>
        <v>0</v>
      </c>
    </row>
    <row r="157" spans="1:12">
      <c r="A157" s="1179"/>
      <c r="B157" s="1180"/>
      <c r="C157" s="1180"/>
      <c r="D157" s="1180"/>
      <c r="E157" s="1180"/>
      <c r="F157" s="1180"/>
      <c r="G157" s="1180"/>
      <c r="H157" s="511"/>
      <c r="I157" s="512"/>
      <c r="J157" s="513"/>
      <c r="K157" s="514"/>
      <c r="L157" s="501">
        <f t="shared" ref="L157:L160" si="13">K157*J157</f>
        <v>0</v>
      </c>
    </row>
    <row r="158" spans="1:12">
      <c r="A158" s="1179"/>
      <c r="B158" s="1180"/>
      <c r="C158" s="1180"/>
      <c r="D158" s="1180"/>
      <c r="E158" s="1180"/>
      <c r="F158" s="1180"/>
      <c r="G158" s="1180"/>
      <c r="H158" s="511"/>
      <c r="I158" s="512"/>
      <c r="J158" s="513"/>
      <c r="K158" s="514"/>
      <c r="L158" s="501">
        <f t="shared" si="13"/>
        <v>0</v>
      </c>
    </row>
    <row r="159" spans="1:12">
      <c r="A159" s="1179"/>
      <c r="B159" s="1180"/>
      <c r="C159" s="1180"/>
      <c r="D159" s="1180"/>
      <c r="E159" s="1180"/>
      <c r="F159" s="1180"/>
      <c r="G159" s="1180"/>
      <c r="H159" s="511"/>
      <c r="I159" s="512"/>
      <c r="J159" s="513"/>
      <c r="K159" s="514"/>
      <c r="L159" s="501">
        <f t="shared" si="13"/>
        <v>0</v>
      </c>
    </row>
    <row r="160" spans="1:12">
      <c r="A160" s="1179"/>
      <c r="B160" s="1180"/>
      <c r="C160" s="1180"/>
      <c r="D160" s="1180"/>
      <c r="E160" s="1180"/>
      <c r="F160" s="1180"/>
      <c r="G160" s="1180"/>
      <c r="H160" s="511"/>
      <c r="I160" s="512"/>
      <c r="J160" s="513"/>
      <c r="K160" s="514"/>
      <c r="L160" s="501">
        <f t="shared" si="13"/>
        <v>0</v>
      </c>
    </row>
    <row r="161" spans="1:14">
      <c r="A161" s="1179"/>
      <c r="B161" s="1180"/>
      <c r="C161" s="1180"/>
      <c r="D161" s="1180"/>
      <c r="E161" s="1180"/>
      <c r="F161" s="1180"/>
      <c r="G161" s="1180"/>
      <c r="H161" s="511"/>
      <c r="I161" s="512"/>
      <c r="J161" s="513"/>
      <c r="K161" s="514"/>
      <c r="L161" s="501">
        <f t="shared" ref="L161:L182" si="14">K161*J161</f>
        <v>0</v>
      </c>
    </row>
    <row r="162" spans="1:14">
      <c r="A162" s="1179"/>
      <c r="B162" s="1180"/>
      <c r="C162" s="1180"/>
      <c r="D162" s="1180"/>
      <c r="E162" s="1180"/>
      <c r="F162" s="1180"/>
      <c r="G162" s="1180"/>
      <c r="H162" s="511"/>
      <c r="I162" s="512"/>
      <c r="J162" s="513"/>
      <c r="K162" s="514"/>
      <c r="L162" s="501">
        <f t="shared" si="14"/>
        <v>0</v>
      </c>
    </row>
    <row r="163" spans="1:14">
      <c r="A163" s="1179"/>
      <c r="B163" s="1180"/>
      <c r="C163" s="1180"/>
      <c r="D163" s="1180"/>
      <c r="E163" s="1180"/>
      <c r="F163" s="1180"/>
      <c r="G163" s="1180"/>
      <c r="H163" s="511"/>
      <c r="I163" s="512"/>
      <c r="J163" s="513"/>
      <c r="K163" s="514"/>
      <c r="L163" s="501">
        <f t="shared" si="14"/>
        <v>0</v>
      </c>
    </row>
    <row r="164" spans="1:14">
      <c r="A164" s="1179"/>
      <c r="B164" s="1180"/>
      <c r="C164" s="1180"/>
      <c r="D164" s="1180"/>
      <c r="E164" s="1180"/>
      <c r="F164" s="1180"/>
      <c r="G164" s="1180"/>
      <c r="H164" s="511"/>
      <c r="I164" s="512"/>
      <c r="J164" s="513"/>
      <c r="K164" s="514"/>
      <c r="L164" s="501">
        <f t="shared" si="14"/>
        <v>0</v>
      </c>
    </row>
    <row r="165" spans="1:14">
      <c r="A165" s="1179"/>
      <c r="B165" s="1180"/>
      <c r="C165" s="1180"/>
      <c r="D165" s="1180"/>
      <c r="E165" s="1180"/>
      <c r="F165" s="1180"/>
      <c r="G165" s="1180"/>
      <c r="H165" s="511"/>
      <c r="I165" s="512"/>
      <c r="J165" s="513"/>
      <c r="K165" s="514"/>
      <c r="L165" s="501">
        <f t="shared" si="14"/>
        <v>0</v>
      </c>
    </row>
    <row r="166" spans="1:14">
      <c r="A166" s="1179"/>
      <c r="B166" s="1180"/>
      <c r="C166" s="1180"/>
      <c r="D166" s="1180"/>
      <c r="E166" s="1180"/>
      <c r="F166" s="1180"/>
      <c r="G166" s="1180"/>
      <c r="H166" s="511"/>
      <c r="I166" s="512"/>
      <c r="J166" s="513"/>
      <c r="K166" s="514"/>
      <c r="L166" s="501">
        <f t="shared" si="14"/>
        <v>0</v>
      </c>
    </row>
    <row r="167" spans="1:14">
      <c r="A167" s="1179"/>
      <c r="B167" s="1180"/>
      <c r="C167" s="1180"/>
      <c r="D167" s="1180"/>
      <c r="E167" s="1180"/>
      <c r="F167" s="1180"/>
      <c r="G167" s="1180"/>
      <c r="H167" s="511"/>
      <c r="I167" s="512"/>
      <c r="J167" s="513"/>
      <c r="K167" s="514"/>
      <c r="L167" s="501">
        <f t="shared" si="14"/>
        <v>0</v>
      </c>
    </row>
    <row r="168" spans="1:14">
      <c r="A168" s="1179"/>
      <c r="B168" s="1180"/>
      <c r="C168" s="1180"/>
      <c r="D168" s="1180"/>
      <c r="E168" s="1180"/>
      <c r="F168" s="1180"/>
      <c r="G168" s="1180"/>
      <c r="H168" s="511"/>
      <c r="I168" s="512"/>
      <c r="J168" s="513"/>
      <c r="K168" s="514"/>
      <c r="L168" s="501">
        <f t="shared" si="14"/>
        <v>0</v>
      </c>
    </row>
    <row r="169" spans="1:14">
      <c r="A169" s="1179"/>
      <c r="B169" s="1180"/>
      <c r="C169" s="1180"/>
      <c r="D169" s="1180"/>
      <c r="E169" s="1180"/>
      <c r="F169" s="1180"/>
      <c r="G169" s="1180"/>
      <c r="H169" s="511"/>
      <c r="I169" s="512"/>
      <c r="J169" s="513"/>
      <c r="K169" s="514"/>
      <c r="L169" s="501">
        <f t="shared" si="14"/>
        <v>0</v>
      </c>
    </row>
    <row r="170" spans="1:14" ht="12" customHeight="1">
      <c r="A170" s="1179"/>
      <c r="B170" s="1180"/>
      <c r="C170" s="1180"/>
      <c r="D170" s="1180"/>
      <c r="E170" s="1180"/>
      <c r="F170" s="1180"/>
      <c r="G170" s="1180"/>
      <c r="H170" s="511"/>
      <c r="I170" s="512"/>
      <c r="J170" s="513"/>
      <c r="K170" s="514"/>
      <c r="L170" s="501">
        <f t="shared" si="14"/>
        <v>0</v>
      </c>
    </row>
    <row r="171" spans="1:14" ht="12" customHeight="1">
      <c r="A171" s="1179"/>
      <c r="B171" s="1180"/>
      <c r="C171" s="1180"/>
      <c r="D171" s="1180"/>
      <c r="E171" s="1180"/>
      <c r="F171" s="1180"/>
      <c r="G171" s="1180"/>
      <c r="H171" s="511"/>
      <c r="I171" s="512"/>
      <c r="J171" s="513"/>
      <c r="K171" s="514"/>
      <c r="L171" s="501">
        <f t="shared" si="14"/>
        <v>0</v>
      </c>
    </row>
    <row r="172" spans="1:14" ht="12" customHeight="1">
      <c r="A172" s="1179"/>
      <c r="B172" s="1180"/>
      <c r="C172" s="1180"/>
      <c r="D172" s="1180"/>
      <c r="E172" s="1180"/>
      <c r="F172" s="1180"/>
      <c r="G172" s="1180"/>
      <c r="H172" s="511"/>
      <c r="I172" s="512"/>
      <c r="J172" s="513"/>
      <c r="K172" s="514"/>
      <c r="L172" s="501">
        <f t="shared" si="14"/>
        <v>0</v>
      </c>
    </row>
    <row r="173" spans="1:14" ht="12" customHeight="1">
      <c r="A173" s="1179"/>
      <c r="B173" s="1180"/>
      <c r="C173" s="1180"/>
      <c r="D173" s="1180"/>
      <c r="E173" s="1180"/>
      <c r="F173" s="1180"/>
      <c r="G173" s="1180"/>
      <c r="H173" s="511"/>
      <c r="I173" s="512"/>
      <c r="J173" s="513"/>
      <c r="K173" s="514"/>
      <c r="L173" s="501">
        <f t="shared" si="14"/>
        <v>0</v>
      </c>
    </row>
    <row r="174" spans="1:14" ht="12" customHeight="1">
      <c r="A174" s="1179"/>
      <c r="B174" s="1180"/>
      <c r="C174" s="1180"/>
      <c r="D174" s="1180"/>
      <c r="E174" s="1180"/>
      <c r="F174" s="1180"/>
      <c r="G174" s="1180"/>
      <c r="H174" s="511"/>
      <c r="I174" s="512"/>
      <c r="J174" s="513"/>
      <c r="K174" s="514"/>
      <c r="L174" s="501">
        <f t="shared" si="14"/>
        <v>0</v>
      </c>
      <c r="N174" s="734"/>
    </row>
    <row r="175" spans="1:14" ht="12" customHeight="1">
      <c r="A175" s="1179"/>
      <c r="B175" s="1180"/>
      <c r="C175" s="1180"/>
      <c r="D175" s="1180"/>
      <c r="E175" s="1180"/>
      <c r="F175" s="1180"/>
      <c r="G175" s="1180"/>
      <c r="H175" s="511"/>
      <c r="I175" s="512"/>
      <c r="J175" s="513"/>
      <c r="K175" s="514"/>
      <c r="L175" s="501">
        <f t="shared" si="14"/>
        <v>0</v>
      </c>
      <c r="N175" s="734"/>
    </row>
    <row r="176" spans="1:14" ht="12" customHeight="1">
      <c r="A176" s="1179"/>
      <c r="B176" s="1180"/>
      <c r="C176" s="1180"/>
      <c r="D176" s="1180"/>
      <c r="E176" s="1180"/>
      <c r="F176" s="1180"/>
      <c r="G176" s="1180"/>
      <c r="H176" s="511"/>
      <c r="I176" s="512"/>
      <c r="J176" s="513"/>
      <c r="K176" s="514"/>
      <c r="L176" s="501">
        <f t="shared" si="14"/>
        <v>0</v>
      </c>
      <c r="N176" s="734"/>
    </row>
    <row r="177" spans="1:14" ht="12" customHeight="1">
      <c r="A177" s="1179"/>
      <c r="B177" s="1180"/>
      <c r="C177" s="1180"/>
      <c r="D177" s="1180"/>
      <c r="E177" s="1180"/>
      <c r="F177" s="1180"/>
      <c r="G177" s="1180"/>
      <c r="H177" s="511"/>
      <c r="I177" s="512"/>
      <c r="J177" s="513"/>
      <c r="K177" s="514"/>
      <c r="L177" s="501">
        <f t="shared" si="14"/>
        <v>0</v>
      </c>
      <c r="N177" s="734"/>
    </row>
    <row r="178" spans="1:14" ht="12" customHeight="1">
      <c r="A178" s="1179"/>
      <c r="B178" s="1180"/>
      <c r="C178" s="1180"/>
      <c r="D178" s="1180"/>
      <c r="E178" s="1180"/>
      <c r="F178" s="1180"/>
      <c r="G178" s="1180"/>
      <c r="H178" s="511"/>
      <c r="I178" s="512"/>
      <c r="J178" s="513"/>
      <c r="K178" s="514"/>
      <c r="L178" s="501">
        <f t="shared" si="14"/>
        <v>0</v>
      </c>
      <c r="N178" s="734"/>
    </row>
    <row r="179" spans="1:14" ht="12" customHeight="1">
      <c r="A179" s="1179"/>
      <c r="B179" s="1180"/>
      <c r="C179" s="1180"/>
      <c r="D179" s="1180"/>
      <c r="E179" s="1180"/>
      <c r="F179" s="1180"/>
      <c r="G179" s="1180"/>
      <c r="H179" s="511"/>
      <c r="I179" s="512"/>
      <c r="J179" s="513"/>
      <c r="K179" s="514"/>
      <c r="L179" s="501">
        <f t="shared" si="14"/>
        <v>0</v>
      </c>
      <c r="N179" s="734"/>
    </row>
    <row r="180" spans="1:14" ht="12" customHeight="1">
      <c r="A180" s="1179"/>
      <c r="B180" s="1180"/>
      <c r="C180" s="1180"/>
      <c r="D180" s="1180"/>
      <c r="E180" s="1180"/>
      <c r="F180" s="1180"/>
      <c r="G180" s="1180"/>
      <c r="H180" s="511"/>
      <c r="I180" s="512"/>
      <c r="J180" s="513"/>
      <c r="K180" s="514"/>
      <c r="L180" s="501">
        <f t="shared" si="14"/>
        <v>0</v>
      </c>
      <c r="N180" s="734"/>
    </row>
    <row r="181" spans="1:14" ht="12" customHeight="1">
      <c r="A181" s="1179"/>
      <c r="B181" s="1180"/>
      <c r="C181" s="1180"/>
      <c r="D181" s="1180"/>
      <c r="E181" s="1180"/>
      <c r="F181" s="1180"/>
      <c r="G181" s="1180"/>
      <c r="H181" s="511"/>
      <c r="I181" s="512"/>
      <c r="J181" s="513"/>
      <c r="K181" s="514"/>
      <c r="L181" s="501">
        <f t="shared" si="14"/>
        <v>0</v>
      </c>
      <c r="N181" s="734"/>
    </row>
    <row r="182" spans="1:14" ht="12" customHeight="1">
      <c r="A182" s="1179"/>
      <c r="B182" s="1180"/>
      <c r="C182" s="1180"/>
      <c r="D182" s="1180"/>
      <c r="E182" s="1180"/>
      <c r="F182" s="1180"/>
      <c r="G182" s="1180"/>
      <c r="H182" s="511"/>
      <c r="I182" s="512"/>
      <c r="J182" s="513"/>
      <c r="K182" s="514"/>
      <c r="L182" s="501">
        <f t="shared" si="14"/>
        <v>0</v>
      </c>
      <c r="N182" s="734"/>
    </row>
    <row r="183" spans="1:14" ht="12" customHeight="1">
      <c r="A183" s="1179"/>
      <c r="B183" s="1180"/>
      <c r="C183" s="1180"/>
      <c r="D183" s="1180"/>
      <c r="E183" s="1180"/>
      <c r="F183" s="1180"/>
      <c r="G183" s="1180"/>
      <c r="H183" s="511"/>
      <c r="I183" s="512"/>
      <c r="J183" s="513"/>
      <c r="K183" s="514"/>
      <c r="L183" s="501">
        <f t="shared" ref="L183:L185" si="15">K183*J183</f>
        <v>0</v>
      </c>
      <c r="N183" s="734"/>
    </row>
    <row r="184" spans="1:14" ht="12" customHeight="1">
      <c r="A184" s="1181"/>
      <c r="B184" s="1182"/>
      <c r="C184" s="1182"/>
      <c r="D184" s="1182"/>
      <c r="E184" s="1182"/>
      <c r="F184" s="1182"/>
      <c r="G184" s="1183"/>
      <c r="H184" s="511"/>
      <c r="I184" s="512"/>
      <c r="J184" s="513"/>
      <c r="K184" s="514"/>
      <c r="L184" s="501">
        <f t="shared" si="15"/>
        <v>0</v>
      </c>
      <c r="N184" s="734"/>
    </row>
    <row r="185" spans="1:14" ht="12" customHeight="1">
      <c r="A185" s="1181"/>
      <c r="B185" s="1182"/>
      <c r="C185" s="1182"/>
      <c r="D185" s="1182"/>
      <c r="E185" s="1182"/>
      <c r="F185" s="1182"/>
      <c r="G185" s="1183"/>
      <c r="H185" s="511"/>
      <c r="I185" s="512"/>
      <c r="J185" s="513"/>
      <c r="K185" s="514"/>
      <c r="L185" s="501">
        <f t="shared" si="15"/>
        <v>0</v>
      </c>
      <c r="N185" s="734"/>
    </row>
    <row r="186" spans="1:14" ht="12" customHeight="1">
      <c r="A186" s="1179"/>
      <c r="B186" s="1180"/>
      <c r="C186" s="1180"/>
      <c r="D186" s="1180"/>
      <c r="E186" s="1180"/>
      <c r="F186" s="1180"/>
      <c r="G186" s="1180"/>
      <c r="H186" s="511"/>
      <c r="I186" s="512"/>
      <c r="J186" s="513"/>
      <c r="K186" s="514"/>
      <c r="L186" s="501"/>
    </row>
    <row r="187" spans="1:14">
      <c r="A187" s="1184" t="str">
        <f>'Pricing Schedule'!A51&amp;" " &amp;'Pricing Schedule'!B51</f>
        <v>21.07 (e) Pest Control</v>
      </c>
      <c r="B187" s="1185"/>
      <c r="C187" s="1185"/>
      <c r="D187" s="1185"/>
      <c r="E187" s="1185"/>
      <c r="F187" s="1185"/>
      <c r="G187" s="1185"/>
      <c r="H187" s="496">
        <f>'Pricing Schedule'!F51</f>
        <v>500000</v>
      </c>
      <c r="I187" s="497"/>
      <c r="J187" s="497"/>
      <c r="K187" s="748">
        <f>IF(H187=0,L187/100,(L187/H187))</f>
        <v>0</v>
      </c>
      <c r="L187" s="499">
        <f>SUM(L188:L217)</f>
        <v>0</v>
      </c>
    </row>
    <row r="188" spans="1:14">
      <c r="A188" s="1179"/>
      <c r="B188" s="1180"/>
      <c r="C188" s="1180"/>
      <c r="D188" s="1180"/>
      <c r="E188" s="1180"/>
      <c r="F188" s="1180"/>
      <c r="G188" s="1180"/>
      <c r="H188" s="511"/>
      <c r="I188" s="512"/>
      <c r="J188" s="513"/>
      <c r="K188" s="514"/>
      <c r="L188" s="501">
        <f>K188*J188</f>
        <v>0</v>
      </c>
    </row>
    <row r="189" spans="1:14">
      <c r="A189" s="1179"/>
      <c r="B189" s="1180"/>
      <c r="C189" s="1180"/>
      <c r="D189" s="1180"/>
      <c r="E189" s="1180"/>
      <c r="F189" s="1180"/>
      <c r="G189" s="1180"/>
      <c r="H189" s="511"/>
      <c r="I189" s="512"/>
      <c r="J189" s="513"/>
      <c r="K189" s="514"/>
      <c r="L189" s="501">
        <f>K189*J189</f>
        <v>0</v>
      </c>
    </row>
    <row r="190" spans="1:14">
      <c r="A190" s="1179"/>
      <c r="B190" s="1180"/>
      <c r="C190" s="1180"/>
      <c r="D190" s="1180"/>
      <c r="E190" s="1180"/>
      <c r="F190" s="1180"/>
      <c r="G190" s="1180"/>
      <c r="H190" s="511"/>
      <c r="I190" s="512"/>
      <c r="J190" s="513"/>
      <c r="K190" s="514"/>
      <c r="L190" s="501">
        <f>K190*J190</f>
        <v>0</v>
      </c>
    </row>
    <row r="191" spans="1:14">
      <c r="A191" s="1179"/>
      <c r="B191" s="1180"/>
      <c r="C191" s="1180"/>
      <c r="D191" s="1180"/>
      <c r="E191" s="1180"/>
      <c r="F191" s="1180"/>
      <c r="G191" s="1180"/>
      <c r="H191" s="511"/>
      <c r="I191" s="512"/>
      <c r="J191" s="513"/>
      <c r="K191" s="514"/>
      <c r="L191" s="501">
        <f>K191*J191</f>
        <v>0</v>
      </c>
    </row>
    <row r="192" spans="1:14">
      <c r="A192" s="1179"/>
      <c r="B192" s="1180"/>
      <c r="C192" s="1180"/>
      <c r="D192" s="1180"/>
      <c r="E192" s="1180"/>
      <c r="F192" s="1180"/>
      <c r="G192" s="1180"/>
      <c r="H192" s="511"/>
      <c r="I192" s="512"/>
      <c r="J192" s="513"/>
      <c r="K192" s="514"/>
      <c r="L192" s="501">
        <f>K192*J192</f>
        <v>0</v>
      </c>
    </row>
    <row r="193" spans="1:12">
      <c r="A193" s="1179"/>
      <c r="B193" s="1180"/>
      <c r="C193" s="1180"/>
      <c r="D193" s="1180"/>
      <c r="E193" s="1180"/>
      <c r="F193" s="1180"/>
      <c r="G193" s="1180"/>
      <c r="H193" s="511"/>
      <c r="I193" s="512"/>
      <c r="J193" s="513"/>
      <c r="K193" s="514"/>
      <c r="L193" s="501">
        <f t="shared" ref="L193" si="16">K193*J193</f>
        <v>0</v>
      </c>
    </row>
    <row r="194" spans="1:12">
      <c r="A194" s="1179"/>
      <c r="B194" s="1180"/>
      <c r="C194" s="1180"/>
      <c r="D194" s="1180"/>
      <c r="E194" s="1180"/>
      <c r="F194" s="1180"/>
      <c r="G194" s="1180"/>
      <c r="H194" s="511"/>
      <c r="I194" s="512"/>
      <c r="J194" s="513"/>
      <c r="K194" s="514"/>
      <c r="L194" s="501">
        <f t="shared" ref="L194" si="17">K194*J194</f>
        <v>0</v>
      </c>
    </row>
    <row r="195" spans="1:12">
      <c r="A195" s="1179"/>
      <c r="B195" s="1180"/>
      <c r="C195" s="1180"/>
      <c r="D195" s="1180"/>
      <c r="E195" s="1180"/>
      <c r="F195" s="1180"/>
      <c r="G195" s="1180"/>
      <c r="H195" s="511"/>
      <c r="I195" s="512"/>
      <c r="J195" s="513"/>
      <c r="K195" s="514"/>
      <c r="L195" s="501">
        <f t="shared" ref="L195:L216" si="18">K195*J195</f>
        <v>0</v>
      </c>
    </row>
    <row r="196" spans="1:12">
      <c r="A196" s="1179"/>
      <c r="B196" s="1180"/>
      <c r="C196" s="1180"/>
      <c r="D196" s="1180"/>
      <c r="E196" s="1180"/>
      <c r="F196" s="1180"/>
      <c r="G196" s="1180"/>
      <c r="H196" s="511"/>
      <c r="I196" s="512"/>
      <c r="J196" s="513"/>
      <c r="K196" s="514"/>
      <c r="L196" s="501">
        <f t="shared" si="18"/>
        <v>0</v>
      </c>
    </row>
    <row r="197" spans="1:12">
      <c r="A197" s="1179"/>
      <c r="B197" s="1180"/>
      <c r="C197" s="1180"/>
      <c r="D197" s="1180"/>
      <c r="E197" s="1180"/>
      <c r="F197" s="1180"/>
      <c r="G197" s="1180"/>
      <c r="H197" s="511"/>
      <c r="I197" s="512"/>
      <c r="J197" s="513"/>
      <c r="K197" s="514"/>
      <c r="L197" s="501">
        <f t="shared" si="18"/>
        <v>0</v>
      </c>
    </row>
    <row r="198" spans="1:12">
      <c r="A198" s="1179"/>
      <c r="B198" s="1180"/>
      <c r="C198" s="1180"/>
      <c r="D198" s="1180"/>
      <c r="E198" s="1180"/>
      <c r="F198" s="1180"/>
      <c r="G198" s="1180"/>
      <c r="H198" s="511"/>
      <c r="I198" s="512"/>
      <c r="J198" s="513"/>
      <c r="K198" s="514"/>
      <c r="L198" s="501">
        <f t="shared" si="18"/>
        <v>0</v>
      </c>
    </row>
    <row r="199" spans="1:12">
      <c r="A199" s="1179"/>
      <c r="B199" s="1180"/>
      <c r="C199" s="1180"/>
      <c r="D199" s="1180"/>
      <c r="E199" s="1180"/>
      <c r="F199" s="1180"/>
      <c r="G199" s="1180"/>
      <c r="H199" s="511"/>
      <c r="I199" s="512"/>
      <c r="J199" s="513"/>
      <c r="K199" s="514"/>
      <c r="L199" s="501">
        <f t="shared" si="18"/>
        <v>0</v>
      </c>
    </row>
    <row r="200" spans="1:12">
      <c r="A200" s="1179"/>
      <c r="B200" s="1180"/>
      <c r="C200" s="1180"/>
      <c r="D200" s="1180"/>
      <c r="E200" s="1180"/>
      <c r="F200" s="1180"/>
      <c r="G200" s="1180"/>
      <c r="H200" s="511"/>
      <c r="I200" s="512"/>
      <c r="J200" s="513"/>
      <c r="K200" s="514"/>
      <c r="L200" s="501">
        <f t="shared" si="18"/>
        <v>0</v>
      </c>
    </row>
    <row r="201" spans="1:12">
      <c r="A201" s="1179"/>
      <c r="B201" s="1180"/>
      <c r="C201" s="1180"/>
      <c r="D201" s="1180"/>
      <c r="E201" s="1180"/>
      <c r="F201" s="1180"/>
      <c r="G201" s="1180"/>
      <c r="H201" s="511"/>
      <c r="I201" s="512"/>
      <c r="J201" s="513"/>
      <c r="K201" s="514"/>
      <c r="L201" s="501">
        <f t="shared" si="18"/>
        <v>0</v>
      </c>
    </row>
    <row r="202" spans="1:12">
      <c r="A202" s="1179"/>
      <c r="B202" s="1180"/>
      <c r="C202" s="1180"/>
      <c r="D202" s="1180"/>
      <c r="E202" s="1180"/>
      <c r="F202" s="1180"/>
      <c r="G202" s="1180"/>
      <c r="H202" s="511"/>
      <c r="I202" s="512"/>
      <c r="J202" s="513"/>
      <c r="K202" s="514"/>
      <c r="L202" s="501">
        <f t="shared" si="18"/>
        <v>0</v>
      </c>
    </row>
    <row r="203" spans="1:12">
      <c r="A203" s="1179"/>
      <c r="B203" s="1180"/>
      <c r="C203" s="1180"/>
      <c r="D203" s="1180"/>
      <c r="E203" s="1180"/>
      <c r="F203" s="1180"/>
      <c r="G203" s="1180"/>
      <c r="H203" s="511"/>
      <c r="I203" s="512"/>
      <c r="J203" s="513"/>
      <c r="K203" s="514"/>
      <c r="L203" s="501">
        <f t="shared" si="18"/>
        <v>0</v>
      </c>
    </row>
    <row r="204" spans="1:12">
      <c r="A204" s="1179"/>
      <c r="B204" s="1180"/>
      <c r="C204" s="1180"/>
      <c r="D204" s="1180"/>
      <c r="E204" s="1180"/>
      <c r="F204" s="1180"/>
      <c r="G204" s="1180"/>
      <c r="H204" s="511"/>
      <c r="I204" s="512"/>
      <c r="J204" s="513"/>
      <c r="K204" s="514"/>
      <c r="L204" s="501">
        <f t="shared" si="18"/>
        <v>0</v>
      </c>
    </row>
    <row r="205" spans="1:12">
      <c r="A205" s="1179"/>
      <c r="B205" s="1180"/>
      <c r="C205" s="1180"/>
      <c r="D205" s="1180"/>
      <c r="E205" s="1180"/>
      <c r="F205" s="1180"/>
      <c r="G205" s="1180"/>
      <c r="H205" s="511"/>
      <c r="I205" s="512"/>
      <c r="J205" s="513"/>
      <c r="K205" s="514"/>
      <c r="L205" s="501">
        <f t="shared" si="18"/>
        <v>0</v>
      </c>
    </row>
    <row r="206" spans="1:12">
      <c r="A206" s="1179"/>
      <c r="B206" s="1180"/>
      <c r="C206" s="1180"/>
      <c r="D206" s="1180"/>
      <c r="E206" s="1180"/>
      <c r="F206" s="1180"/>
      <c r="G206" s="1180"/>
      <c r="H206" s="511"/>
      <c r="I206" s="512"/>
      <c r="J206" s="513"/>
      <c r="K206" s="514"/>
      <c r="L206" s="501">
        <f t="shared" si="18"/>
        <v>0</v>
      </c>
    </row>
    <row r="207" spans="1:12">
      <c r="A207" s="1179"/>
      <c r="B207" s="1180"/>
      <c r="C207" s="1180"/>
      <c r="D207" s="1180"/>
      <c r="E207" s="1180"/>
      <c r="F207" s="1180"/>
      <c r="G207" s="1180"/>
      <c r="H207" s="511"/>
      <c r="I207" s="512"/>
      <c r="J207" s="513"/>
      <c r="K207" s="514"/>
      <c r="L207" s="501">
        <f t="shared" si="18"/>
        <v>0</v>
      </c>
    </row>
    <row r="208" spans="1:12">
      <c r="A208" s="1179"/>
      <c r="B208" s="1180"/>
      <c r="C208" s="1180"/>
      <c r="D208" s="1180"/>
      <c r="E208" s="1180"/>
      <c r="F208" s="1180"/>
      <c r="G208" s="1180"/>
      <c r="H208" s="511"/>
      <c r="I208" s="512"/>
      <c r="J208" s="513"/>
      <c r="K208" s="514"/>
      <c r="L208" s="501">
        <f t="shared" si="18"/>
        <v>0</v>
      </c>
    </row>
    <row r="209" spans="1:12">
      <c r="A209" s="1179"/>
      <c r="B209" s="1180"/>
      <c r="C209" s="1180"/>
      <c r="D209" s="1180"/>
      <c r="E209" s="1180"/>
      <c r="F209" s="1180"/>
      <c r="G209" s="1180"/>
      <c r="H209" s="511"/>
      <c r="I209" s="512"/>
      <c r="J209" s="513"/>
      <c r="K209" s="514"/>
      <c r="L209" s="501">
        <f t="shared" si="18"/>
        <v>0</v>
      </c>
    </row>
    <row r="210" spans="1:12">
      <c r="A210" s="1179"/>
      <c r="B210" s="1180"/>
      <c r="C210" s="1180"/>
      <c r="D210" s="1180"/>
      <c r="E210" s="1180"/>
      <c r="F210" s="1180"/>
      <c r="G210" s="1180"/>
      <c r="H210" s="511"/>
      <c r="I210" s="512"/>
      <c r="J210" s="513"/>
      <c r="K210" s="514"/>
      <c r="L210" s="501">
        <f t="shared" si="18"/>
        <v>0</v>
      </c>
    </row>
    <row r="211" spans="1:12">
      <c r="A211" s="1179"/>
      <c r="B211" s="1180"/>
      <c r="C211" s="1180"/>
      <c r="D211" s="1180"/>
      <c r="E211" s="1180"/>
      <c r="F211" s="1180"/>
      <c r="G211" s="1180"/>
      <c r="H211" s="511"/>
      <c r="I211" s="512"/>
      <c r="J211" s="513"/>
      <c r="K211" s="514"/>
      <c r="L211" s="501">
        <f t="shared" si="18"/>
        <v>0</v>
      </c>
    </row>
    <row r="212" spans="1:12">
      <c r="A212" s="1179"/>
      <c r="B212" s="1180"/>
      <c r="C212" s="1180"/>
      <c r="D212" s="1180"/>
      <c r="E212" s="1180"/>
      <c r="F212" s="1180"/>
      <c r="G212" s="1180"/>
      <c r="H212" s="511"/>
      <c r="I212" s="512"/>
      <c r="J212" s="513"/>
      <c r="K212" s="514"/>
      <c r="L212" s="501">
        <f t="shared" si="18"/>
        <v>0</v>
      </c>
    </row>
    <row r="213" spans="1:12">
      <c r="A213" s="1179"/>
      <c r="B213" s="1180"/>
      <c r="C213" s="1180"/>
      <c r="D213" s="1180"/>
      <c r="E213" s="1180"/>
      <c r="F213" s="1180"/>
      <c r="G213" s="1180"/>
      <c r="H213" s="511"/>
      <c r="I213" s="512"/>
      <c r="J213" s="513"/>
      <c r="K213" s="514"/>
      <c r="L213" s="501">
        <f t="shared" si="18"/>
        <v>0</v>
      </c>
    </row>
    <row r="214" spans="1:12">
      <c r="A214" s="1181"/>
      <c r="B214" s="1182"/>
      <c r="C214" s="1182"/>
      <c r="D214" s="1182"/>
      <c r="E214" s="1182"/>
      <c r="F214" s="1182"/>
      <c r="G214" s="1183"/>
      <c r="H214" s="511"/>
      <c r="I214" s="512"/>
      <c r="J214" s="513"/>
      <c r="K214" s="514"/>
      <c r="L214" s="501">
        <f t="shared" si="18"/>
        <v>0</v>
      </c>
    </row>
    <row r="215" spans="1:12">
      <c r="A215" s="1181"/>
      <c r="B215" s="1182"/>
      <c r="C215" s="1182"/>
      <c r="D215" s="1182"/>
      <c r="E215" s="1182"/>
      <c r="F215" s="1182"/>
      <c r="G215" s="1183"/>
      <c r="H215" s="511"/>
      <c r="I215" s="512"/>
      <c r="J215" s="513"/>
      <c r="K215" s="514"/>
      <c r="L215" s="501">
        <f t="shared" si="18"/>
        <v>0</v>
      </c>
    </row>
    <row r="216" spans="1:12">
      <c r="A216" s="1181"/>
      <c r="B216" s="1182"/>
      <c r="C216" s="1182"/>
      <c r="D216" s="1182"/>
      <c r="E216" s="1182"/>
      <c r="F216" s="1182"/>
      <c r="G216" s="1183"/>
      <c r="H216" s="511"/>
      <c r="I216" s="512"/>
      <c r="J216" s="513"/>
      <c r="K216" s="514"/>
      <c r="L216" s="501">
        <f t="shared" si="18"/>
        <v>0</v>
      </c>
    </row>
    <row r="217" spans="1:12">
      <c r="A217" s="1186"/>
      <c r="B217" s="1187"/>
      <c r="C217" s="1187"/>
      <c r="D217" s="1187"/>
      <c r="E217" s="1187"/>
      <c r="F217" s="1187"/>
      <c r="G217" s="1188"/>
      <c r="H217" s="511"/>
      <c r="I217" s="512"/>
      <c r="J217" s="513"/>
      <c r="K217" s="514"/>
      <c r="L217" s="501"/>
    </row>
    <row r="218" spans="1:12">
      <c r="A218" s="1184" t="str">
        <f>'Pricing Schedule'!A52&amp;" " &amp;'Pricing Schedule'!B52</f>
        <v>21.07 (f) Water Supply &amp; Cups</v>
      </c>
      <c r="B218" s="1185"/>
      <c r="C218" s="1185"/>
      <c r="D218" s="1185"/>
      <c r="E218" s="1185"/>
      <c r="F218" s="1185"/>
      <c r="G218" s="1185"/>
      <c r="H218" s="496">
        <f>'Pricing Schedule'!F52</f>
        <v>250000</v>
      </c>
      <c r="I218" s="497"/>
      <c r="J218" s="497"/>
      <c r="K218" s="748">
        <f>IF(H218=0,L218/100,(L218/H218))</f>
        <v>0</v>
      </c>
      <c r="L218" s="499">
        <f>SUM(L219:L261)</f>
        <v>0</v>
      </c>
    </row>
    <row r="219" spans="1:12">
      <c r="A219" s="1181"/>
      <c r="B219" s="1182"/>
      <c r="C219" s="1182"/>
      <c r="D219" s="1182"/>
      <c r="E219" s="1182"/>
      <c r="F219" s="1182"/>
      <c r="G219" s="1183"/>
      <c r="H219" s="511"/>
      <c r="I219" s="512"/>
      <c r="J219" s="513"/>
      <c r="K219" s="514"/>
      <c r="L219" s="501">
        <f t="shared" ref="L219" si="19">K219*J219</f>
        <v>0</v>
      </c>
    </row>
    <row r="220" spans="1:12">
      <c r="A220" s="1181"/>
      <c r="B220" s="1182"/>
      <c r="C220" s="1182"/>
      <c r="D220" s="1182"/>
      <c r="E220" s="1182"/>
      <c r="F220" s="1182"/>
      <c r="G220" s="1183"/>
      <c r="H220" s="511"/>
      <c r="I220" s="512"/>
      <c r="J220" s="513"/>
      <c r="K220" s="514"/>
      <c r="L220" s="501">
        <f>K220*J220</f>
        <v>0</v>
      </c>
    </row>
    <row r="221" spans="1:12">
      <c r="A221" s="1181"/>
      <c r="B221" s="1182"/>
      <c r="C221" s="1182"/>
      <c r="D221" s="1182"/>
      <c r="E221" s="1182"/>
      <c r="F221" s="1182"/>
      <c r="G221" s="1183"/>
      <c r="H221" s="511"/>
      <c r="I221" s="512"/>
      <c r="J221" s="513"/>
      <c r="K221" s="514"/>
      <c r="L221" s="501">
        <f>K221*J221</f>
        <v>0</v>
      </c>
    </row>
    <row r="222" spans="1:12">
      <c r="A222" s="1181"/>
      <c r="B222" s="1182"/>
      <c r="C222" s="1182"/>
      <c r="D222" s="1182"/>
      <c r="E222" s="1182"/>
      <c r="F222" s="1182"/>
      <c r="G222" s="1183"/>
      <c r="H222" s="511"/>
      <c r="I222" s="512"/>
      <c r="J222" s="513"/>
      <c r="K222" s="514"/>
      <c r="L222" s="501">
        <f>K222*J222</f>
        <v>0</v>
      </c>
    </row>
    <row r="223" spans="1:12">
      <c r="A223" s="1181"/>
      <c r="B223" s="1182"/>
      <c r="C223" s="1182"/>
      <c r="D223" s="1182"/>
      <c r="E223" s="1182"/>
      <c r="F223" s="1182"/>
      <c r="G223" s="1183"/>
      <c r="H223" s="511"/>
      <c r="I223" s="512"/>
      <c r="J223" s="513"/>
      <c r="K223" s="514"/>
      <c r="L223" s="501">
        <f>K223*J223</f>
        <v>0</v>
      </c>
    </row>
    <row r="224" spans="1:12">
      <c r="A224" s="1181"/>
      <c r="B224" s="1182"/>
      <c r="C224" s="1182"/>
      <c r="D224" s="1182"/>
      <c r="E224" s="1182"/>
      <c r="F224" s="1182"/>
      <c r="G224" s="1183"/>
      <c r="H224" s="511"/>
      <c r="I224" s="512"/>
      <c r="J224" s="513"/>
      <c r="K224" s="514"/>
      <c r="L224" s="501">
        <f>K224*J224</f>
        <v>0</v>
      </c>
    </row>
    <row r="225" spans="1:18">
      <c r="A225" s="1179"/>
      <c r="B225" s="1180"/>
      <c r="C225" s="1180"/>
      <c r="D225" s="1180"/>
      <c r="E225" s="1180"/>
      <c r="F225" s="1180"/>
      <c r="G225" s="1180"/>
      <c r="H225" s="511"/>
      <c r="I225" s="512"/>
      <c r="J225" s="513"/>
      <c r="K225" s="514"/>
      <c r="L225" s="501">
        <f t="shared" ref="L225:L232" si="20">K225*J225</f>
        <v>0</v>
      </c>
    </row>
    <row r="226" spans="1:18">
      <c r="A226" s="1179"/>
      <c r="B226" s="1180"/>
      <c r="C226" s="1180"/>
      <c r="D226" s="1180"/>
      <c r="E226" s="1180"/>
      <c r="F226" s="1180"/>
      <c r="G226" s="1180"/>
      <c r="H226" s="511"/>
      <c r="I226" s="512"/>
      <c r="J226" s="513"/>
      <c r="K226" s="514"/>
      <c r="L226" s="501">
        <f t="shared" si="20"/>
        <v>0</v>
      </c>
    </row>
    <row r="227" spans="1:18">
      <c r="A227" s="1179"/>
      <c r="B227" s="1180"/>
      <c r="C227" s="1180"/>
      <c r="D227" s="1180"/>
      <c r="E227" s="1180"/>
      <c r="F227" s="1180"/>
      <c r="G227" s="1180"/>
      <c r="H227" s="511"/>
      <c r="I227" s="512"/>
      <c r="J227" s="513"/>
      <c r="K227" s="514"/>
      <c r="L227" s="501">
        <f t="shared" si="20"/>
        <v>0</v>
      </c>
    </row>
    <row r="228" spans="1:18">
      <c r="A228" s="1179"/>
      <c r="B228" s="1180"/>
      <c r="C228" s="1180"/>
      <c r="D228" s="1180"/>
      <c r="E228" s="1180"/>
      <c r="F228" s="1180"/>
      <c r="G228" s="1180"/>
      <c r="H228" s="511"/>
      <c r="I228" s="512"/>
      <c r="J228" s="513"/>
      <c r="K228" s="514"/>
      <c r="L228" s="501">
        <f t="shared" si="20"/>
        <v>0</v>
      </c>
    </row>
    <row r="229" spans="1:18">
      <c r="A229" s="1179"/>
      <c r="B229" s="1180"/>
      <c r="C229" s="1180"/>
      <c r="D229" s="1180"/>
      <c r="E229" s="1180"/>
      <c r="F229" s="1180"/>
      <c r="G229" s="1180"/>
      <c r="H229" s="511"/>
      <c r="I229" s="512"/>
      <c r="J229" s="513"/>
      <c r="K229" s="514"/>
      <c r="L229" s="501">
        <f t="shared" si="20"/>
        <v>0</v>
      </c>
    </row>
    <row r="230" spans="1:18">
      <c r="A230" s="1179"/>
      <c r="B230" s="1180"/>
      <c r="C230" s="1180"/>
      <c r="D230" s="1180"/>
      <c r="E230" s="1180"/>
      <c r="F230" s="1180"/>
      <c r="G230" s="1180"/>
      <c r="H230" s="511"/>
      <c r="I230" s="512"/>
      <c r="J230" s="513"/>
      <c r="K230" s="514"/>
      <c r="L230" s="501">
        <f t="shared" si="20"/>
        <v>0</v>
      </c>
    </row>
    <row r="231" spans="1:18">
      <c r="A231" s="1179"/>
      <c r="B231" s="1180"/>
      <c r="C231" s="1180"/>
      <c r="D231" s="1180"/>
      <c r="E231" s="1180"/>
      <c r="F231" s="1180"/>
      <c r="G231" s="1180"/>
      <c r="H231" s="511"/>
      <c r="I231" s="512"/>
      <c r="J231" s="513"/>
      <c r="K231" s="514"/>
      <c r="L231" s="501">
        <f t="shared" si="20"/>
        <v>0</v>
      </c>
    </row>
    <row r="232" spans="1:18">
      <c r="A232" s="1179"/>
      <c r="B232" s="1180"/>
      <c r="C232" s="1180"/>
      <c r="D232" s="1180"/>
      <c r="E232" s="1180"/>
      <c r="F232" s="1180"/>
      <c r="G232" s="1180"/>
      <c r="H232" s="511"/>
      <c r="I232" s="512"/>
      <c r="J232" s="513"/>
      <c r="K232" s="514"/>
      <c r="L232" s="501">
        <f t="shared" si="20"/>
        <v>0</v>
      </c>
    </row>
    <row r="233" spans="1:18">
      <c r="A233" s="1179"/>
      <c r="B233" s="1180"/>
      <c r="C233" s="1180"/>
      <c r="D233" s="1180"/>
      <c r="E233" s="1180"/>
      <c r="F233" s="1180"/>
      <c r="G233" s="1180"/>
      <c r="H233" s="511"/>
      <c r="I233" s="512"/>
      <c r="J233" s="513"/>
      <c r="K233" s="514"/>
      <c r="L233" s="501">
        <f>K233*J233</f>
        <v>0</v>
      </c>
    </row>
    <row r="234" spans="1:18">
      <c r="A234" s="1179"/>
      <c r="B234" s="1180"/>
      <c r="C234" s="1180"/>
      <c r="D234" s="1180"/>
      <c r="E234" s="1180"/>
      <c r="F234" s="1180"/>
      <c r="G234" s="1180"/>
      <c r="H234" s="511"/>
      <c r="I234" s="512"/>
      <c r="J234" s="513"/>
      <c r="K234" s="514"/>
      <c r="L234" s="501">
        <f>K234*J234</f>
        <v>0</v>
      </c>
    </row>
    <row r="235" spans="1:18">
      <c r="A235" s="1179"/>
      <c r="B235" s="1180"/>
      <c r="C235" s="1180"/>
      <c r="D235" s="1180"/>
      <c r="E235" s="1180"/>
      <c r="F235" s="1180"/>
      <c r="G235" s="1180"/>
      <c r="H235" s="511"/>
      <c r="I235" s="512"/>
      <c r="J235" s="513"/>
      <c r="K235" s="514"/>
      <c r="L235" s="501">
        <f t="shared" ref="L235:L255" si="21">K235*J235</f>
        <v>0</v>
      </c>
    </row>
    <row r="236" spans="1:18">
      <c r="A236" s="1179"/>
      <c r="B236" s="1180"/>
      <c r="C236" s="1180"/>
      <c r="D236" s="1180"/>
      <c r="E236" s="1180"/>
      <c r="F236" s="1180"/>
      <c r="G236" s="1180"/>
      <c r="H236" s="511"/>
      <c r="I236" s="512"/>
      <c r="J236" s="513"/>
      <c r="K236" s="514"/>
      <c r="L236" s="501">
        <f t="shared" si="21"/>
        <v>0</v>
      </c>
    </row>
    <row r="237" spans="1:18">
      <c r="A237" s="1179"/>
      <c r="B237" s="1180"/>
      <c r="C237" s="1180"/>
      <c r="D237" s="1180"/>
      <c r="E237" s="1180"/>
      <c r="F237" s="1180"/>
      <c r="G237" s="1180"/>
      <c r="H237" s="511"/>
      <c r="I237" s="512"/>
      <c r="J237" s="513"/>
      <c r="K237" s="514"/>
      <c r="L237" s="501">
        <f t="shared" si="21"/>
        <v>0</v>
      </c>
    </row>
    <row r="238" spans="1:18">
      <c r="A238" s="1179"/>
      <c r="B238" s="1180"/>
      <c r="C238" s="1180"/>
      <c r="D238" s="1180"/>
      <c r="E238" s="1180"/>
      <c r="F238" s="1180"/>
      <c r="G238" s="1180"/>
      <c r="H238" s="511"/>
      <c r="I238" s="512"/>
      <c r="J238" s="513"/>
      <c r="K238" s="514"/>
      <c r="L238" s="501">
        <f t="shared" si="21"/>
        <v>0</v>
      </c>
      <c r="N238" s="735"/>
      <c r="O238" s="734"/>
      <c r="R238" s="734"/>
    </row>
    <row r="239" spans="1:18">
      <c r="A239" s="1179"/>
      <c r="B239" s="1180"/>
      <c r="C239" s="1180"/>
      <c r="D239" s="1180"/>
      <c r="E239" s="1180"/>
      <c r="F239" s="1180"/>
      <c r="G239" s="1180"/>
      <c r="H239" s="511"/>
      <c r="I239" s="512"/>
      <c r="J239" s="513"/>
      <c r="K239" s="514"/>
      <c r="L239" s="501">
        <f t="shared" si="21"/>
        <v>0</v>
      </c>
      <c r="N239" s="735"/>
      <c r="O239" s="734"/>
      <c r="R239" s="734"/>
    </row>
    <row r="240" spans="1:18">
      <c r="A240" s="1179"/>
      <c r="B240" s="1180"/>
      <c r="C240" s="1180"/>
      <c r="D240" s="1180"/>
      <c r="E240" s="1180"/>
      <c r="F240" s="1180"/>
      <c r="G240" s="1180"/>
      <c r="H240" s="511"/>
      <c r="I240" s="512"/>
      <c r="J240" s="513"/>
      <c r="K240" s="514"/>
      <c r="L240" s="501">
        <f t="shared" si="21"/>
        <v>0</v>
      </c>
      <c r="N240" s="735"/>
      <c r="O240" s="734"/>
      <c r="R240" s="734"/>
    </row>
    <row r="241" spans="1:18">
      <c r="A241" s="1179"/>
      <c r="B241" s="1180"/>
      <c r="C241" s="1180"/>
      <c r="D241" s="1180"/>
      <c r="E241" s="1180"/>
      <c r="F241" s="1180"/>
      <c r="G241" s="1180"/>
      <c r="H241" s="511"/>
      <c r="I241" s="512"/>
      <c r="J241" s="513"/>
      <c r="K241" s="514"/>
      <c r="L241" s="501">
        <f t="shared" si="21"/>
        <v>0</v>
      </c>
      <c r="N241" s="735"/>
      <c r="O241" s="734"/>
      <c r="R241" s="734"/>
    </row>
    <row r="242" spans="1:18">
      <c r="A242" s="1179"/>
      <c r="B242" s="1180"/>
      <c r="C242" s="1180"/>
      <c r="D242" s="1180"/>
      <c r="E242" s="1180"/>
      <c r="F242" s="1180"/>
      <c r="G242" s="1180"/>
      <c r="H242" s="511"/>
      <c r="I242" s="512"/>
      <c r="J242" s="513"/>
      <c r="K242" s="514"/>
      <c r="L242" s="501">
        <f t="shared" si="21"/>
        <v>0</v>
      </c>
      <c r="N242" s="735"/>
      <c r="O242" s="734"/>
      <c r="R242" s="734"/>
    </row>
    <row r="243" spans="1:18">
      <c r="A243" s="1179"/>
      <c r="B243" s="1180"/>
      <c r="C243" s="1180"/>
      <c r="D243" s="1180"/>
      <c r="E243" s="1180"/>
      <c r="F243" s="1180"/>
      <c r="G243" s="1180"/>
      <c r="H243" s="511"/>
      <c r="I243" s="512"/>
      <c r="J243" s="513"/>
      <c r="K243" s="514"/>
      <c r="L243" s="501">
        <f t="shared" si="21"/>
        <v>0</v>
      </c>
      <c r="N243" s="735"/>
      <c r="O243" s="734"/>
      <c r="R243" s="734"/>
    </row>
    <row r="244" spans="1:18">
      <c r="A244" s="1179"/>
      <c r="B244" s="1180"/>
      <c r="C244" s="1180"/>
      <c r="D244" s="1180"/>
      <c r="E244" s="1180"/>
      <c r="F244" s="1180"/>
      <c r="G244" s="1180"/>
      <c r="H244" s="511"/>
      <c r="I244" s="512"/>
      <c r="J244" s="513"/>
      <c r="K244" s="514"/>
      <c r="L244" s="501">
        <f t="shared" si="21"/>
        <v>0</v>
      </c>
      <c r="N244" s="735"/>
      <c r="O244" s="734"/>
      <c r="R244" s="734"/>
    </row>
    <row r="245" spans="1:18">
      <c r="A245" s="1179"/>
      <c r="B245" s="1180"/>
      <c r="C245" s="1180"/>
      <c r="D245" s="1180"/>
      <c r="E245" s="1180"/>
      <c r="F245" s="1180"/>
      <c r="G245" s="1180"/>
      <c r="H245" s="511"/>
      <c r="I245" s="512"/>
      <c r="J245" s="513"/>
      <c r="K245" s="514"/>
      <c r="L245" s="501">
        <f t="shared" si="21"/>
        <v>0</v>
      </c>
      <c r="N245" s="735"/>
      <c r="O245" s="734"/>
      <c r="R245" s="734"/>
    </row>
    <row r="246" spans="1:18">
      <c r="A246" s="1179"/>
      <c r="B246" s="1180"/>
      <c r="C246" s="1180"/>
      <c r="D246" s="1180"/>
      <c r="E246" s="1180"/>
      <c r="F246" s="1180"/>
      <c r="G246" s="1180"/>
      <c r="H246" s="511"/>
      <c r="I246" s="512"/>
      <c r="J246" s="513"/>
      <c r="K246" s="514"/>
      <c r="L246" s="501">
        <f t="shared" si="21"/>
        <v>0</v>
      </c>
      <c r="N246" s="735"/>
      <c r="O246" s="734"/>
      <c r="R246" s="734"/>
    </row>
    <row r="247" spans="1:18">
      <c r="A247" s="1179"/>
      <c r="B247" s="1180"/>
      <c r="C247" s="1180"/>
      <c r="D247" s="1180"/>
      <c r="E247" s="1180"/>
      <c r="F247" s="1180"/>
      <c r="G247" s="1180"/>
      <c r="H247" s="511"/>
      <c r="I247" s="512"/>
      <c r="J247" s="513"/>
      <c r="K247" s="514"/>
      <c r="L247" s="501">
        <f t="shared" si="21"/>
        <v>0</v>
      </c>
      <c r="N247" s="735"/>
      <c r="O247" s="734"/>
      <c r="R247" s="734"/>
    </row>
    <row r="248" spans="1:18">
      <c r="A248" s="1179"/>
      <c r="B248" s="1180"/>
      <c r="C248" s="1180"/>
      <c r="D248" s="1180"/>
      <c r="E248" s="1180"/>
      <c r="F248" s="1180"/>
      <c r="G248" s="1180"/>
      <c r="H248" s="511"/>
      <c r="I248" s="512"/>
      <c r="J248" s="513"/>
      <c r="K248" s="514"/>
      <c r="L248" s="501">
        <f t="shared" si="21"/>
        <v>0</v>
      </c>
      <c r="N248" s="735"/>
      <c r="O248" s="734"/>
      <c r="R248" s="734"/>
    </row>
    <row r="249" spans="1:18">
      <c r="A249" s="1179"/>
      <c r="B249" s="1180"/>
      <c r="C249" s="1180"/>
      <c r="D249" s="1180"/>
      <c r="E249" s="1180"/>
      <c r="F249" s="1180"/>
      <c r="G249" s="1180"/>
      <c r="H249" s="511"/>
      <c r="I249" s="512"/>
      <c r="J249" s="513"/>
      <c r="K249" s="514"/>
      <c r="L249" s="501">
        <f t="shared" si="21"/>
        <v>0</v>
      </c>
      <c r="N249" s="735"/>
      <c r="O249" s="734"/>
      <c r="R249" s="734"/>
    </row>
    <row r="250" spans="1:18">
      <c r="A250" s="1179"/>
      <c r="B250" s="1180"/>
      <c r="C250" s="1180"/>
      <c r="D250" s="1180"/>
      <c r="E250" s="1180"/>
      <c r="F250" s="1180"/>
      <c r="G250" s="1180"/>
      <c r="H250" s="511"/>
      <c r="I250" s="512"/>
      <c r="J250" s="513"/>
      <c r="K250" s="514"/>
      <c r="L250" s="501">
        <f t="shared" si="21"/>
        <v>0</v>
      </c>
      <c r="N250" s="735"/>
      <c r="O250" s="734"/>
      <c r="R250" s="734"/>
    </row>
    <row r="251" spans="1:18">
      <c r="A251" s="1179"/>
      <c r="B251" s="1180"/>
      <c r="C251" s="1180"/>
      <c r="D251" s="1180"/>
      <c r="E251" s="1180"/>
      <c r="F251" s="1180"/>
      <c r="G251" s="1180"/>
      <c r="H251" s="511"/>
      <c r="I251" s="512"/>
      <c r="J251" s="513"/>
      <c r="K251" s="514"/>
      <c r="L251" s="501">
        <f t="shared" si="21"/>
        <v>0</v>
      </c>
      <c r="N251" s="735"/>
      <c r="O251" s="734"/>
      <c r="R251" s="734"/>
    </row>
    <row r="252" spans="1:18">
      <c r="A252" s="1179"/>
      <c r="B252" s="1180"/>
      <c r="C252" s="1180"/>
      <c r="D252" s="1180"/>
      <c r="E252" s="1180"/>
      <c r="F252" s="1180"/>
      <c r="G252" s="1180"/>
      <c r="H252" s="511"/>
      <c r="I252" s="512"/>
      <c r="J252" s="513"/>
      <c r="K252" s="514"/>
      <c r="L252" s="501">
        <f t="shared" si="21"/>
        <v>0</v>
      </c>
      <c r="N252" s="735"/>
      <c r="O252" s="734"/>
      <c r="R252" s="734"/>
    </row>
    <row r="253" spans="1:18">
      <c r="A253" s="1179"/>
      <c r="B253" s="1180"/>
      <c r="C253" s="1180"/>
      <c r="D253" s="1180"/>
      <c r="E253" s="1180"/>
      <c r="F253" s="1180"/>
      <c r="G253" s="1180"/>
      <c r="H253" s="511"/>
      <c r="I253" s="512"/>
      <c r="J253" s="513"/>
      <c r="K253" s="514"/>
      <c r="L253" s="501">
        <f t="shared" si="21"/>
        <v>0</v>
      </c>
      <c r="N253" s="735"/>
      <c r="O253" s="734"/>
      <c r="R253" s="734"/>
    </row>
    <row r="254" spans="1:18">
      <c r="A254" s="1179"/>
      <c r="B254" s="1180"/>
      <c r="C254" s="1180"/>
      <c r="D254" s="1180"/>
      <c r="E254" s="1180"/>
      <c r="F254" s="1180"/>
      <c r="G254" s="1180"/>
      <c r="H254" s="511"/>
      <c r="I254" s="512"/>
      <c r="J254" s="513"/>
      <c r="K254" s="514"/>
      <c r="L254" s="501">
        <f t="shared" si="21"/>
        <v>0</v>
      </c>
      <c r="N254" s="735"/>
      <c r="O254" s="734"/>
      <c r="R254" s="734"/>
    </row>
    <row r="255" spans="1:18">
      <c r="A255" s="1179"/>
      <c r="B255" s="1180"/>
      <c r="C255" s="1180"/>
      <c r="D255" s="1180"/>
      <c r="E255" s="1180"/>
      <c r="F255" s="1180"/>
      <c r="G255" s="1180"/>
      <c r="H255" s="511"/>
      <c r="I255" s="512"/>
      <c r="J255" s="513"/>
      <c r="K255" s="514"/>
      <c r="L255" s="501">
        <f t="shared" si="21"/>
        <v>0</v>
      </c>
      <c r="N255" s="735"/>
      <c r="O255" s="734"/>
      <c r="R255" s="734"/>
    </row>
    <row r="256" spans="1:18">
      <c r="A256" s="1181"/>
      <c r="B256" s="1182"/>
      <c r="C256" s="1182"/>
      <c r="D256" s="1182"/>
      <c r="E256" s="1182"/>
      <c r="F256" s="1182"/>
      <c r="G256" s="1183"/>
      <c r="H256" s="511"/>
      <c r="I256" s="512"/>
      <c r="J256" s="513"/>
      <c r="K256" s="514"/>
      <c r="L256" s="501">
        <f t="shared" ref="L256:L260" si="22">I256*J256*K256</f>
        <v>0</v>
      </c>
      <c r="N256" s="735"/>
      <c r="O256" s="734"/>
      <c r="R256" s="734"/>
    </row>
    <row r="257" spans="1:18">
      <c r="A257" s="1181"/>
      <c r="B257" s="1182"/>
      <c r="C257" s="1182"/>
      <c r="D257" s="1182"/>
      <c r="E257" s="1182"/>
      <c r="F257" s="1182"/>
      <c r="G257" s="1183"/>
      <c r="H257" s="511"/>
      <c r="I257" s="512"/>
      <c r="J257" s="513"/>
      <c r="K257" s="514"/>
      <c r="L257" s="501">
        <f t="shared" si="22"/>
        <v>0</v>
      </c>
      <c r="N257" s="735"/>
      <c r="O257" s="734"/>
      <c r="R257" s="734"/>
    </row>
    <row r="258" spans="1:18">
      <c r="A258" s="1181"/>
      <c r="B258" s="1182"/>
      <c r="C258" s="1182"/>
      <c r="D258" s="1182"/>
      <c r="E258" s="1182"/>
      <c r="F258" s="1182"/>
      <c r="G258" s="1183"/>
      <c r="H258" s="511"/>
      <c r="I258" s="512"/>
      <c r="J258" s="513"/>
      <c r="K258" s="514"/>
      <c r="L258" s="501">
        <f t="shared" si="22"/>
        <v>0</v>
      </c>
      <c r="N258" s="735"/>
      <c r="O258" s="734"/>
      <c r="R258" s="734"/>
    </row>
    <row r="259" spans="1:18">
      <c r="A259" s="1181"/>
      <c r="B259" s="1182"/>
      <c r="C259" s="1182"/>
      <c r="D259" s="1182"/>
      <c r="E259" s="1182"/>
      <c r="F259" s="1182"/>
      <c r="G259" s="1183"/>
      <c r="H259" s="511"/>
      <c r="I259" s="512"/>
      <c r="J259" s="513"/>
      <c r="K259" s="514"/>
      <c r="L259" s="501">
        <f t="shared" si="22"/>
        <v>0</v>
      </c>
      <c r="N259" s="735"/>
      <c r="O259" s="734"/>
      <c r="R259" s="734"/>
    </row>
    <row r="260" spans="1:18">
      <c r="A260" s="1181"/>
      <c r="B260" s="1182"/>
      <c r="C260" s="1182"/>
      <c r="D260" s="1182"/>
      <c r="E260" s="1182"/>
      <c r="F260" s="1182"/>
      <c r="G260" s="1183"/>
      <c r="H260" s="511"/>
      <c r="I260" s="512"/>
      <c r="J260" s="513"/>
      <c r="K260" s="514"/>
      <c r="L260" s="501">
        <f t="shared" si="22"/>
        <v>0</v>
      </c>
      <c r="N260" s="735"/>
      <c r="O260" s="734"/>
      <c r="R260" s="734"/>
    </row>
    <row r="261" spans="1:18">
      <c r="A261" s="1179"/>
      <c r="B261" s="1180"/>
      <c r="C261" s="1180"/>
      <c r="D261" s="1180"/>
      <c r="E261" s="1180"/>
      <c r="F261" s="1180"/>
      <c r="G261" s="1180"/>
      <c r="H261" s="511"/>
      <c r="I261" s="512"/>
      <c r="J261" s="513"/>
      <c r="K261" s="514"/>
      <c r="L261" s="501"/>
    </row>
    <row r="262" spans="1:18">
      <c r="A262" s="1184" t="str">
        <f>'Pricing Schedule'!A53&amp;" " &amp;'Pricing Schedule'!B53</f>
        <v>21.07 (g) Elevator Maintenance</v>
      </c>
      <c r="B262" s="1185"/>
      <c r="C262" s="1185"/>
      <c r="D262" s="1185"/>
      <c r="E262" s="1185"/>
      <c r="F262" s="1185"/>
      <c r="G262" s="1185"/>
      <c r="H262" s="496">
        <f>'Pricing Schedule'!F53</f>
        <v>750000</v>
      </c>
      <c r="I262" s="497"/>
      <c r="J262" s="497"/>
      <c r="K262" s="748">
        <f>IF(H262=0,L262/100,(L262/H262))</f>
        <v>0</v>
      </c>
      <c r="L262" s="499">
        <f>SUM(L263:L291)</f>
        <v>0</v>
      </c>
    </row>
    <row r="263" spans="1:18">
      <c r="A263" s="1181"/>
      <c r="B263" s="1182"/>
      <c r="C263" s="1182"/>
      <c r="D263" s="1182"/>
      <c r="E263" s="1182"/>
      <c r="F263" s="1182"/>
      <c r="G263" s="1183"/>
      <c r="H263" s="511"/>
      <c r="I263" s="512"/>
      <c r="J263" s="513"/>
      <c r="K263" s="514"/>
      <c r="L263" s="501">
        <f>K263*J263</f>
        <v>0</v>
      </c>
    </row>
    <row r="264" spans="1:18">
      <c r="A264" s="1181"/>
      <c r="B264" s="1182"/>
      <c r="C264" s="1182"/>
      <c r="D264" s="1182"/>
      <c r="E264" s="1182"/>
      <c r="F264" s="1182"/>
      <c r="G264" s="1183"/>
      <c r="H264" s="511"/>
      <c r="I264" s="512"/>
      <c r="J264" s="513"/>
      <c r="K264" s="514"/>
      <c r="L264" s="501">
        <f t="shared" ref="L264:L288" si="23">K264*J264</f>
        <v>0</v>
      </c>
    </row>
    <row r="265" spans="1:18">
      <c r="A265" s="1181"/>
      <c r="B265" s="1182"/>
      <c r="C265" s="1182"/>
      <c r="D265" s="1182"/>
      <c r="E265" s="1182"/>
      <c r="F265" s="1182"/>
      <c r="G265" s="1183"/>
      <c r="H265" s="511"/>
      <c r="I265" s="512"/>
      <c r="J265" s="513"/>
      <c r="K265" s="514"/>
      <c r="L265" s="501">
        <f t="shared" si="23"/>
        <v>0</v>
      </c>
    </row>
    <row r="266" spans="1:18">
      <c r="A266" s="1181"/>
      <c r="B266" s="1182"/>
      <c r="C266" s="1182"/>
      <c r="D266" s="1182"/>
      <c r="E266" s="1182"/>
      <c r="F266" s="1182"/>
      <c r="G266" s="1183"/>
      <c r="H266" s="511"/>
      <c r="I266" s="512"/>
      <c r="J266" s="513"/>
      <c r="K266" s="514"/>
      <c r="L266" s="501">
        <f t="shared" si="23"/>
        <v>0</v>
      </c>
    </row>
    <row r="267" spans="1:18">
      <c r="A267" s="1179"/>
      <c r="B267" s="1180"/>
      <c r="C267" s="1180"/>
      <c r="D267" s="1180"/>
      <c r="E267" s="1180"/>
      <c r="F267" s="1180"/>
      <c r="G267" s="1180"/>
      <c r="H267" s="511"/>
      <c r="I267" s="512"/>
      <c r="J267" s="513"/>
      <c r="K267" s="514"/>
      <c r="L267" s="501">
        <f t="shared" si="23"/>
        <v>0</v>
      </c>
    </row>
    <row r="268" spans="1:18">
      <c r="A268" s="1179"/>
      <c r="B268" s="1180"/>
      <c r="C268" s="1180"/>
      <c r="D268" s="1180"/>
      <c r="E268" s="1180"/>
      <c r="F268" s="1180"/>
      <c r="G268" s="1180"/>
      <c r="H268" s="511"/>
      <c r="I268" s="512"/>
      <c r="J268" s="513"/>
      <c r="K268" s="514"/>
      <c r="L268" s="501">
        <f t="shared" si="23"/>
        <v>0</v>
      </c>
    </row>
    <row r="269" spans="1:18">
      <c r="A269" s="1179"/>
      <c r="B269" s="1180"/>
      <c r="C269" s="1180"/>
      <c r="D269" s="1180"/>
      <c r="E269" s="1180"/>
      <c r="F269" s="1180"/>
      <c r="G269" s="1180"/>
      <c r="H269" s="511"/>
      <c r="I269" s="512"/>
      <c r="J269" s="513"/>
      <c r="K269" s="514"/>
      <c r="L269" s="501">
        <f t="shared" si="23"/>
        <v>0</v>
      </c>
    </row>
    <row r="270" spans="1:18">
      <c r="A270" s="1179"/>
      <c r="B270" s="1180"/>
      <c r="C270" s="1180"/>
      <c r="D270" s="1180"/>
      <c r="E270" s="1180"/>
      <c r="F270" s="1180"/>
      <c r="G270" s="1180"/>
      <c r="H270" s="511"/>
      <c r="I270" s="512"/>
      <c r="J270" s="513"/>
      <c r="K270" s="514"/>
      <c r="L270" s="501">
        <f t="shared" si="23"/>
        <v>0</v>
      </c>
    </row>
    <row r="271" spans="1:18">
      <c r="A271" s="1179"/>
      <c r="B271" s="1180"/>
      <c r="C271" s="1180"/>
      <c r="D271" s="1180"/>
      <c r="E271" s="1180"/>
      <c r="F271" s="1180"/>
      <c r="G271" s="1180"/>
      <c r="H271" s="511"/>
      <c r="I271" s="512"/>
      <c r="J271" s="513"/>
      <c r="K271" s="514"/>
      <c r="L271" s="501">
        <f t="shared" si="23"/>
        <v>0</v>
      </c>
    </row>
    <row r="272" spans="1:18">
      <c r="A272" s="1179"/>
      <c r="B272" s="1180"/>
      <c r="C272" s="1180"/>
      <c r="D272" s="1180"/>
      <c r="E272" s="1180"/>
      <c r="F272" s="1180"/>
      <c r="G272" s="1180"/>
      <c r="H272" s="511"/>
      <c r="I272" s="512"/>
      <c r="J272" s="513"/>
      <c r="K272" s="514"/>
      <c r="L272" s="501">
        <f t="shared" si="23"/>
        <v>0</v>
      </c>
    </row>
    <row r="273" spans="1:12">
      <c r="A273" s="1179"/>
      <c r="B273" s="1180"/>
      <c r="C273" s="1180"/>
      <c r="D273" s="1180"/>
      <c r="E273" s="1180"/>
      <c r="F273" s="1180"/>
      <c r="G273" s="1180"/>
      <c r="H273" s="511"/>
      <c r="I273" s="512"/>
      <c r="J273" s="513"/>
      <c r="K273" s="514"/>
      <c r="L273" s="501">
        <f t="shared" si="23"/>
        <v>0</v>
      </c>
    </row>
    <row r="274" spans="1:12">
      <c r="A274" s="1179"/>
      <c r="B274" s="1180"/>
      <c r="C274" s="1180"/>
      <c r="D274" s="1180"/>
      <c r="E274" s="1180"/>
      <c r="F274" s="1180"/>
      <c r="G274" s="1180"/>
      <c r="H274" s="511"/>
      <c r="I274" s="512"/>
      <c r="J274" s="513"/>
      <c r="K274" s="514"/>
      <c r="L274" s="501">
        <f t="shared" si="23"/>
        <v>0</v>
      </c>
    </row>
    <row r="275" spans="1:12">
      <c r="A275" s="1179"/>
      <c r="B275" s="1180"/>
      <c r="C275" s="1180"/>
      <c r="D275" s="1180"/>
      <c r="E275" s="1180"/>
      <c r="F275" s="1180"/>
      <c r="G275" s="1180"/>
      <c r="H275" s="511"/>
      <c r="I275" s="512"/>
      <c r="J275" s="513"/>
      <c r="K275" s="514"/>
      <c r="L275" s="501">
        <f t="shared" si="23"/>
        <v>0</v>
      </c>
    </row>
    <row r="276" spans="1:12">
      <c r="A276" s="1179"/>
      <c r="B276" s="1180"/>
      <c r="C276" s="1180"/>
      <c r="D276" s="1180"/>
      <c r="E276" s="1180"/>
      <c r="F276" s="1180"/>
      <c r="G276" s="1180"/>
      <c r="H276" s="511"/>
      <c r="I276" s="512"/>
      <c r="J276" s="513"/>
      <c r="K276" s="514"/>
      <c r="L276" s="501">
        <f t="shared" si="23"/>
        <v>0</v>
      </c>
    </row>
    <row r="277" spans="1:12">
      <c r="A277" s="1179"/>
      <c r="B277" s="1180"/>
      <c r="C277" s="1180"/>
      <c r="D277" s="1180"/>
      <c r="E277" s="1180"/>
      <c r="F277" s="1180"/>
      <c r="G277" s="1180"/>
      <c r="H277" s="511"/>
      <c r="I277" s="512"/>
      <c r="J277" s="513"/>
      <c r="K277" s="514"/>
      <c r="L277" s="501">
        <f t="shared" si="23"/>
        <v>0</v>
      </c>
    </row>
    <row r="278" spans="1:12">
      <c r="A278" s="1179"/>
      <c r="B278" s="1180"/>
      <c r="C278" s="1180"/>
      <c r="D278" s="1180"/>
      <c r="E278" s="1180"/>
      <c r="F278" s="1180"/>
      <c r="G278" s="1180"/>
      <c r="H278" s="511"/>
      <c r="I278" s="512"/>
      <c r="J278" s="513"/>
      <c r="K278" s="514"/>
      <c r="L278" s="501">
        <f t="shared" si="23"/>
        <v>0</v>
      </c>
    </row>
    <row r="279" spans="1:12">
      <c r="A279" s="1179"/>
      <c r="B279" s="1180"/>
      <c r="C279" s="1180"/>
      <c r="D279" s="1180"/>
      <c r="E279" s="1180"/>
      <c r="F279" s="1180"/>
      <c r="G279" s="1180"/>
      <c r="H279" s="511"/>
      <c r="I279" s="512"/>
      <c r="J279" s="513"/>
      <c r="K279" s="514"/>
      <c r="L279" s="501">
        <f t="shared" si="23"/>
        <v>0</v>
      </c>
    </row>
    <row r="280" spans="1:12" ht="15" customHeight="1">
      <c r="A280" s="1179"/>
      <c r="B280" s="1180"/>
      <c r="C280" s="1180"/>
      <c r="D280" s="1180"/>
      <c r="E280" s="1180"/>
      <c r="F280" s="1180"/>
      <c r="G280" s="1180"/>
      <c r="H280" s="511"/>
      <c r="I280" s="512"/>
      <c r="J280" s="513"/>
      <c r="K280" s="514"/>
      <c r="L280" s="501">
        <f t="shared" si="23"/>
        <v>0</v>
      </c>
    </row>
    <row r="281" spans="1:12" ht="15" customHeight="1">
      <c r="A281" s="1179"/>
      <c r="B281" s="1180"/>
      <c r="C281" s="1180"/>
      <c r="D281" s="1180"/>
      <c r="E281" s="1180"/>
      <c r="F281" s="1180"/>
      <c r="G281" s="1180"/>
      <c r="H281" s="511"/>
      <c r="I281" s="512"/>
      <c r="J281" s="513"/>
      <c r="K281" s="514"/>
      <c r="L281" s="501">
        <f t="shared" si="23"/>
        <v>0</v>
      </c>
    </row>
    <row r="282" spans="1:12" ht="15" customHeight="1">
      <c r="A282" s="1179"/>
      <c r="B282" s="1180"/>
      <c r="C282" s="1180"/>
      <c r="D282" s="1180"/>
      <c r="E282" s="1180"/>
      <c r="F282" s="1180"/>
      <c r="G282" s="1180"/>
      <c r="H282" s="511"/>
      <c r="I282" s="512"/>
      <c r="J282" s="513"/>
      <c r="K282" s="514"/>
      <c r="L282" s="501">
        <f t="shared" si="23"/>
        <v>0</v>
      </c>
    </row>
    <row r="283" spans="1:12" ht="15" customHeight="1">
      <c r="A283" s="1179"/>
      <c r="B283" s="1180"/>
      <c r="C283" s="1180"/>
      <c r="D283" s="1180"/>
      <c r="E283" s="1180"/>
      <c r="F283" s="1180"/>
      <c r="G283" s="1180"/>
      <c r="H283" s="511"/>
      <c r="I283" s="512"/>
      <c r="J283" s="513"/>
      <c r="K283" s="514"/>
      <c r="L283" s="501">
        <f t="shared" si="23"/>
        <v>0</v>
      </c>
    </row>
    <row r="284" spans="1:12" ht="15" customHeight="1">
      <c r="A284" s="1179"/>
      <c r="B284" s="1180"/>
      <c r="C284" s="1180"/>
      <c r="D284" s="1180"/>
      <c r="E284" s="1180"/>
      <c r="F284" s="1180"/>
      <c r="G284" s="1180"/>
      <c r="H284" s="511"/>
      <c r="I284" s="512"/>
      <c r="J284" s="513"/>
      <c r="K284" s="514"/>
      <c r="L284" s="501">
        <f t="shared" si="23"/>
        <v>0</v>
      </c>
    </row>
    <row r="285" spans="1:12" ht="15" customHeight="1">
      <c r="A285" s="1179"/>
      <c r="B285" s="1180"/>
      <c r="C285" s="1180"/>
      <c r="D285" s="1180"/>
      <c r="E285" s="1180"/>
      <c r="F285" s="1180"/>
      <c r="G285" s="1180"/>
      <c r="H285" s="511"/>
      <c r="I285" s="512"/>
      <c r="J285" s="513"/>
      <c r="K285" s="514"/>
      <c r="L285" s="501">
        <f t="shared" si="23"/>
        <v>0</v>
      </c>
    </row>
    <row r="286" spans="1:12" ht="15" customHeight="1">
      <c r="A286" s="1179"/>
      <c r="B286" s="1180"/>
      <c r="C286" s="1180"/>
      <c r="D286" s="1180"/>
      <c r="E286" s="1180"/>
      <c r="F286" s="1180"/>
      <c r="G286" s="1180"/>
      <c r="H286" s="511"/>
      <c r="I286" s="512"/>
      <c r="J286" s="513"/>
      <c r="K286" s="514"/>
      <c r="L286" s="501">
        <f t="shared" si="23"/>
        <v>0</v>
      </c>
    </row>
    <row r="287" spans="1:12" ht="15" customHeight="1">
      <c r="A287" s="1179"/>
      <c r="B287" s="1180"/>
      <c r="C287" s="1180"/>
      <c r="D287" s="1180"/>
      <c r="E287" s="1180"/>
      <c r="F287" s="1180"/>
      <c r="G287" s="1180"/>
      <c r="H287" s="511"/>
      <c r="I287" s="512"/>
      <c r="J287" s="513"/>
      <c r="K287" s="514"/>
      <c r="L287" s="501">
        <f t="shared" si="23"/>
        <v>0</v>
      </c>
    </row>
    <row r="288" spans="1:12" ht="15" customHeight="1">
      <c r="A288" s="1179"/>
      <c r="B288" s="1180"/>
      <c r="C288" s="1180"/>
      <c r="D288" s="1180"/>
      <c r="E288" s="1180"/>
      <c r="F288" s="1180"/>
      <c r="G288" s="1180"/>
      <c r="H288" s="511"/>
      <c r="I288" s="512"/>
      <c r="J288" s="513"/>
      <c r="K288" s="514"/>
      <c r="L288" s="501">
        <f t="shared" si="23"/>
        <v>0</v>
      </c>
    </row>
    <row r="289" spans="1:12" ht="15" customHeight="1">
      <c r="A289" s="1179"/>
      <c r="B289" s="1180"/>
      <c r="C289" s="1180"/>
      <c r="D289" s="1180"/>
      <c r="E289" s="1180"/>
      <c r="F289" s="1180"/>
      <c r="G289" s="1180"/>
      <c r="H289" s="511"/>
      <c r="I289" s="512"/>
      <c r="J289" s="513"/>
      <c r="K289" s="514"/>
      <c r="L289" s="501">
        <f t="shared" ref="L289:L290" si="24">K289*J289</f>
        <v>0</v>
      </c>
    </row>
    <row r="290" spans="1:12" ht="15" customHeight="1">
      <c r="A290" s="1179"/>
      <c r="B290" s="1180"/>
      <c r="C290" s="1180"/>
      <c r="D290" s="1180"/>
      <c r="E290" s="1180"/>
      <c r="F290" s="1180"/>
      <c r="G290" s="1180"/>
      <c r="H290" s="511"/>
      <c r="I290" s="512"/>
      <c r="J290" s="513"/>
      <c r="K290" s="514"/>
      <c r="L290" s="501">
        <f t="shared" si="24"/>
        <v>0</v>
      </c>
    </row>
    <row r="291" spans="1:12">
      <c r="A291" s="1179"/>
      <c r="B291" s="1180"/>
      <c r="C291" s="1180"/>
      <c r="D291" s="1180"/>
      <c r="E291" s="1180"/>
      <c r="F291" s="1180"/>
      <c r="G291" s="1180"/>
      <c r="H291" s="511"/>
      <c r="I291" s="512"/>
      <c r="J291" s="513"/>
      <c r="K291" s="514"/>
      <c r="L291" s="501"/>
    </row>
    <row r="292" spans="1:12">
      <c r="A292" s="1184" t="str">
        <f>'Pricing Schedule'!A54&amp;" " &amp;'Pricing Schedule'!B54</f>
        <v>21.07 (h) Maintenance of Electric and Electronic Installations &amp; Generator</v>
      </c>
      <c r="B292" s="1185"/>
      <c r="C292" s="1185"/>
      <c r="D292" s="1185"/>
      <c r="E292" s="1185"/>
      <c r="F292" s="1185"/>
      <c r="G292" s="1185"/>
      <c r="H292" s="496">
        <f>'Pricing Schedule'!F54</f>
        <v>25000000</v>
      </c>
      <c r="I292" s="497"/>
      <c r="J292" s="497"/>
      <c r="K292" s="748">
        <f>IF(H292=0,L292/100,(L292/H292))</f>
        <v>0</v>
      </c>
      <c r="L292" s="499">
        <f>SUM(L293:L324)</f>
        <v>0</v>
      </c>
    </row>
    <row r="293" spans="1:12">
      <c r="A293" s="1179"/>
      <c r="B293" s="1180"/>
      <c r="C293" s="1180"/>
      <c r="D293" s="1180"/>
      <c r="E293" s="1180"/>
      <c r="F293" s="1180"/>
      <c r="G293" s="1180"/>
      <c r="H293" s="511"/>
      <c r="I293" s="512"/>
      <c r="J293" s="513"/>
      <c r="K293" s="514"/>
      <c r="L293" s="501">
        <f t="shared" ref="L293:L294" si="25">K293*J293</f>
        <v>0</v>
      </c>
    </row>
    <row r="294" spans="1:12">
      <c r="A294" s="1179"/>
      <c r="B294" s="1180"/>
      <c r="C294" s="1180"/>
      <c r="D294" s="1180"/>
      <c r="E294" s="1180"/>
      <c r="F294" s="1180"/>
      <c r="G294" s="1180"/>
      <c r="H294" s="511"/>
      <c r="I294" s="512"/>
      <c r="J294" s="513"/>
      <c r="K294" s="514"/>
      <c r="L294" s="501">
        <f t="shared" si="25"/>
        <v>0</v>
      </c>
    </row>
    <row r="295" spans="1:12">
      <c r="A295" s="1179"/>
      <c r="B295" s="1180"/>
      <c r="C295" s="1180"/>
      <c r="D295" s="1180"/>
      <c r="E295" s="1180"/>
      <c r="F295" s="1180"/>
      <c r="G295" s="1180"/>
      <c r="H295" s="511"/>
      <c r="I295" s="512"/>
      <c r="J295" s="513"/>
      <c r="K295" s="514"/>
      <c r="L295" s="501">
        <f t="shared" ref="L295" si="26">K295*J295</f>
        <v>0</v>
      </c>
    </row>
    <row r="296" spans="1:12">
      <c r="A296" s="1179"/>
      <c r="B296" s="1180"/>
      <c r="C296" s="1180"/>
      <c r="D296" s="1180"/>
      <c r="E296" s="1180"/>
      <c r="F296" s="1180"/>
      <c r="G296" s="1180"/>
      <c r="H296" s="511"/>
      <c r="I296" s="512"/>
      <c r="J296" s="513"/>
      <c r="K296" s="514"/>
      <c r="L296" s="501">
        <f t="shared" ref="L296" si="27">K296*J296</f>
        <v>0</v>
      </c>
    </row>
    <row r="297" spans="1:12">
      <c r="A297" s="1179"/>
      <c r="B297" s="1180"/>
      <c r="C297" s="1180"/>
      <c r="D297" s="1180"/>
      <c r="E297" s="1180"/>
      <c r="F297" s="1180"/>
      <c r="G297" s="1180"/>
      <c r="H297" s="511"/>
      <c r="I297" s="512"/>
      <c r="J297" s="513"/>
      <c r="K297" s="514"/>
      <c r="L297" s="501">
        <f t="shared" ref="L297:L323" si="28">K297*J297</f>
        <v>0</v>
      </c>
    </row>
    <row r="298" spans="1:12">
      <c r="A298" s="1179"/>
      <c r="B298" s="1180"/>
      <c r="C298" s="1180"/>
      <c r="D298" s="1180"/>
      <c r="E298" s="1180"/>
      <c r="F298" s="1180"/>
      <c r="G298" s="1180"/>
      <c r="H298" s="511"/>
      <c r="I298" s="512"/>
      <c r="J298" s="513"/>
      <c r="K298" s="514"/>
      <c r="L298" s="501">
        <f t="shared" si="28"/>
        <v>0</v>
      </c>
    </row>
    <row r="299" spans="1:12">
      <c r="A299" s="1179"/>
      <c r="B299" s="1180"/>
      <c r="C299" s="1180"/>
      <c r="D299" s="1180"/>
      <c r="E299" s="1180"/>
      <c r="F299" s="1180"/>
      <c r="G299" s="1180"/>
      <c r="H299" s="511"/>
      <c r="I299" s="512"/>
      <c r="J299" s="513"/>
      <c r="K299" s="514"/>
      <c r="L299" s="501">
        <f t="shared" si="28"/>
        <v>0</v>
      </c>
    </row>
    <row r="300" spans="1:12">
      <c r="A300" s="1179"/>
      <c r="B300" s="1180"/>
      <c r="C300" s="1180"/>
      <c r="D300" s="1180"/>
      <c r="E300" s="1180"/>
      <c r="F300" s="1180"/>
      <c r="G300" s="1180"/>
      <c r="H300" s="511"/>
      <c r="I300" s="512"/>
      <c r="J300" s="513"/>
      <c r="K300" s="514"/>
      <c r="L300" s="501">
        <f t="shared" si="28"/>
        <v>0</v>
      </c>
    </row>
    <row r="301" spans="1:12">
      <c r="A301" s="1179"/>
      <c r="B301" s="1180"/>
      <c r="C301" s="1180"/>
      <c r="D301" s="1180"/>
      <c r="E301" s="1180"/>
      <c r="F301" s="1180"/>
      <c r="G301" s="1180"/>
      <c r="H301" s="511"/>
      <c r="I301" s="512"/>
      <c r="J301" s="513"/>
      <c r="K301" s="514"/>
      <c r="L301" s="501">
        <f t="shared" si="28"/>
        <v>0</v>
      </c>
    </row>
    <row r="302" spans="1:12">
      <c r="A302" s="1179"/>
      <c r="B302" s="1180"/>
      <c r="C302" s="1180"/>
      <c r="D302" s="1180"/>
      <c r="E302" s="1180"/>
      <c r="F302" s="1180"/>
      <c r="G302" s="1180"/>
      <c r="H302" s="511"/>
      <c r="I302" s="512"/>
      <c r="J302" s="513"/>
      <c r="K302" s="514"/>
      <c r="L302" s="501">
        <f t="shared" si="28"/>
        <v>0</v>
      </c>
    </row>
    <row r="303" spans="1:12" ht="13.5" customHeight="1">
      <c r="A303" s="1179"/>
      <c r="B303" s="1180"/>
      <c r="C303" s="1180"/>
      <c r="D303" s="1180"/>
      <c r="E303" s="1180"/>
      <c r="F303" s="1180"/>
      <c r="G303" s="1180"/>
      <c r="H303" s="511"/>
      <c r="I303" s="512"/>
      <c r="J303" s="513"/>
      <c r="K303" s="514"/>
      <c r="L303" s="501">
        <f t="shared" si="28"/>
        <v>0</v>
      </c>
    </row>
    <row r="304" spans="1:12">
      <c r="A304" s="1179"/>
      <c r="B304" s="1180"/>
      <c r="C304" s="1180"/>
      <c r="D304" s="1180"/>
      <c r="E304" s="1180"/>
      <c r="F304" s="1180"/>
      <c r="G304" s="1180"/>
      <c r="H304" s="511"/>
      <c r="I304" s="512"/>
      <c r="J304" s="513"/>
      <c r="K304" s="514"/>
      <c r="L304" s="501">
        <f t="shared" si="28"/>
        <v>0</v>
      </c>
    </row>
    <row r="305" spans="1:12">
      <c r="A305" s="1179"/>
      <c r="B305" s="1180"/>
      <c r="C305" s="1180"/>
      <c r="D305" s="1180"/>
      <c r="E305" s="1180"/>
      <c r="F305" s="1180"/>
      <c r="G305" s="1180"/>
      <c r="H305" s="511"/>
      <c r="I305" s="512"/>
      <c r="J305" s="513"/>
      <c r="K305" s="514"/>
      <c r="L305" s="501">
        <f t="shared" si="28"/>
        <v>0</v>
      </c>
    </row>
    <row r="306" spans="1:12">
      <c r="A306" s="1179"/>
      <c r="B306" s="1180"/>
      <c r="C306" s="1180"/>
      <c r="D306" s="1180"/>
      <c r="E306" s="1180"/>
      <c r="F306" s="1180"/>
      <c r="G306" s="1180"/>
      <c r="H306" s="511"/>
      <c r="I306" s="512"/>
      <c r="J306" s="513"/>
      <c r="K306" s="514"/>
      <c r="L306" s="501">
        <f t="shared" si="28"/>
        <v>0</v>
      </c>
    </row>
    <row r="307" spans="1:12">
      <c r="A307" s="1179"/>
      <c r="B307" s="1180"/>
      <c r="C307" s="1180"/>
      <c r="D307" s="1180"/>
      <c r="E307" s="1180"/>
      <c r="F307" s="1180"/>
      <c r="G307" s="1180"/>
      <c r="H307" s="511"/>
      <c r="I307" s="512"/>
      <c r="J307" s="513"/>
      <c r="K307" s="514"/>
      <c r="L307" s="501">
        <f t="shared" si="28"/>
        <v>0</v>
      </c>
    </row>
    <row r="308" spans="1:12">
      <c r="A308" s="1179"/>
      <c r="B308" s="1180"/>
      <c r="C308" s="1180"/>
      <c r="D308" s="1180"/>
      <c r="E308" s="1180"/>
      <c r="F308" s="1180"/>
      <c r="G308" s="1180"/>
      <c r="H308" s="511"/>
      <c r="I308" s="512"/>
      <c r="J308" s="513"/>
      <c r="K308" s="514"/>
      <c r="L308" s="501">
        <f t="shared" si="28"/>
        <v>0</v>
      </c>
    </row>
    <row r="309" spans="1:12">
      <c r="A309" s="1179"/>
      <c r="B309" s="1180"/>
      <c r="C309" s="1180"/>
      <c r="D309" s="1180"/>
      <c r="E309" s="1180"/>
      <c r="F309" s="1180"/>
      <c r="G309" s="1180"/>
      <c r="H309" s="511"/>
      <c r="I309" s="512"/>
      <c r="J309" s="513"/>
      <c r="K309" s="514"/>
      <c r="L309" s="501">
        <f t="shared" si="28"/>
        <v>0</v>
      </c>
    </row>
    <row r="310" spans="1:12">
      <c r="A310" s="1179"/>
      <c r="B310" s="1180"/>
      <c r="C310" s="1180"/>
      <c r="D310" s="1180"/>
      <c r="E310" s="1180"/>
      <c r="F310" s="1180"/>
      <c r="G310" s="1180"/>
      <c r="H310" s="511"/>
      <c r="I310" s="512"/>
      <c r="J310" s="513"/>
      <c r="K310" s="514"/>
      <c r="L310" s="501">
        <f t="shared" si="28"/>
        <v>0</v>
      </c>
    </row>
    <row r="311" spans="1:12">
      <c r="A311" s="1179"/>
      <c r="B311" s="1180"/>
      <c r="C311" s="1180"/>
      <c r="D311" s="1180"/>
      <c r="E311" s="1180"/>
      <c r="F311" s="1180"/>
      <c r="G311" s="1180"/>
      <c r="H311" s="511"/>
      <c r="I311" s="512"/>
      <c r="J311" s="513"/>
      <c r="K311" s="514"/>
      <c r="L311" s="501">
        <f t="shared" si="28"/>
        <v>0</v>
      </c>
    </row>
    <row r="312" spans="1:12">
      <c r="A312" s="1179"/>
      <c r="B312" s="1180"/>
      <c r="C312" s="1180"/>
      <c r="D312" s="1180"/>
      <c r="E312" s="1180"/>
      <c r="F312" s="1180"/>
      <c r="G312" s="1180"/>
      <c r="H312" s="511"/>
      <c r="I312" s="512"/>
      <c r="J312" s="513"/>
      <c r="K312" s="514"/>
      <c r="L312" s="501">
        <f t="shared" si="28"/>
        <v>0</v>
      </c>
    </row>
    <row r="313" spans="1:12">
      <c r="A313" s="1179"/>
      <c r="B313" s="1180"/>
      <c r="C313" s="1180"/>
      <c r="D313" s="1180"/>
      <c r="E313" s="1180"/>
      <c r="F313" s="1180"/>
      <c r="G313" s="1180"/>
      <c r="H313" s="511"/>
      <c r="I313" s="512"/>
      <c r="J313" s="513"/>
      <c r="K313" s="514"/>
      <c r="L313" s="501">
        <f t="shared" si="28"/>
        <v>0</v>
      </c>
    </row>
    <row r="314" spans="1:12">
      <c r="A314" s="1179"/>
      <c r="B314" s="1180"/>
      <c r="C314" s="1180"/>
      <c r="D314" s="1180"/>
      <c r="E314" s="1180"/>
      <c r="F314" s="1180"/>
      <c r="G314" s="1180"/>
      <c r="H314" s="511"/>
      <c r="I314" s="512"/>
      <c r="J314" s="513"/>
      <c r="K314" s="514"/>
      <c r="L314" s="501">
        <f t="shared" si="28"/>
        <v>0</v>
      </c>
    </row>
    <row r="315" spans="1:12">
      <c r="A315" s="1179"/>
      <c r="B315" s="1180"/>
      <c r="C315" s="1180"/>
      <c r="D315" s="1180"/>
      <c r="E315" s="1180"/>
      <c r="F315" s="1180"/>
      <c r="G315" s="1180"/>
      <c r="H315" s="511"/>
      <c r="I315" s="512"/>
      <c r="J315" s="513"/>
      <c r="K315" s="514"/>
      <c r="L315" s="501">
        <f t="shared" si="28"/>
        <v>0</v>
      </c>
    </row>
    <row r="316" spans="1:12">
      <c r="A316" s="1179"/>
      <c r="B316" s="1180"/>
      <c r="C316" s="1180"/>
      <c r="D316" s="1180"/>
      <c r="E316" s="1180"/>
      <c r="F316" s="1180"/>
      <c r="G316" s="1180"/>
      <c r="H316" s="511"/>
      <c r="I316" s="512"/>
      <c r="J316" s="513"/>
      <c r="K316" s="514"/>
      <c r="L316" s="501">
        <f t="shared" si="28"/>
        <v>0</v>
      </c>
    </row>
    <row r="317" spans="1:12">
      <c r="A317" s="1179"/>
      <c r="B317" s="1180"/>
      <c r="C317" s="1180"/>
      <c r="D317" s="1180"/>
      <c r="E317" s="1180"/>
      <c r="F317" s="1180"/>
      <c r="G317" s="1180"/>
      <c r="H317" s="511"/>
      <c r="I317" s="512"/>
      <c r="J317" s="513"/>
      <c r="K317" s="514"/>
      <c r="L317" s="501">
        <f t="shared" si="28"/>
        <v>0</v>
      </c>
    </row>
    <row r="318" spans="1:12">
      <c r="A318" s="1179"/>
      <c r="B318" s="1180"/>
      <c r="C318" s="1180"/>
      <c r="D318" s="1180"/>
      <c r="E318" s="1180"/>
      <c r="F318" s="1180"/>
      <c r="G318" s="1180"/>
      <c r="H318" s="511"/>
      <c r="I318" s="512"/>
      <c r="J318" s="513"/>
      <c r="K318" s="514"/>
      <c r="L318" s="501">
        <f t="shared" si="28"/>
        <v>0</v>
      </c>
    </row>
    <row r="319" spans="1:12">
      <c r="A319" s="1179"/>
      <c r="B319" s="1180"/>
      <c r="C319" s="1180"/>
      <c r="D319" s="1180"/>
      <c r="E319" s="1180"/>
      <c r="F319" s="1180"/>
      <c r="G319" s="1180"/>
      <c r="H319" s="511"/>
      <c r="I319" s="512"/>
      <c r="J319" s="513"/>
      <c r="K319" s="514"/>
      <c r="L319" s="501">
        <f t="shared" si="28"/>
        <v>0</v>
      </c>
    </row>
    <row r="320" spans="1:12">
      <c r="A320" s="1179"/>
      <c r="B320" s="1180"/>
      <c r="C320" s="1180"/>
      <c r="D320" s="1180"/>
      <c r="E320" s="1180"/>
      <c r="F320" s="1180"/>
      <c r="G320" s="1180"/>
      <c r="H320" s="511"/>
      <c r="I320" s="512"/>
      <c r="J320" s="513"/>
      <c r="K320" s="514"/>
      <c r="L320" s="501">
        <f t="shared" si="28"/>
        <v>0</v>
      </c>
    </row>
    <row r="321" spans="1:12">
      <c r="A321" s="1181"/>
      <c r="B321" s="1182"/>
      <c r="C321" s="1182"/>
      <c r="D321" s="1182"/>
      <c r="E321" s="1182"/>
      <c r="F321" s="1182"/>
      <c r="G321" s="1183"/>
      <c r="H321" s="511"/>
      <c r="I321" s="512"/>
      <c r="J321" s="513"/>
      <c r="K321" s="514"/>
      <c r="L321" s="501">
        <f t="shared" si="28"/>
        <v>0</v>
      </c>
    </row>
    <row r="322" spans="1:12">
      <c r="A322" s="744"/>
      <c r="B322" s="745"/>
      <c r="C322" s="745"/>
      <c r="D322" s="745"/>
      <c r="E322" s="745"/>
      <c r="F322" s="745"/>
      <c r="G322" s="746"/>
      <c r="H322" s="511"/>
      <c r="I322" s="512"/>
      <c r="J322" s="513"/>
      <c r="K322" s="514"/>
      <c r="L322" s="501">
        <f t="shared" si="28"/>
        <v>0</v>
      </c>
    </row>
    <row r="323" spans="1:12">
      <c r="A323" s="744"/>
      <c r="B323" s="745"/>
      <c r="C323" s="745"/>
      <c r="D323" s="745"/>
      <c r="E323" s="745"/>
      <c r="F323" s="745"/>
      <c r="G323" s="746"/>
      <c r="H323" s="511"/>
      <c r="I323" s="512"/>
      <c r="J323" s="513"/>
      <c r="K323" s="514"/>
      <c r="L323" s="501">
        <f t="shared" si="28"/>
        <v>0</v>
      </c>
    </row>
    <row r="324" spans="1:12">
      <c r="A324" s="1179"/>
      <c r="B324" s="1180"/>
      <c r="C324" s="1180"/>
      <c r="D324" s="1180"/>
      <c r="E324" s="1180"/>
      <c r="F324" s="1180"/>
      <c r="G324" s="1180"/>
      <c r="H324" s="511"/>
      <c r="I324" s="512"/>
      <c r="J324" s="513"/>
      <c r="K324" s="514"/>
      <c r="L324" s="501">
        <f t="shared" ref="L324" si="29">K324*J324</f>
        <v>0</v>
      </c>
    </row>
    <row r="325" spans="1:12">
      <c r="A325" s="1184" t="str">
        <f>'Pricing Schedule'!A55&amp;" " &amp;'Pricing Schedule'!B55</f>
        <v>21.07 (i) Heating, ventilation, air conditioning, BMS, rainwater harvesting and vacuum system control</v>
      </c>
      <c r="B325" s="1185"/>
      <c r="C325" s="1185"/>
      <c r="D325" s="1185"/>
      <c r="E325" s="1185"/>
      <c r="F325" s="1185"/>
      <c r="G325" s="1185"/>
      <c r="H325" s="496">
        <f>'Pricing Schedule'!F55</f>
        <v>3500000</v>
      </c>
      <c r="I325" s="497"/>
      <c r="J325" s="497"/>
      <c r="K325" s="748">
        <f>IF(H325=0,L325/100,(L325/H325))</f>
        <v>0</v>
      </c>
      <c r="L325" s="499">
        <f>SUM(L326:L356)</f>
        <v>0</v>
      </c>
    </row>
    <row r="326" spans="1:12">
      <c r="A326" s="1179"/>
      <c r="B326" s="1180"/>
      <c r="C326" s="1180"/>
      <c r="D326" s="1180"/>
      <c r="E326" s="1180"/>
      <c r="F326" s="1180"/>
      <c r="G326" s="1180"/>
      <c r="H326" s="511"/>
      <c r="I326" s="512"/>
      <c r="J326" s="513"/>
      <c r="K326" s="514"/>
      <c r="L326" s="501">
        <f>K326*J326</f>
        <v>0</v>
      </c>
    </row>
    <row r="327" spans="1:12">
      <c r="A327" s="1179"/>
      <c r="B327" s="1180"/>
      <c r="C327" s="1180"/>
      <c r="D327" s="1180"/>
      <c r="E327" s="1180"/>
      <c r="F327" s="1180"/>
      <c r="G327" s="1180"/>
      <c r="H327" s="511"/>
      <c r="I327" s="512"/>
      <c r="J327" s="513"/>
      <c r="K327" s="514"/>
      <c r="L327" s="501">
        <f t="shared" ref="L327:L428" si="30">K327*J327</f>
        <v>0</v>
      </c>
    </row>
    <row r="328" spans="1:12">
      <c r="A328" s="1179"/>
      <c r="B328" s="1180"/>
      <c r="C328" s="1180"/>
      <c r="D328" s="1180"/>
      <c r="E328" s="1180"/>
      <c r="F328" s="1180"/>
      <c r="G328" s="1180"/>
      <c r="H328" s="511"/>
      <c r="I328" s="512"/>
      <c r="J328" s="513"/>
      <c r="K328" s="514"/>
      <c r="L328" s="501">
        <f t="shared" si="30"/>
        <v>0</v>
      </c>
    </row>
    <row r="329" spans="1:12">
      <c r="A329" s="1179"/>
      <c r="B329" s="1180"/>
      <c r="C329" s="1180"/>
      <c r="D329" s="1180"/>
      <c r="E329" s="1180"/>
      <c r="F329" s="1180"/>
      <c r="G329" s="1180"/>
      <c r="H329" s="511"/>
      <c r="I329" s="512"/>
      <c r="J329" s="513"/>
      <c r="K329" s="514"/>
      <c r="L329" s="501">
        <f t="shared" si="30"/>
        <v>0</v>
      </c>
    </row>
    <row r="330" spans="1:12">
      <c r="A330" s="1179"/>
      <c r="B330" s="1180"/>
      <c r="C330" s="1180"/>
      <c r="D330" s="1180"/>
      <c r="E330" s="1180"/>
      <c r="F330" s="1180"/>
      <c r="G330" s="1180"/>
      <c r="H330" s="511"/>
      <c r="I330" s="512"/>
      <c r="J330" s="513"/>
      <c r="K330" s="514"/>
      <c r="L330" s="501">
        <f t="shared" ref="L330" si="31">K330*J330</f>
        <v>0</v>
      </c>
    </row>
    <row r="331" spans="1:12">
      <c r="A331" s="1179"/>
      <c r="B331" s="1180"/>
      <c r="C331" s="1180"/>
      <c r="D331" s="1180"/>
      <c r="E331" s="1180"/>
      <c r="F331" s="1180"/>
      <c r="G331" s="1180"/>
      <c r="H331" s="511"/>
      <c r="I331" s="512"/>
      <c r="J331" s="513"/>
      <c r="K331" s="514"/>
      <c r="L331" s="501">
        <f t="shared" si="30"/>
        <v>0</v>
      </c>
    </row>
    <row r="332" spans="1:12">
      <c r="A332" s="1179"/>
      <c r="B332" s="1180"/>
      <c r="C332" s="1180"/>
      <c r="D332" s="1180"/>
      <c r="E332" s="1180"/>
      <c r="F332" s="1180"/>
      <c r="G332" s="1180"/>
      <c r="H332" s="511"/>
      <c r="I332" s="512"/>
      <c r="J332" s="513"/>
      <c r="K332" s="514"/>
      <c r="L332" s="501">
        <f t="shared" si="30"/>
        <v>0</v>
      </c>
    </row>
    <row r="333" spans="1:12">
      <c r="A333" s="1179"/>
      <c r="B333" s="1180"/>
      <c r="C333" s="1180"/>
      <c r="D333" s="1180"/>
      <c r="E333" s="1180"/>
      <c r="F333" s="1180"/>
      <c r="G333" s="1180"/>
      <c r="H333" s="511"/>
      <c r="I333" s="512"/>
      <c r="J333" s="513"/>
      <c r="K333" s="514"/>
      <c r="L333" s="501">
        <f t="shared" si="30"/>
        <v>0</v>
      </c>
    </row>
    <row r="334" spans="1:12">
      <c r="A334" s="1179"/>
      <c r="B334" s="1180"/>
      <c r="C334" s="1180"/>
      <c r="D334" s="1180"/>
      <c r="E334" s="1180"/>
      <c r="F334" s="1180"/>
      <c r="G334" s="1180"/>
      <c r="H334" s="511"/>
      <c r="I334" s="512"/>
      <c r="J334" s="513"/>
      <c r="K334" s="514"/>
      <c r="L334" s="501">
        <f t="shared" si="30"/>
        <v>0</v>
      </c>
    </row>
    <row r="335" spans="1:12">
      <c r="A335" s="1179"/>
      <c r="B335" s="1180"/>
      <c r="C335" s="1180"/>
      <c r="D335" s="1180"/>
      <c r="E335" s="1180"/>
      <c r="F335" s="1180"/>
      <c r="G335" s="1180"/>
      <c r="H335" s="511"/>
      <c r="I335" s="512"/>
      <c r="J335" s="513"/>
      <c r="K335" s="514"/>
      <c r="L335" s="501">
        <f t="shared" si="30"/>
        <v>0</v>
      </c>
    </row>
    <row r="336" spans="1:12">
      <c r="A336" s="1179"/>
      <c r="B336" s="1180"/>
      <c r="C336" s="1180"/>
      <c r="D336" s="1180"/>
      <c r="E336" s="1180"/>
      <c r="F336" s="1180"/>
      <c r="G336" s="1180"/>
      <c r="H336" s="511"/>
      <c r="I336" s="512"/>
      <c r="J336" s="513"/>
      <c r="K336" s="514"/>
      <c r="L336" s="501">
        <f t="shared" si="30"/>
        <v>0</v>
      </c>
    </row>
    <row r="337" spans="1:12">
      <c r="A337" s="1179"/>
      <c r="B337" s="1180"/>
      <c r="C337" s="1180"/>
      <c r="D337" s="1180"/>
      <c r="E337" s="1180"/>
      <c r="F337" s="1180"/>
      <c r="G337" s="1180"/>
      <c r="H337" s="511"/>
      <c r="I337" s="512"/>
      <c r="J337" s="513"/>
      <c r="K337" s="514"/>
      <c r="L337" s="501">
        <f t="shared" si="30"/>
        <v>0</v>
      </c>
    </row>
    <row r="338" spans="1:12">
      <c r="A338" s="1179"/>
      <c r="B338" s="1180"/>
      <c r="C338" s="1180"/>
      <c r="D338" s="1180"/>
      <c r="E338" s="1180"/>
      <c r="F338" s="1180"/>
      <c r="G338" s="1180"/>
      <c r="H338" s="511"/>
      <c r="I338" s="512"/>
      <c r="J338" s="513"/>
      <c r="K338" s="514"/>
      <c r="L338" s="501">
        <f t="shared" ref="L338:L355" si="32">K338*J338</f>
        <v>0</v>
      </c>
    </row>
    <row r="339" spans="1:12">
      <c r="A339" s="1179"/>
      <c r="B339" s="1180"/>
      <c r="C339" s="1180"/>
      <c r="D339" s="1180"/>
      <c r="E339" s="1180"/>
      <c r="F339" s="1180"/>
      <c r="G339" s="1180"/>
      <c r="H339" s="511"/>
      <c r="I339" s="512"/>
      <c r="J339" s="513"/>
      <c r="K339" s="514"/>
      <c r="L339" s="501">
        <f t="shared" si="32"/>
        <v>0</v>
      </c>
    </row>
    <row r="340" spans="1:12">
      <c r="A340" s="1179"/>
      <c r="B340" s="1180"/>
      <c r="C340" s="1180"/>
      <c r="D340" s="1180"/>
      <c r="E340" s="1180"/>
      <c r="F340" s="1180"/>
      <c r="G340" s="1180"/>
      <c r="H340" s="511"/>
      <c r="I340" s="512"/>
      <c r="J340" s="513"/>
      <c r="K340" s="514"/>
      <c r="L340" s="501">
        <f t="shared" si="32"/>
        <v>0</v>
      </c>
    </row>
    <row r="341" spans="1:12">
      <c r="A341" s="1179"/>
      <c r="B341" s="1180"/>
      <c r="C341" s="1180"/>
      <c r="D341" s="1180"/>
      <c r="E341" s="1180"/>
      <c r="F341" s="1180"/>
      <c r="G341" s="1180"/>
      <c r="H341" s="511"/>
      <c r="I341" s="512"/>
      <c r="J341" s="513"/>
      <c r="K341" s="514"/>
      <c r="L341" s="501">
        <f t="shared" si="32"/>
        <v>0</v>
      </c>
    </row>
    <row r="342" spans="1:12">
      <c r="A342" s="1179"/>
      <c r="B342" s="1180"/>
      <c r="C342" s="1180"/>
      <c r="D342" s="1180"/>
      <c r="E342" s="1180"/>
      <c r="F342" s="1180"/>
      <c r="G342" s="1180"/>
      <c r="H342" s="511"/>
      <c r="I342" s="512"/>
      <c r="J342" s="513"/>
      <c r="K342" s="514"/>
      <c r="L342" s="501">
        <f t="shared" si="32"/>
        <v>0</v>
      </c>
    </row>
    <row r="343" spans="1:12">
      <c r="A343" s="1179"/>
      <c r="B343" s="1180"/>
      <c r="C343" s="1180"/>
      <c r="D343" s="1180"/>
      <c r="E343" s="1180"/>
      <c r="F343" s="1180"/>
      <c r="G343" s="1180"/>
      <c r="H343" s="511"/>
      <c r="I343" s="512"/>
      <c r="J343" s="513"/>
      <c r="K343" s="514"/>
      <c r="L343" s="501">
        <f t="shared" si="32"/>
        <v>0</v>
      </c>
    </row>
    <row r="344" spans="1:12">
      <c r="A344" s="1179"/>
      <c r="B344" s="1180"/>
      <c r="C344" s="1180"/>
      <c r="D344" s="1180"/>
      <c r="E344" s="1180"/>
      <c r="F344" s="1180"/>
      <c r="G344" s="1180"/>
      <c r="H344" s="511"/>
      <c r="I344" s="512"/>
      <c r="J344" s="513"/>
      <c r="K344" s="514"/>
      <c r="L344" s="501">
        <f t="shared" si="32"/>
        <v>0</v>
      </c>
    </row>
    <row r="345" spans="1:12">
      <c r="A345" s="1179"/>
      <c r="B345" s="1180"/>
      <c r="C345" s="1180"/>
      <c r="D345" s="1180"/>
      <c r="E345" s="1180"/>
      <c r="F345" s="1180"/>
      <c r="G345" s="1180"/>
      <c r="H345" s="511"/>
      <c r="I345" s="512"/>
      <c r="J345" s="513"/>
      <c r="K345" s="514"/>
      <c r="L345" s="501">
        <f t="shared" si="32"/>
        <v>0</v>
      </c>
    </row>
    <row r="346" spans="1:12">
      <c r="A346" s="1179"/>
      <c r="B346" s="1180"/>
      <c r="C346" s="1180"/>
      <c r="D346" s="1180"/>
      <c r="E346" s="1180"/>
      <c r="F346" s="1180"/>
      <c r="G346" s="1180"/>
      <c r="H346" s="511"/>
      <c r="I346" s="512"/>
      <c r="J346" s="513"/>
      <c r="K346" s="514"/>
      <c r="L346" s="501">
        <f t="shared" si="32"/>
        <v>0</v>
      </c>
    </row>
    <row r="347" spans="1:12">
      <c r="A347" s="1179"/>
      <c r="B347" s="1180"/>
      <c r="C347" s="1180"/>
      <c r="D347" s="1180"/>
      <c r="E347" s="1180"/>
      <c r="F347" s="1180"/>
      <c r="G347" s="1180"/>
      <c r="H347" s="511"/>
      <c r="I347" s="512"/>
      <c r="J347" s="513"/>
      <c r="K347" s="514"/>
      <c r="L347" s="501">
        <f t="shared" si="32"/>
        <v>0</v>
      </c>
    </row>
    <row r="348" spans="1:12">
      <c r="A348" s="1179"/>
      <c r="B348" s="1180"/>
      <c r="C348" s="1180"/>
      <c r="D348" s="1180"/>
      <c r="E348" s="1180"/>
      <c r="F348" s="1180"/>
      <c r="G348" s="1180"/>
      <c r="H348" s="511"/>
      <c r="I348" s="512"/>
      <c r="J348" s="513"/>
      <c r="K348" s="514"/>
      <c r="L348" s="501">
        <f t="shared" si="32"/>
        <v>0</v>
      </c>
    </row>
    <row r="349" spans="1:12">
      <c r="A349" s="1179"/>
      <c r="B349" s="1180"/>
      <c r="C349" s="1180"/>
      <c r="D349" s="1180"/>
      <c r="E349" s="1180"/>
      <c r="F349" s="1180"/>
      <c r="G349" s="1180"/>
      <c r="H349" s="511"/>
      <c r="I349" s="512"/>
      <c r="J349" s="513"/>
      <c r="K349" s="514"/>
      <c r="L349" s="501">
        <f t="shared" si="32"/>
        <v>0</v>
      </c>
    </row>
    <row r="350" spans="1:12">
      <c r="A350" s="1179"/>
      <c r="B350" s="1180"/>
      <c r="C350" s="1180"/>
      <c r="D350" s="1180"/>
      <c r="E350" s="1180"/>
      <c r="F350" s="1180"/>
      <c r="G350" s="1180"/>
      <c r="H350" s="511"/>
      <c r="I350" s="512"/>
      <c r="J350" s="513"/>
      <c r="K350" s="514"/>
      <c r="L350" s="501">
        <f t="shared" si="32"/>
        <v>0</v>
      </c>
    </row>
    <row r="351" spans="1:12">
      <c r="A351" s="1179"/>
      <c r="B351" s="1180"/>
      <c r="C351" s="1180"/>
      <c r="D351" s="1180"/>
      <c r="E351" s="1180"/>
      <c r="F351" s="1180"/>
      <c r="G351" s="1180"/>
      <c r="H351" s="511"/>
      <c r="I351" s="512"/>
      <c r="J351" s="513"/>
      <c r="K351" s="514"/>
      <c r="L351" s="501">
        <f t="shared" si="32"/>
        <v>0</v>
      </c>
    </row>
    <row r="352" spans="1:12">
      <c r="A352" s="1179"/>
      <c r="B352" s="1180"/>
      <c r="C352" s="1180"/>
      <c r="D352" s="1180"/>
      <c r="E352" s="1180"/>
      <c r="F352" s="1180"/>
      <c r="G352" s="1180"/>
      <c r="H352" s="511"/>
      <c r="I352" s="512"/>
      <c r="J352" s="513"/>
      <c r="K352" s="514"/>
      <c r="L352" s="501">
        <f t="shared" si="32"/>
        <v>0</v>
      </c>
    </row>
    <row r="353" spans="1:12">
      <c r="A353" s="1181"/>
      <c r="B353" s="1182"/>
      <c r="C353" s="1182"/>
      <c r="D353" s="1182"/>
      <c r="E353" s="1182"/>
      <c r="F353" s="1182"/>
      <c r="G353" s="1183"/>
      <c r="H353" s="511"/>
      <c r="I353" s="512"/>
      <c r="J353" s="513"/>
      <c r="K353" s="514"/>
      <c r="L353" s="501">
        <f t="shared" si="32"/>
        <v>0</v>
      </c>
    </row>
    <row r="354" spans="1:12">
      <c r="A354" s="1181"/>
      <c r="B354" s="1182"/>
      <c r="C354" s="1182"/>
      <c r="D354" s="1182"/>
      <c r="E354" s="1182"/>
      <c r="F354" s="1182"/>
      <c r="G354" s="1183"/>
      <c r="H354" s="511"/>
      <c r="I354" s="512"/>
      <c r="J354" s="513"/>
      <c r="K354" s="514"/>
      <c r="L354" s="501">
        <f t="shared" si="32"/>
        <v>0</v>
      </c>
    </row>
    <row r="355" spans="1:12">
      <c r="A355" s="1181"/>
      <c r="B355" s="1182"/>
      <c r="C355" s="1182"/>
      <c r="D355" s="1182"/>
      <c r="E355" s="1182"/>
      <c r="F355" s="1182"/>
      <c r="G355" s="1183"/>
      <c r="H355" s="511"/>
      <c r="I355" s="512"/>
      <c r="J355" s="513"/>
      <c r="K355" s="514"/>
      <c r="L355" s="501">
        <f t="shared" si="32"/>
        <v>0</v>
      </c>
    </row>
    <row r="356" spans="1:12">
      <c r="A356" s="1186"/>
      <c r="B356" s="1187"/>
      <c r="C356" s="1187"/>
      <c r="D356" s="1187"/>
      <c r="E356" s="1187"/>
      <c r="F356" s="1187"/>
      <c r="G356" s="1188"/>
      <c r="H356" s="511"/>
      <c r="I356" s="512"/>
      <c r="J356" s="513"/>
      <c r="K356" s="514"/>
      <c r="L356" s="501"/>
    </row>
    <row r="357" spans="1:12">
      <c r="A357" s="1184" t="str">
        <f>'Pricing Schedule'!A56&amp;" " &amp;'Pricing Schedule'!B56</f>
        <v>21.07 (j) Armed Response</v>
      </c>
      <c r="B357" s="1185"/>
      <c r="C357" s="1185"/>
      <c r="D357" s="1185"/>
      <c r="E357" s="1185"/>
      <c r="F357" s="1185"/>
      <c r="G357" s="1185"/>
      <c r="H357" s="496">
        <f>'Pricing Schedule'!F56</f>
        <v>250000</v>
      </c>
      <c r="I357" s="497"/>
      <c r="J357" s="497"/>
      <c r="K357" s="748">
        <f>IF(H357=0,L357/100,(L357/H357))</f>
        <v>0</v>
      </c>
      <c r="L357" s="499">
        <f>SUM(L358:L390)</f>
        <v>0</v>
      </c>
    </row>
    <row r="358" spans="1:12">
      <c r="A358" s="1179"/>
      <c r="B358" s="1180"/>
      <c r="C358" s="1180"/>
      <c r="D358" s="1180"/>
      <c r="E358" s="1180"/>
      <c r="F358" s="1180"/>
      <c r="G358" s="1180"/>
      <c r="H358" s="511"/>
      <c r="I358" s="512"/>
      <c r="J358" s="513"/>
      <c r="K358" s="514"/>
      <c r="L358" s="501">
        <f t="shared" si="30"/>
        <v>0</v>
      </c>
    </row>
    <row r="359" spans="1:12">
      <c r="A359" s="1179"/>
      <c r="B359" s="1180"/>
      <c r="C359" s="1180"/>
      <c r="D359" s="1180"/>
      <c r="E359" s="1180"/>
      <c r="F359" s="1180"/>
      <c r="G359" s="1180"/>
      <c r="H359" s="511"/>
      <c r="I359" s="713"/>
      <c r="J359" s="714"/>
      <c r="K359" s="514"/>
      <c r="L359" s="501">
        <f t="shared" si="30"/>
        <v>0</v>
      </c>
    </row>
    <row r="360" spans="1:12">
      <c r="A360" s="1179"/>
      <c r="B360" s="1180"/>
      <c r="C360" s="1180"/>
      <c r="D360" s="1180"/>
      <c r="E360" s="1180"/>
      <c r="F360" s="1180"/>
      <c r="G360" s="1180"/>
      <c r="H360" s="511"/>
      <c r="I360" s="512"/>
      <c r="J360" s="513"/>
      <c r="K360" s="514"/>
      <c r="L360" s="501">
        <f t="shared" si="30"/>
        <v>0</v>
      </c>
    </row>
    <row r="361" spans="1:12">
      <c r="A361" s="1179"/>
      <c r="B361" s="1180"/>
      <c r="C361" s="1180"/>
      <c r="D361" s="1180"/>
      <c r="E361" s="1180"/>
      <c r="F361" s="1180"/>
      <c r="G361" s="1180"/>
      <c r="H361" s="511"/>
      <c r="I361" s="512"/>
      <c r="J361" s="513"/>
      <c r="K361" s="514"/>
      <c r="L361" s="501">
        <f t="shared" ref="L361" si="33">K361*J361</f>
        <v>0</v>
      </c>
    </row>
    <row r="362" spans="1:12">
      <c r="A362" s="1179"/>
      <c r="B362" s="1180"/>
      <c r="C362" s="1180"/>
      <c r="D362" s="1180"/>
      <c r="E362" s="1180"/>
      <c r="F362" s="1180"/>
      <c r="G362" s="1180"/>
      <c r="H362" s="511"/>
      <c r="I362" s="512"/>
      <c r="J362" s="513"/>
      <c r="K362" s="514"/>
      <c r="L362" s="501">
        <f t="shared" ref="L362:L368" si="34">K362*J362</f>
        <v>0</v>
      </c>
    </row>
    <row r="363" spans="1:12">
      <c r="A363" s="1179"/>
      <c r="B363" s="1180"/>
      <c r="C363" s="1180"/>
      <c r="D363" s="1180"/>
      <c r="E363" s="1180"/>
      <c r="F363" s="1180"/>
      <c r="G363" s="1180"/>
      <c r="H363" s="511"/>
      <c r="I363" s="713"/>
      <c r="J363" s="714"/>
      <c r="K363" s="514"/>
      <c r="L363" s="501">
        <f t="shared" si="34"/>
        <v>0</v>
      </c>
    </row>
    <row r="364" spans="1:12">
      <c r="A364" s="1179"/>
      <c r="B364" s="1180"/>
      <c r="C364" s="1180"/>
      <c r="D364" s="1180"/>
      <c r="E364" s="1180"/>
      <c r="F364" s="1180"/>
      <c r="G364" s="1180"/>
      <c r="H364" s="511"/>
      <c r="I364" s="713"/>
      <c r="J364" s="714"/>
      <c r="K364" s="514"/>
      <c r="L364" s="501">
        <f t="shared" si="34"/>
        <v>0</v>
      </c>
    </row>
    <row r="365" spans="1:12">
      <c r="A365" s="1179"/>
      <c r="B365" s="1180"/>
      <c r="C365" s="1180"/>
      <c r="D365" s="1180"/>
      <c r="E365" s="1180"/>
      <c r="F365" s="1180"/>
      <c r="G365" s="1180"/>
      <c r="H365" s="511"/>
      <c r="I365" s="713"/>
      <c r="J365" s="714"/>
      <c r="K365" s="514"/>
      <c r="L365" s="501">
        <f t="shared" si="34"/>
        <v>0</v>
      </c>
    </row>
    <row r="366" spans="1:12">
      <c r="A366" s="1179"/>
      <c r="B366" s="1180"/>
      <c r="C366" s="1180"/>
      <c r="D366" s="1180"/>
      <c r="E366" s="1180"/>
      <c r="F366" s="1180"/>
      <c r="G366" s="1180"/>
      <c r="H366" s="511"/>
      <c r="I366" s="713"/>
      <c r="J366" s="714"/>
      <c r="K366" s="514"/>
      <c r="L366" s="501">
        <f t="shared" si="34"/>
        <v>0</v>
      </c>
    </row>
    <row r="367" spans="1:12">
      <c r="A367" s="1179"/>
      <c r="B367" s="1180"/>
      <c r="C367" s="1180"/>
      <c r="D367" s="1180"/>
      <c r="E367" s="1180"/>
      <c r="F367" s="1180"/>
      <c r="G367" s="1180"/>
      <c r="H367" s="511"/>
      <c r="I367" s="713"/>
      <c r="J367" s="714"/>
      <c r="K367" s="514"/>
      <c r="L367" s="501">
        <f t="shared" si="34"/>
        <v>0</v>
      </c>
    </row>
    <row r="368" spans="1:12">
      <c r="A368" s="1179"/>
      <c r="B368" s="1180"/>
      <c r="C368" s="1180"/>
      <c r="D368" s="1180"/>
      <c r="E368" s="1180"/>
      <c r="F368" s="1180"/>
      <c r="G368" s="1180"/>
      <c r="H368" s="511"/>
      <c r="I368" s="713"/>
      <c r="J368" s="714"/>
      <c r="K368" s="514"/>
      <c r="L368" s="501">
        <f t="shared" si="34"/>
        <v>0</v>
      </c>
    </row>
    <row r="369" spans="1:12">
      <c r="A369" s="1179"/>
      <c r="B369" s="1180"/>
      <c r="C369" s="1180"/>
      <c r="D369" s="1180"/>
      <c r="E369" s="1180"/>
      <c r="F369" s="1180"/>
      <c r="G369" s="1180"/>
      <c r="H369" s="511"/>
      <c r="I369" s="713"/>
      <c r="J369" s="714"/>
      <c r="K369" s="514"/>
      <c r="L369" s="501">
        <f t="shared" si="30"/>
        <v>0</v>
      </c>
    </row>
    <row r="370" spans="1:12">
      <c r="A370" s="1179"/>
      <c r="B370" s="1180"/>
      <c r="C370" s="1180"/>
      <c r="D370" s="1180"/>
      <c r="E370" s="1180"/>
      <c r="F370" s="1180"/>
      <c r="G370" s="1180"/>
      <c r="H370" s="511"/>
      <c r="I370" s="713"/>
      <c r="J370" s="714"/>
      <c r="K370" s="514"/>
      <c r="L370" s="501">
        <f t="shared" si="30"/>
        <v>0</v>
      </c>
    </row>
    <row r="371" spans="1:12">
      <c r="A371" s="1179"/>
      <c r="B371" s="1180"/>
      <c r="C371" s="1180"/>
      <c r="D371" s="1180"/>
      <c r="E371" s="1180"/>
      <c r="F371" s="1180"/>
      <c r="G371" s="1180"/>
      <c r="H371" s="511"/>
      <c r="I371" s="713"/>
      <c r="J371" s="714"/>
      <c r="K371" s="514"/>
      <c r="L371" s="501">
        <f t="shared" si="30"/>
        <v>0</v>
      </c>
    </row>
    <row r="372" spans="1:12">
      <c r="A372" s="1179"/>
      <c r="B372" s="1180"/>
      <c r="C372" s="1180"/>
      <c r="D372" s="1180"/>
      <c r="E372" s="1180"/>
      <c r="F372" s="1180"/>
      <c r="G372" s="1180"/>
      <c r="H372" s="511"/>
      <c r="I372" s="713"/>
      <c r="J372" s="714"/>
      <c r="K372" s="514"/>
      <c r="L372" s="501">
        <f>K372*J372</f>
        <v>0</v>
      </c>
    </row>
    <row r="373" spans="1:12">
      <c r="A373" s="1179"/>
      <c r="B373" s="1180"/>
      <c r="C373" s="1180"/>
      <c r="D373" s="1180"/>
      <c r="E373" s="1180"/>
      <c r="F373" s="1180"/>
      <c r="G373" s="1180"/>
      <c r="H373" s="511"/>
      <c r="I373" s="713"/>
      <c r="J373" s="714"/>
      <c r="K373" s="514"/>
      <c r="L373" s="501">
        <f>K373*J374</f>
        <v>0</v>
      </c>
    </row>
    <row r="374" spans="1:12">
      <c r="A374" s="1179"/>
      <c r="B374" s="1180"/>
      <c r="C374" s="1180"/>
      <c r="D374" s="1180"/>
      <c r="E374" s="1180"/>
      <c r="F374" s="1180"/>
      <c r="G374" s="1180"/>
      <c r="H374" s="511"/>
      <c r="I374" s="713"/>
      <c r="J374" s="714"/>
      <c r="K374" s="514"/>
      <c r="L374" s="501">
        <f t="shared" ref="L374:L389" si="35">K374*J374</f>
        <v>0</v>
      </c>
    </row>
    <row r="375" spans="1:12">
      <c r="A375" s="1179"/>
      <c r="B375" s="1180"/>
      <c r="C375" s="1180"/>
      <c r="D375" s="1180"/>
      <c r="E375" s="1180"/>
      <c r="F375" s="1180"/>
      <c r="G375" s="1180"/>
      <c r="H375" s="511"/>
      <c r="I375" s="713"/>
      <c r="J375" s="714"/>
      <c r="K375" s="514"/>
      <c r="L375" s="501">
        <f t="shared" si="35"/>
        <v>0</v>
      </c>
    </row>
    <row r="376" spans="1:12">
      <c r="A376" s="1179"/>
      <c r="B376" s="1180"/>
      <c r="C376" s="1180"/>
      <c r="D376" s="1180"/>
      <c r="E376" s="1180"/>
      <c r="F376" s="1180"/>
      <c r="G376" s="1180"/>
      <c r="H376" s="511"/>
      <c r="I376" s="713"/>
      <c r="J376" s="714"/>
      <c r="K376" s="514"/>
      <c r="L376" s="501">
        <f t="shared" si="35"/>
        <v>0</v>
      </c>
    </row>
    <row r="377" spans="1:12">
      <c r="A377" s="1179"/>
      <c r="B377" s="1180"/>
      <c r="C377" s="1180"/>
      <c r="D377" s="1180"/>
      <c r="E377" s="1180"/>
      <c r="F377" s="1180"/>
      <c r="G377" s="1180"/>
      <c r="H377" s="511"/>
      <c r="I377" s="713"/>
      <c r="J377" s="714"/>
      <c r="K377" s="514"/>
      <c r="L377" s="501">
        <f t="shared" si="35"/>
        <v>0</v>
      </c>
    </row>
    <row r="378" spans="1:12">
      <c r="A378" s="1179"/>
      <c r="B378" s="1180"/>
      <c r="C378" s="1180"/>
      <c r="D378" s="1180"/>
      <c r="E378" s="1180"/>
      <c r="F378" s="1180"/>
      <c r="G378" s="1180"/>
      <c r="H378" s="511"/>
      <c r="I378" s="713"/>
      <c r="J378" s="714"/>
      <c r="K378" s="514"/>
      <c r="L378" s="501">
        <f t="shared" si="35"/>
        <v>0</v>
      </c>
    </row>
    <row r="379" spans="1:12">
      <c r="A379" s="1179"/>
      <c r="B379" s="1180"/>
      <c r="C379" s="1180"/>
      <c r="D379" s="1180"/>
      <c r="E379" s="1180"/>
      <c r="F379" s="1180"/>
      <c r="G379" s="1180"/>
      <c r="H379" s="511"/>
      <c r="I379" s="713"/>
      <c r="J379" s="714"/>
      <c r="K379" s="514"/>
      <c r="L379" s="501">
        <f t="shared" si="35"/>
        <v>0</v>
      </c>
    </row>
    <row r="380" spans="1:12">
      <c r="A380" s="1179"/>
      <c r="B380" s="1180"/>
      <c r="C380" s="1180"/>
      <c r="D380" s="1180"/>
      <c r="E380" s="1180"/>
      <c r="F380" s="1180"/>
      <c r="G380" s="1180"/>
      <c r="H380" s="511"/>
      <c r="I380" s="713"/>
      <c r="J380" s="714"/>
      <c r="K380" s="514"/>
      <c r="L380" s="501">
        <f t="shared" si="35"/>
        <v>0</v>
      </c>
    </row>
    <row r="381" spans="1:12">
      <c r="A381" s="1179"/>
      <c r="B381" s="1180"/>
      <c r="C381" s="1180"/>
      <c r="D381" s="1180"/>
      <c r="E381" s="1180"/>
      <c r="F381" s="1180"/>
      <c r="G381" s="1180"/>
      <c r="H381" s="511"/>
      <c r="I381" s="713"/>
      <c r="J381" s="714"/>
      <c r="K381" s="514"/>
      <c r="L381" s="501">
        <f t="shared" si="35"/>
        <v>0</v>
      </c>
    </row>
    <row r="382" spans="1:12">
      <c r="A382" s="1179"/>
      <c r="B382" s="1180"/>
      <c r="C382" s="1180"/>
      <c r="D382" s="1180"/>
      <c r="E382" s="1180"/>
      <c r="F382" s="1180"/>
      <c r="G382" s="1180"/>
      <c r="H382" s="511"/>
      <c r="I382" s="713"/>
      <c r="J382" s="714"/>
      <c r="K382" s="514"/>
      <c r="L382" s="501">
        <f t="shared" si="35"/>
        <v>0</v>
      </c>
    </row>
    <row r="383" spans="1:12">
      <c r="A383" s="1179"/>
      <c r="B383" s="1180"/>
      <c r="C383" s="1180"/>
      <c r="D383" s="1180"/>
      <c r="E383" s="1180"/>
      <c r="F383" s="1180"/>
      <c r="G383" s="1180"/>
      <c r="H383" s="511"/>
      <c r="I383" s="713"/>
      <c r="J383" s="714"/>
      <c r="K383" s="514"/>
      <c r="L383" s="501">
        <f t="shared" si="35"/>
        <v>0</v>
      </c>
    </row>
    <row r="384" spans="1:12">
      <c r="A384" s="1179"/>
      <c r="B384" s="1180"/>
      <c r="C384" s="1180"/>
      <c r="D384" s="1180"/>
      <c r="E384" s="1180"/>
      <c r="F384" s="1180"/>
      <c r="G384" s="1180"/>
      <c r="H384" s="511"/>
      <c r="I384" s="713"/>
      <c r="J384" s="714"/>
      <c r="K384" s="514"/>
      <c r="L384" s="501">
        <f t="shared" si="35"/>
        <v>0</v>
      </c>
    </row>
    <row r="385" spans="1:12">
      <c r="A385" s="1179"/>
      <c r="B385" s="1180"/>
      <c r="C385" s="1180"/>
      <c r="D385" s="1180"/>
      <c r="E385" s="1180"/>
      <c r="F385" s="1180"/>
      <c r="G385" s="1180"/>
      <c r="H385" s="511"/>
      <c r="I385" s="713"/>
      <c r="J385" s="714"/>
      <c r="K385" s="514"/>
      <c r="L385" s="501">
        <f t="shared" si="35"/>
        <v>0</v>
      </c>
    </row>
    <row r="386" spans="1:12">
      <c r="A386" s="1179"/>
      <c r="B386" s="1180"/>
      <c r="C386" s="1180"/>
      <c r="D386" s="1180"/>
      <c r="E386" s="1180"/>
      <c r="F386" s="1180"/>
      <c r="G386" s="1180"/>
      <c r="H386" s="511"/>
      <c r="I386" s="713"/>
      <c r="J386" s="714"/>
      <c r="K386" s="514"/>
      <c r="L386" s="501">
        <f t="shared" si="35"/>
        <v>0</v>
      </c>
    </row>
    <row r="387" spans="1:12">
      <c r="A387" s="1179"/>
      <c r="B387" s="1180"/>
      <c r="C387" s="1180"/>
      <c r="D387" s="1180"/>
      <c r="E387" s="1180"/>
      <c r="F387" s="1180"/>
      <c r="G387" s="1180"/>
      <c r="H387" s="511"/>
      <c r="I387" s="713"/>
      <c r="J387" s="714"/>
      <c r="K387" s="514"/>
      <c r="L387" s="501">
        <f t="shared" si="35"/>
        <v>0</v>
      </c>
    </row>
    <row r="388" spans="1:12">
      <c r="A388" s="1179"/>
      <c r="B388" s="1180"/>
      <c r="C388" s="1180"/>
      <c r="D388" s="1180"/>
      <c r="E388" s="1180"/>
      <c r="F388" s="1180"/>
      <c r="G388" s="1180"/>
      <c r="H388" s="511"/>
      <c r="I388" s="713"/>
      <c r="J388" s="714"/>
      <c r="K388" s="514"/>
      <c r="L388" s="501">
        <f t="shared" si="35"/>
        <v>0</v>
      </c>
    </row>
    <row r="389" spans="1:12">
      <c r="A389" s="1179"/>
      <c r="B389" s="1180"/>
      <c r="C389" s="1180"/>
      <c r="D389" s="1180"/>
      <c r="E389" s="1180"/>
      <c r="F389" s="1180"/>
      <c r="G389" s="1180"/>
      <c r="H389" s="511"/>
      <c r="I389" s="713"/>
      <c r="J389" s="714"/>
      <c r="K389" s="514"/>
      <c r="L389" s="501">
        <f t="shared" si="35"/>
        <v>0</v>
      </c>
    </row>
    <row r="390" spans="1:12">
      <c r="A390" s="1179"/>
      <c r="B390" s="1180"/>
      <c r="C390" s="1180"/>
      <c r="D390" s="1180"/>
      <c r="E390" s="1180"/>
      <c r="F390" s="1180"/>
      <c r="G390" s="1180"/>
      <c r="H390" s="511"/>
      <c r="I390" s="512"/>
      <c r="J390" s="513"/>
      <c r="K390" s="514"/>
      <c r="L390" s="501"/>
    </row>
    <row r="391" spans="1:12">
      <c r="A391" s="1184" t="str">
        <f>'Pricing Schedule'!A57&amp;" " &amp;'Pricing Schedule'!B57</f>
        <v>21.07 (k) Landscaping and irrigation</v>
      </c>
      <c r="B391" s="1185"/>
      <c r="C391" s="1185"/>
      <c r="D391" s="1185"/>
      <c r="E391" s="1185"/>
      <c r="F391" s="1185"/>
      <c r="G391" s="1185"/>
      <c r="H391" s="496">
        <f>'Pricing Schedule'!F57</f>
        <v>3000000</v>
      </c>
      <c r="I391" s="497"/>
      <c r="J391" s="497"/>
      <c r="K391" s="748">
        <f>IF(H391=0,L391/100,(L391/H391))</f>
        <v>0</v>
      </c>
      <c r="L391" s="499">
        <f>SUM(L392:L422)</f>
        <v>0</v>
      </c>
    </row>
    <row r="392" spans="1:12">
      <c r="A392" s="1179"/>
      <c r="B392" s="1180"/>
      <c r="C392" s="1180"/>
      <c r="D392" s="1180"/>
      <c r="E392" s="1180"/>
      <c r="F392" s="1180"/>
      <c r="G392" s="1180"/>
      <c r="H392" s="511"/>
      <c r="I392" s="512"/>
      <c r="J392" s="513"/>
      <c r="K392" s="514"/>
      <c r="L392" s="501">
        <f t="shared" si="30"/>
        <v>0</v>
      </c>
    </row>
    <row r="393" spans="1:12">
      <c r="A393" s="1179"/>
      <c r="B393" s="1180"/>
      <c r="C393" s="1180"/>
      <c r="D393" s="1180"/>
      <c r="E393" s="1180"/>
      <c r="F393" s="1180"/>
      <c r="G393" s="1180"/>
      <c r="H393" s="511"/>
      <c r="I393" s="512"/>
      <c r="J393" s="513"/>
      <c r="K393" s="514"/>
      <c r="L393" s="501">
        <f t="shared" si="30"/>
        <v>0</v>
      </c>
    </row>
    <row r="394" spans="1:12">
      <c r="A394" s="1179"/>
      <c r="B394" s="1180"/>
      <c r="C394" s="1180"/>
      <c r="D394" s="1180"/>
      <c r="E394" s="1180"/>
      <c r="F394" s="1180"/>
      <c r="G394" s="1180"/>
      <c r="H394" s="511"/>
      <c r="I394" s="512"/>
      <c r="J394" s="513"/>
      <c r="K394" s="514"/>
      <c r="L394" s="501">
        <f t="shared" si="30"/>
        <v>0</v>
      </c>
    </row>
    <row r="395" spans="1:12">
      <c r="A395" s="1179"/>
      <c r="B395" s="1180"/>
      <c r="C395" s="1180"/>
      <c r="D395" s="1180"/>
      <c r="E395" s="1180"/>
      <c r="F395" s="1180"/>
      <c r="G395" s="1180"/>
      <c r="H395" s="511"/>
      <c r="I395" s="512"/>
      <c r="J395" s="513"/>
      <c r="K395" s="514"/>
      <c r="L395" s="501">
        <f t="shared" si="30"/>
        <v>0</v>
      </c>
    </row>
    <row r="396" spans="1:12">
      <c r="A396" s="1179"/>
      <c r="B396" s="1180"/>
      <c r="C396" s="1180"/>
      <c r="D396" s="1180"/>
      <c r="E396" s="1180"/>
      <c r="F396" s="1180"/>
      <c r="G396" s="1180"/>
      <c r="H396" s="511"/>
      <c r="I396" s="512"/>
      <c r="J396" s="513"/>
      <c r="K396" s="514"/>
      <c r="L396" s="501">
        <f t="shared" ref="L396:L399" si="36">K396*J396</f>
        <v>0</v>
      </c>
    </row>
    <row r="397" spans="1:12">
      <c r="A397" s="1179"/>
      <c r="B397" s="1180"/>
      <c r="C397" s="1180"/>
      <c r="D397" s="1180"/>
      <c r="E397" s="1180"/>
      <c r="F397" s="1180"/>
      <c r="G397" s="1180"/>
      <c r="H397" s="511"/>
      <c r="I397" s="512"/>
      <c r="J397" s="513"/>
      <c r="K397" s="514"/>
      <c r="L397" s="501">
        <f t="shared" si="36"/>
        <v>0</v>
      </c>
    </row>
    <row r="398" spans="1:12">
      <c r="A398" s="1179"/>
      <c r="B398" s="1180"/>
      <c r="C398" s="1180"/>
      <c r="D398" s="1180"/>
      <c r="E398" s="1180"/>
      <c r="F398" s="1180"/>
      <c r="G398" s="1180"/>
      <c r="H398" s="511"/>
      <c r="I398" s="713"/>
      <c r="J398" s="714"/>
      <c r="K398" s="514"/>
      <c r="L398" s="501">
        <f t="shared" si="36"/>
        <v>0</v>
      </c>
    </row>
    <row r="399" spans="1:12">
      <c r="A399" s="1179"/>
      <c r="B399" s="1180"/>
      <c r="C399" s="1180"/>
      <c r="D399" s="1180"/>
      <c r="E399" s="1180"/>
      <c r="F399" s="1180"/>
      <c r="G399" s="1180"/>
      <c r="H399" s="511"/>
      <c r="I399" s="713"/>
      <c r="J399" s="714"/>
      <c r="K399" s="514"/>
      <c r="L399" s="501">
        <f t="shared" si="36"/>
        <v>0</v>
      </c>
    </row>
    <row r="400" spans="1:12">
      <c r="A400" s="1179"/>
      <c r="B400" s="1180"/>
      <c r="C400" s="1180"/>
      <c r="D400" s="1180"/>
      <c r="E400" s="1180"/>
      <c r="F400" s="1180"/>
      <c r="G400" s="1180"/>
      <c r="H400" s="511"/>
      <c r="I400" s="713"/>
      <c r="J400" s="714"/>
      <c r="K400" s="514"/>
      <c r="L400" s="501">
        <f t="shared" ref="L400:L421" si="37">K400*J400</f>
        <v>0</v>
      </c>
    </row>
    <row r="401" spans="1:12">
      <c r="A401" s="1179"/>
      <c r="B401" s="1180"/>
      <c r="C401" s="1180"/>
      <c r="D401" s="1180"/>
      <c r="E401" s="1180"/>
      <c r="F401" s="1180"/>
      <c r="G401" s="1180"/>
      <c r="H401" s="511"/>
      <c r="I401" s="713"/>
      <c r="J401" s="714"/>
      <c r="K401" s="514"/>
      <c r="L401" s="501">
        <f t="shared" si="37"/>
        <v>0</v>
      </c>
    </row>
    <row r="402" spans="1:12">
      <c r="A402" s="1179"/>
      <c r="B402" s="1180"/>
      <c r="C402" s="1180"/>
      <c r="D402" s="1180"/>
      <c r="E402" s="1180"/>
      <c r="F402" s="1180"/>
      <c r="G402" s="1180"/>
      <c r="H402" s="511"/>
      <c r="I402" s="713"/>
      <c r="J402" s="714"/>
      <c r="K402" s="514"/>
      <c r="L402" s="501">
        <f t="shared" si="37"/>
        <v>0</v>
      </c>
    </row>
    <row r="403" spans="1:12">
      <c r="A403" s="1179"/>
      <c r="B403" s="1180"/>
      <c r="C403" s="1180"/>
      <c r="D403" s="1180"/>
      <c r="E403" s="1180"/>
      <c r="F403" s="1180"/>
      <c r="G403" s="1180"/>
      <c r="H403" s="511"/>
      <c r="I403" s="713"/>
      <c r="J403" s="714"/>
      <c r="K403" s="514"/>
      <c r="L403" s="501">
        <f t="shared" si="37"/>
        <v>0</v>
      </c>
    </row>
    <row r="404" spans="1:12">
      <c r="A404" s="1179"/>
      <c r="B404" s="1180"/>
      <c r="C404" s="1180"/>
      <c r="D404" s="1180"/>
      <c r="E404" s="1180"/>
      <c r="F404" s="1180"/>
      <c r="G404" s="1180"/>
      <c r="H404" s="511"/>
      <c r="I404" s="713"/>
      <c r="J404" s="714"/>
      <c r="K404" s="514"/>
      <c r="L404" s="501">
        <f t="shared" si="37"/>
        <v>0</v>
      </c>
    </row>
    <row r="405" spans="1:12">
      <c r="A405" s="1179"/>
      <c r="B405" s="1180"/>
      <c r="C405" s="1180"/>
      <c r="D405" s="1180"/>
      <c r="E405" s="1180"/>
      <c r="F405" s="1180"/>
      <c r="G405" s="1180"/>
      <c r="H405" s="511"/>
      <c r="I405" s="713"/>
      <c r="J405" s="714"/>
      <c r="K405" s="514"/>
      <c r="L405" s="501">
        <f t="shared" si="37"/>
        <v>0</v>
      </c>
    </row>
    <row r="406" spans="1:12">
      <c r="A406" s="1179"/>
      <c r="B406" s="1180"/>
      <c r="C406" s="1180"/>
      <c r="D406" s="1180"/>
      <c r="E406" s="1180"/>
      <c r="F406" s="1180"/>
      <c r="G406" s="1180"/>
      <c r="H406" s="511"/>
      <c r="I406" s="713"/>
      <c r="J406" s="714"/>
      <c r="K406" s="514"/>
      <c r="L406" s="501">
        <f t="shared" si="37"/>
        <v>0</v>
      </c>
    </row>
    <row r="407" spans="1:12">
      <c r="A407" s="1179"/>
      <c r="B407" s="1180"/>
      <c r="C407" s="1180"/>
      <c r="D407" s="1180"/>
      <c r="E407" s="1180"/>
      <c r="F407" s="1180"/>
      <c r="G407" s="1180"/>
      <c r="H407" s="511"/>
      <c r="I407" s="713"/>
      <c r="J407" s="714"/>
      <c r="K407" s="514"/>
      <c r="L407" s="501">
        <f t="shared" si="37"/>
        <v>0</v>
      </c>
    </row>
    <row r="408" spans="1:12">
      <c r="A408" s="1179"/>
      <c r="B408" s="1180"/>
      <c r="C408" s="1180"/>
      <c r="D408" s="1180"/>
      <c r="E408" s="1180"/>
      <c r="F408" s="1180"/>
      <c r="G408" s="1180"/>
      <c r="H408" s="511"/>
      <c r="I408" s="713"/>
      <c r="J408" s="714"/>
      <c r="K408" s="514"/>
      <c r="L408" s="501">
        <f t="shared" si="37"/>
        <v>0</v>
      </c>
    </row>
    <row r="409" spans="1:12">
      <c r="A409" s="1179"/>
      <c r="B409" s="1180"/>
      <c r="C409" s="1180"/>
      <c r="D409" s="1180"/>
      <c r="E409" s="1180"/>
      <c r="F409" s="1180"/>
      <c r="G409" s="1180"/>
      <c r="H409" s="511"/>
      <c r="I409" s="713"/>
      <c r="J409" s="714"/>
      <c r="K409" s="514"/>
      <c r="L409" s="501">
        <f t="shared" si="37"/>
        <v>0</v>
      </c>
    </row>
    <row r="410" spans="1:12">
      <c r="A410" s="1179"/>
      <c r="B410" s="1180"/>
      <c r="C410" s="1180"/>
      <c r="D410" s="1180"/>
      <c r="E410" s="1180"/>
      <c r="F410" s="1180"/>
      <c r="G410" s="1180"/>
      <c r="H410" s="511"/>
      <c r="I410" s="713"/>
      <c r="J410" s="714"/>
      <c r="K410" s="514"/>
      <c r="L410" s="501">
        <f t="shared" si="37"/>
        <v>0</v>
      </c>
    </row>
    <row r="411" spans="1:12">
      <c r="A411" s="1179"/>
      <c r="B411" s="1180"/>
      <c r="C411" s="1180"/>
      <c r="D411" s="1180"/>
      <c r="E411" s="1180"/>
      <c r="F411" s="1180"/>
      <c r="G411" s="1180"/>
      <c r="H411" s="511"/>
      <c r="I411" s="713"/>
      <c r="J411" s="714"/>
      <c r="K411" s="514"/>
      <c r="L411" s="501">
        <f t="shared" si="37"/>
        <v>0</v>
      </c>
    </row>
    <row r="412" spans="1:12">
      <c r="A412" s="1179"/>
      <c r="B412" s="1180"/>
      <c r="C412" s="1180"/>
      <c r="D412" s="1180"/>
      <c r="E412" s="1180"/>
      <c r="F412" s="1180"/>
      <c r="G412" s="1180"/>
      <c r="H412" s="511"/>
      <c r="I412" s="713"/>
      <c r="J412" s="714"/>
      <c r="K412" s="514"/>
      <c r="L412" s="501">
        <f t="shared" si="37"/>
        <v>0</v>
      </c>
    </row>
    <row r="413" spans="1:12">
      <c r="A413" s="1179"/>
      <c r="B413" s="1180"/>
      <c r="C413" s="1180"/>
      <c r="D413" s="1180"/>
      <c r="E413" s="1180"/>
      <c r="F413" s="1180"/>
      <c r="G413" s="1180"/>
      <c r="H413" s="511"/>
      <c r="I413" s="713"/>
      <c r="J413" s="714"/>
      <c r="K413" s="514"/>
      <c r="L413" s="501">
        <f t="shared" si="37"/>
        <v>0</v>
      </c>
    </row>
    <row r="414" spans="1:12">
      <c r="A414" s="1179"/>
      <c r="B414" s="1180"/>
      <c r="C414" s="1180"/>
      <c r="D414" s="1180"/>
      <c r="E414" s="1180"/>
      <c r="F414" s="1180"/>
      <c r="G414" s="1180"/>
      <c r="H414" s="511"/>
      <c r="I414" s="713"/>
      <c r="J414" s="714"/>
      <c r="K414" s="514"/>
      <c r="L414" s="501">
        <f t="shared" si="37"/>
        <v>0</v>
      </c>
    </row>
    <row r="415" spans="1:12">
      <c r="A415" s="1179"/>
      <c r="B415" s="1180"/>
      <c r="C415" s="1180"/>
      <c r="D415" s="1180"/>
      <c r="E415" s="1180"/>
      <c r="F415" s="1180"/>
      <c r="G415" s="1180"/>
      <c r="H415" s="511"/>
      <c r="I415" s="713"/>
      <c r="J415" s="714"/>
      <c r="K415" s="514"/>
      <c r="L415" s="501">
        <f t="shared" si="37"/>
        <v>0</v>
      </c>
    </row>
    <row r="416" spans="1:12">
      <c r="A416" s="1179"/>
      <c r="B416" s="1180"/>
      <c r="C416" s="1180"/>
      <c r="D416" s="1180"/>
      <c r="E416" s="1180"/>
      <c r="F416" s="1180"/>
      <c r="G416" s="1180"/>
      <c r="H416" s="511"/>
      <c r="I416" s="713"/>
      <c r="J416" s="714"/>
      <c r="K416" s="514"/>
      <c r="L416" s="501">
        <f t="shared" si="37"/>
        <v>0</v>
      </c>
    </row>
    <row r="417" spans="1:12">
      <c r="A417" s="1179"/>
      <c r="B417" s="1180"/>
      <c r="C417" s="1180"/>
      <c r="D417" s="1180"/>
      <c r="E417" s="1180"/>
      <c r="F417" s="1180"/>
      <c r="G417" s="1180"/>
      <c r="H417" s="511"/>
      <c r="I417" s="713"/>
      <c r="J417" s="714"/>
      <c r="K417" s="514"/>
      <c r="L417" s="501">
        <f t="shared" si="37"/>
        <v>0</v>
      </c>
    </row>
    <row r="418" spans="1:12">
      <c r="A418" s="1179"/>
      <c r="B418" s="1180"/>
      <c r="C418" s="1180"/>
      <c r="D418" s="1180"/>
      <c r="E418" s="1180"/>
      <c r="F418" s="1180"/>
      <c r="G418" s="1180"/>
      <c r="H418" s="511"/>
      <c r="I418" s="713"/>
      <c r="J418" s="714"/>
      <c r="K418" s="514"/>
      <c r="L418" s="501">
        <f t="shared" si="37"/>
        <v>0</v>
      </c>
    </row>
    <row r="419" spans="1:12">
      <c r="A419" s="1179"/>
      <c r="B419" s="1180"/>
      <c r="C419" s="1180"/>
      <c r="D419" s="1180"/>
      <c r="E419" s="1180"/>
      <c r="F419" s="1180"/>
      <c r="G419" s="1180"/>
      <c r="H419" s="511"/>
      <c r="I419" s="713"/>
      <c r="J419" s="714"/>
      <c r="K419" s="514"/>
      <c r="L419" s="501">
        <f t="shared" si="37"/>
        <v>0</v>
      </c>
    </row>
    <row r="420" spans="1:12">
      <c r="A420" s="1179"/>
      <c r="B420" s="1180"/>
      <c r="C420" s="1180"/>
      <c r="D420" s="1180"/>
      <c r="E420" s="1180"/>
      <c r="F420" s="1180"/>
      <c r="G420" s="1180"/>
      <c r="H420" s="511"/>
      <c r="I420" s="713"/>
      <c r="J420" s="714"/>
      <c r="K420" s="514"/>
      <c r="L420" s="501">
        <f t="shared" si="37"/>
        <v>0</v>
      </c>
    </row>
    <row r="421" spans="1:12">
      <c r="A421" s="1179"/>
      <c r="B421" s="1180"/>
      <c r="C421" s="1180"/>
      <c r="D421" s="1180"/>
      <c r="E421" s="1180"/>
      <c r="F421" s="1180"/>
      <c r="G421" s="1180"/>
      <c r="H421" s="511"/>
      <c r="I421" s="713"/>
      <c r="J421" s="714"/>
      <c r="K421" s="514"/>
      <c r="L421" s="501">
        <f t="shared" si="37"/>
        <v>0</v>
      </c>
    </row>
    <row r="422" spans="1:12">
      <c r="A422" s="1181"/>
      <c r="B422" s="1182"/>
      <c r="C422" s="1182"/>
      <c r="D422" s="1182"/>
      <c r="E422" s="1182"/>
      <c r="F422" s="1182"/>
      <c r="G422" s="1183"/>
      <c r="H422" s="511"/>
      <c r="I422" s="512"/>
      <c r="J422" s="513"/>
      <c r="K422" s="514"/>
      <c r="L422" s="501">
        <f t="shared" si="30"/>
        <v>0</v>
      </c>
    </row>
    <row r="423" spans="1:12">
      <c r="A423" s="1184" t="str">
        <f>'Pricing Schedule'!A62&amp;" " &amp;'Pricing Schedule'!B62</f>
        <v>21.08 Third Party assistance</v>
      </c>
      <c r="B423" s="1185"/>
      <c r="C423" s="1185"/>
      <c r="D423" s="1185"/>
      <c r="E423" s="1185"/>
      <c r="F423" s="1185"/>
      <c r="G423" s="1185"/>
      <c r="H423" s="496">
        <f>'Pricing Schedule'!F62</f>
        <v>600000</v>
      </c>
      <c r="I423" s="497"/>
      <c r="J423" s="497"/>
      <c r="K423" s="748">
        <f>IF(H423=0,L423/100,(L423/H423))</f>
        <v>0</v>
      </c>
      <c r="L423" s="499">
        <f>SUM(L424:L430)</f>
        <v>0</v>
      </c>
    </row>
    <row r="424" spans="1:12">
      <c r="A424" s="1179"/>
      <c r="B424" s="1180"/>
      <c r="C424" s="1180"/>
      <c r="D424" s="1180"/>
      <c r="E424" s="1180"/>
      <c r="F424" s="1180"/>
      <c r="G424" s="1180"/>
      <c r="H424" s="511"/>
      <c r="I424" s="512"/>
      <c r="J424" s="513"/>
      <c r="K424" s="514"/>
      <c r="L424" s="501">
        <f t="shared" si="30"/>
        <v>0</v>
      </c>
    </row>
    <row r="425" spans="1:12">
      <c r="A425" s="1179"/>
      <c r="B425" s="1180"/>
      <c r="C425" s="1180"/>
      <c r="D425" s="1180"/>
      <c r="E425" s="1180"/>
      <c r="F425" s="1180"/>
      <c r="G425" s="1180"/>
      <c r="H425" s="511"/>
      <c r="I425" s="512"/>
      <c r="J425" s="513"/>
      <c r="K425" s="514"/>
      <c r="L425" s="501">
        <f t="shared" si="30"/>
        <v>0</v>
      </c>
    </row>
    <row r="426" spans="1:12">
      <c r="A426" s="1179"/>
      <c r="B426" s="1180"/>
      <c r="C426" s="1180"/>
      <c r="D426" s="1180"/>
      <c r="E426" s="1180"/>
      <c r="F426" s="1180"/>
      <c r="G426" s="1180"/>
      <c r="H426" s="511"/>
      <c r="I426" s="512"/>
      <c r="J426" s="513"/>
      <c r="K426" s="514"/>
      <c r="L426" s="501">
        <f t="shared" si="30"/>
        <v>0</v>
      </c>
    </row>
    <row r="427" spans="1:12">
      <c r="A427" s="1179"/>
      <c r="B427" s="1180"/>
      <c r="C427" s="1180"/>
      <c r="D427" s="1180"/>
      <c r="E427" s="1180"/>
      <c r="F427" s="1180"/>
      <c r="G427" s="1180"/>
      <c r="H427" s="511"/>
      <c r="I427" s="512"/>
      <c r="J427" s="513"/>
      <c r="K427" s="514"/>
      <c r="L427" s="501">
        <f t="shared" si="30"/>
        <v>0</v>
      </c>
    </row>
    <row r="428" spans="1:12">
      <c r="A428" s="1179"/>
      <c r="B428" s="1180"/>
      <c r="C428" s="1180"/>
      <c r="D428" s="1180"/>
      <c r="E428" s="1180"/>
      <c r="F428" s="1180"/>
      <c r="G428" s="1180"/>
      <c r="H428" s="511"/>
      <c r="I428" s="512"/>
      <c r="J428" s="513"/>
      <c r="K428" s="514"/>
      <c r="L428" s="501">
        <f t="shared" si="30"/>
        <v>0</v>
      </c>
    </row>
    <row r="429" spans="1:12">
      <c r="A429" s="1179"/>
      <c r="B429" s="1180"/>
      <c r="C429" s="1180"/>
      <c r="D429" s="1180"/>
      <c r="E429" s="1180"/>
      <c r="F429" s="1180"/>
      <c r="G429" s="1180"/>
      <c r="H429" s="511"/>
      <c r="I429" s="512"/>
      <c r="J429" s="513"/>
      <c r="K429" s="514"/>
      <c r="L429" s="501">
        <f t="shared" ref="L429:L430" si="38">K429*J429</f>
        <v>0</v>
      </c>
    </row>
    <row r="430" spans="1:12" ht="13.8" thickBot="1">
      <c r="A430" s="1208"/>
      <c r="B430" s="1209"/>
      <c r="C430" s="1209"/>
      <c r="D430" s="1209"/>
      <c r="E430" s="1209"/>
      <c r="F430" s="1209"/>
      <c r="G430" s="1209"/>
      <c r="H430" s="749"/>
      <c r="I430" s="750"/>
      <c r="J430" s="751"/>
      <c r="K430" s="752"/>
      <c r="L430" s="753">
        <f t="shared" si="38"/>
        <v>0</v>
      </c>
    </row>
    <row r="431" spans="1:12">
      <c r="A431" s="1189"/>
      <c r="B431" s="1190"/>
      <c r="C431" s="1190"/>
      <c r="D431" s="1190"/>
      <c r="E431" s="1190"/>
      <c r="F431" s="1190"/>
      <c r="G431" s="1190"/>
      <c r="H431" s="1191"/>
      <c r="I431" s="502"/>
      <c r="J431" s="503" t="s">
        <v>183</v>
      </c>
      <c r="K431" s="504">
        <f>'2100'!A7</f>
        <v>2100</v>
      </c>
      <c r="L431" s="505">
        <f>L70+L79+L93+L124+L156+L187+L218+L262+L292+L325+L357+L391+L423</f>
        <v>0</v>
      </c>
    </row>
    <row r="432" spans="1:12" ht="13.8" thickBot="1">
      <c r="A432" s="1192"/>
      <c r="B432" s="1193"/>
      <c r="C432" s="1193"/>
      <c r="D432" s="1193"/>
      <c r="E432" s="1193"/>
      <c r="F432" s="1193"/>
      <c r="G432" s="1193"/>
      <c r="H432" s="1194"/>
      <c r="I432" s="506"/>
      <c r="J432" s="506"/>
      <c r="K432" s="507"/>
      <c r="L432" s="508"/>
    </row>
    <row r="433" spans="1:12" ht="13.8" thickBot="1">
      <c r="A433" s="1195" t="s">
        <v>394</v>
      </c>
      <c r="B433" s="1196"/>
      <c r="C433" s="1196"/>
      <c r="D433" s="1196"/>
      <c r="E433" s="1196"/>
      <c r="F433" s="1196"/>
      <c r="G433" s="1196"/>
      <c r="H433" s="1196"/>
      <c r="I433" s="1196"/>
      <c r="J433" s="1196"/>
      <c r="K433" s="1197"/>
      <c r="L433" s="510">
        <f>L68+L431</f>
        <v>0</v>
      </c>
    </row>
    <row r="434" spans="1:12" ht="15.6">
      <c r="L434" s="492" t="s">
        <v>233</v>
      </c>
    </row>
    <row r="435" spans="1:12" ht="15.6">
      <c r="L435" s="493"/>
    </row>
    <row r="436" spans="1:12">
      <c r="A436" s="1198" t="s">
        <v>228</v>
      </c>
      <c r="B436" s="1136"/>
      <c r="C436" s="230" t="str">
        <f>$C$3</f>
        <v>GP2026/001/68120/2004</v>
      </c>
      <c r="D436" s="89"/>
      <c r="E436" s="89"/>
      <c r="F436" s="1204">
        <f>$F$3</f>
        <v>46006</v>
      </c>
      <c r="G436" s="1204"/>
      <c r="H436" s="1199" t="s">
        <v>193</v>
      </c>
      <c r="I436" s="1199"/>
      <c r="J436" s="1199"/>
      <c r="K436" s="1200">
        <f>$K$3</f>
        <v>1</v>
      </c>
      <c r="L436" s="1138"/>
    </row>
    <row r="437" spans="1:12" ht="13.8" thickBot="1"/>
    <row r="438" spans="1:12">
      <c r="A438" s="184"/>
      <c r="B438" s="185"/>
      <c r="C438" s="185"/>
      <c r="D438" s="185"/>
      <c r="E438" s="185"/>
      <c r="F438" s="185"/>
      <c r="G438" s="185"/>
      <c r="H438" s="185"/>
      <c r="I438" s="185"/>
      <c r="J438" s="185"/>
      <c r="K438" s="185"/>
      <c r="L438" s="231"/>
    </row>
    <row r="439" spans="1:12" ht="13.8">
      <c r="A439" s="1130" t="s">
        <v>225</v>
      </c>
      <c r="B439" s="1131"/>
      <c r="C439" s="1131"/>
      <c r="D439" s="1131"/>
      <c r="E439" s="1131"/>
      <c r="F439" s="1131"/>
      <c r="G439" s="1131"/>
      <c r="H439" s="1131"/>
      <c r="I439" s="1131"/>
      <c r="J439" s="1131"/>
      <c r="K439" s="1131"/>
      <c r="L439" s="1132"/>
    </row>
    <row r="440" spans="1:12" ht="13.8" thickBot="1">
      <c r="A440" s="232"/>
      <c r="L440" s="233"/>
    </row>
    <row r="441" spans="1:12" ht="13.8" thickBot="1">
      <c r="A441" s="1201" t="s">
        <v>0</v>
      </c>
      <c r="B441" s="1202"/>
      <c r="C441" s="1202"/>
      <c r="D441" s="1202"/>
      <c r="E441" s="1202"/>
      <c r="F441" s="1202"/>
      <c r="G441" s="1202"/>
      <c r="H441" s="1203"/>
      <c r="I441" s="234" t="s">
        <v>1</v>
      </c>
      <c r="J441" s="234" t="s">
        <v>2</v>
      </c>
      <c r="K441" s="234" t="s">
        <v>3</v>
      </c>
      <c r="L441" s="235" t="s">
        <v>214</v>
      </c>
    </row>
    <row r="442" spans="1:12" ht="13.8" thickBot="1">
      <c r="A442" s="1195" t="s">
        <v>234</v>
      </c>
      <c r="B442" s="1196"/>
      <c r="C442" s="1196"/>
      <c r="D442" s="1196"/>
      <c r="E442" s="1196"/>
      <c r="F442" s="1196"/>
      <c r="G442" s="1196"/>
      <c r="H442" s="1196"/>
      <c r="I442" s="1196"/>
      <c r="J442" s="1196"/>
      <c r="K442" s="1197"/>
      <c r="L442" s="247">
        <f>L433</f>
        <v>0</v>
      </c>
    </row>
    <row r="443" spans="1:12">
      <c r="A443" s="1212" t="str">
        <f>'Pricing Schedule'!A66&amp;" " &amp;'Pricing Schedule'!B66</f>
        <v>2200 UNSPECIFIED MINOR WORKS</v>
      </c>
      <c r="B443" s="1213"/>
      <c r="C443" s="1213"/>
      <c r="D443" s="1213"/>
      <c r="E443" s="1213"/>
      <c r="F443" s="1213"/>
      <c r="G443" s="1213"/>
      <c r="H443" s="1213"/>
      <c r="I443" s="1213"/>
      <c r="J443" s="1213"/>
      <c r="K443" s="1149"/>
      <c r="L443" s="240"/>
    </row>
    <row r="444" spans="1:12">
      <c r="A444" s="1184" t="str">
        <f>'Pricing Schedule'!A67&amp;" " &amp;'Pricing Schedule'!B67</f>
        <v>22.01 Materials and other direct costs for minor works</v>
      </c>
      <c r="B444" s="1185"/>
      <c r="C444" s="1185"/>
      <c r="D444" s="1185"/>
      <c r="E444" s="1185"/>
      <c r="F444" s="1185"/>
      <c r="G444" s="1185"/>
      <c r="H444" s="496">
        <f>'Pricing Schedule'!F67</f>
        <v>3500000</v>
      </c>
      <c r="I444" s="497"/>
      <c r="J444" s="497"/>
      <c r="K444" s="500">
        <f>IF(H444=0,L444/100,(L444/H444))</f>
        <v>0</v>
      </c>
      <c r="L444" s="499">
        <f>SUM(L445:L516)</f>
        <v>0</v>
      </c>
    </row>
    <row r="445" spans="1:12">
      <c r="A445" s="1179"/>
      <c r="B445" s="1180"/>
      <c r="C445" s="1180"/>
      <c r="D445" s="1180"/>
      <c r="E445" s="1180"/>
      <c r="F445" s="1180"/>
      <c r="G445" s="1180"/>
      <c r="H445" s="511"/>
      <c r="I445" s="512"/>
      <c r="J445" s="513"/>
      <c r="K445" s="514"/>
      <c r="L445" s="501">
        <f>K445*J445</f>
        <v>0</v>
      </c>
    </row>
    <row r="446" spans="1:12">
      <c r="A446" s="1179"/>
      <c r="B446" s="1180"/>
      <c r="C446" s="1180"/>
      <c r="D446" s="1180"/>
      <c r="E446" s="1180"/>
      <c r="F446" s="1180"/>
      <c r="G446" s="1180"/>
      <c r="H446" s="511"/>
      <c r="I446" s="512"/>
      <c r="J446" s="513"/>
      <c r="K446" s="514"/>
      <c r="L446" s="501">
        <f t="shared" ref="L446" si="39">K446*J446</f>
        <v>0</v>
      </c>
    </row>
    <row r="447" spans="1:12">
      <c r="A447" s="1179"/>
      <c r="B447" s="1180"/>
      <c r="C447" s="1180"/>
      <c r="D447" s="1180"/>
      <c r="E447" s="1180"/>
      <c r="F447" s="1180"/>
      <c r="G447" s="1180"/>
      <c r="H447" s="511"/>
      <c r="I447" s="512"/>
      <c r="J447" s="513"/>
      <c r="K447" s="514"/>
      <c r="L447" s="501">
        <f t="shared" ref="L447:L459" si="40">K447*J447</f>
        <v>0</v>
      </c>
    </row>
    <row r="448" spans="1:12">
      <c r="A448" s="1179"/>
      <c r="B448" s="1180"/>
      <c r="C448" s="1180"/>
      <c r="D448" s="1180"/>
      <c r="E448" s="1180"/>
      <c r="F448" s="1180"/>
      <c r="G448" s="1180"/>
      <c r="H448" s="511"/>
      <c r="I448" s="512"/>
      <c r="J448" s="513"/>
      <c r="K448" s="514"/>
      <c r="L448" s="501">
        <f t="shared" si="40"/>
        <v>0</v>
      </c>
    </row>
    <row r="449" spans="1:12">
      <c r="A449" s="1179"/>
      <c r="B449" s="1180"/>
      <c r="C449" s="1180"/>
      <c r="D449" s="1180"/>
      <c r="E449" s="1180"/>
      <c r="F449" s="1180"/>
      <c r="G449" s="1180"/>
      <c r="H449" s="511"/>
      <c r="I449" s="512"/>
      <c r="J449" s="513"/>
      <c r="K449" s="514"/>
      <c r="L449" s="501">
        <f t="shared" si="40"/>
        <v>0</v>
      </c>
    </row>
    <row r="450" spans="1:12">
      <c r="A450" s="1179"/>
      <c r="B450" s="1180"/>
      <c r="C450" s="1180"/>
      <c r="D450" s="1180"/>
      <c r="E450" s="1180"/>
      <c r="F450" s="1180"/>
      <c r="G450" s="1180"/>
      <c r="H450" s="511"/>
      <c r="I450" s="512"/>
      <c r="J450" s="513"/>
      <c r="K450" s="514"/>
      <c r="L450" s="501">
        <f t="shared" si="40"/>
        <v>0</v>
      </c>
    </row>
    <row r="451" spans="1:12">
      <c r="A451" s="1179"/>
      <c r="B451" s="1180"/>
      <c r="C451" s="1180"/>
      <c r="D451" s="1180"/>
      <c r="E451" s="1180"/>
      <c r="F451" s="1180"/>
      <c r="G451" s="1180"/>
      <c r="H451" s="511"/>
      <c r="I451" s="512"/>
      <c r="J451" s="513"/>
      <c r="K451" s="514"/>
      <c r="L451" s="501">
        <f t="shared" si="40"/>
        <v>0</v>
      </c>
    </row>
    <row r="452" spans="1:12">
      <c r="A452" s="1179"/>
      <c r="B452" s="1180"/>
      <c r="C452" s="1180"/>
      <c r="D452" s="1180"/>
      <c r="E452" s="1180"/>
      <c r="F452" s="1180"/>
      <c r="G452" s="1180"/>
      <c r="H452" s="511"/>
      <c r="I452" s="512"/>
      <c r="J452" s="513"/>
      <c r="K452" s="514"/>
      <c r="L452" s="501">
        <f t="shared" si="40"/>
        <v>0</v>
      </c>
    </row>
    <row r="453" spans="1:12">
      <c r="A453" s="1179"/>
      <c r="B453" s="1180"/>
      <c r="C453" s="1180"/>
      <c r="D453" s="1180"/>
      <c r="E453" s="1180"/>
      <c r="F453" s="1180"/>
      <c r="G453" s="1180"/>
      <c r="H453" s="511"/>
      <c r="I453" s="512"/>
      <c r="J453" s="513"/>
      <c r="K453" s="514"/>
      <c r="L453" s="501">
        <f t="shared" si="40"/>
        <v>0</v>
      </c>
    </row>
    <row r="454" spans="1:12">
      <c r="A454" s="1179"/>
      <c r="B454" s="1180"/>
      <c r="C454" s="1180"/>
      <c r="D454" s="1180"/>
      <c r="E454" s="1180"/>
      <c r="F454" s="1180"/>
      <c r="G454" s="1180"/>
      <c r="H454" s="511"/>
      <c r="I454" s="512"/>
      <c r="J454" s="513"/>
      <c r="K454" s="514"/>
      <c r="L454" s="501">
        <f t="shared" si="40"/>
        <v>0</v>
      </c>
    </row>
    <row r="455" spans="1:12">
      <c r="A455" s="1179"/>
      <c r="B455" s="1180"/>
      <c r="C455" s="1180"/>
      <c r="D455" s="1180"/>
      <c r="E455" s="1180"/>
      <c r="F455" s="1180"/>
      <c r="G455" s="1180"/>
      <c r="H455" s="511"/>
      <c r="I455" s="512"/>
      <c r="J455" s="513"/>
      <c r="K455" s="514"/>
      <c r="L455" s="501">
        <f t="shared" si="40"/>
        <v>0</v>
      </c>
    </row>
    <row r="456" spans="1:12">
      <c r="A456" s="1179"/>
      <c r="B456" s="1180"/>
      <c r="C456" s="1180"/>
      <c r="D456" s="1180"/>
      <c r="E456" s="1180"/>
      <c r="F456" s="1180"/>
      <c r="G456" s="1180"/>
      <c r="H456" s="511"/>
      <c r="I456" s="512"/>
      <c r="J456" s="513"/>
      <c r="K456" s="514"/>
      <c r="L456" s="501">
        <f t="shared" si="40"/>
        <v>0</v>
      </c>
    </row>
    <row r="457" spans="1:12">
      <c r="A457" s="1179"/>
      <c r="B457" s="1180"/>
      <c r="C457" s="1180"/>
      <c r="D457" s="1180"/>
      <c r="E457" s="1180"/>
      <c r="F457" s="1180"/>
      <c r="G457" s="1180"/>
      <c r="H457" s="511"/>
      <c r="I457" s="512"/>
      <c r="J457" s="513"/>
      <c r="K457" s="514"/>
      <c r="L457" s="501">
        <f t="shared" si="40"/>
        <v>0</v>
      </c>
    </row>
    <row r="458" spans="1:12">
      <c r="A458" s="1179"/>
      <c r="B458" s="1180"/>
      <c r="C458" s="1180"/>
      <c r="D458" s="1180"/>
      <c r="E458" s="1180"/>
      <c r="F458" s="1180"/>
      <c r="G458" s="1180"/>
      <c r="H458" s="511"/>
      <c r="I458" s="512"/>
      <c r="J458" s="513"/>
      <c r="K458" s="514"/>
      <c r="L458" s="501">
        <f t="shared" si="40"/>
        <v>0</v>
      </c>
    </row>
    <row r="459" spans="1:12">
      <c r="A459" s="1179"/>
      <c r="B459" s="1180"/>
      <c r="C459" s="1180"/>
      <c r="D459" s="1180"/>
      <c r="E459" s="1180"/>
      <c r="F459" s="1180"/>
      <c r="G459" s="1180"/>
      <c r="H459" s="511"/>
      <c r="I459" s="512"/>
      <c r="J459" s="513"/>
      <c r="K459" s="514"/>
      <c r="L459" s="501">
        <f t="shared" si="40"/>
        <v>0</v>
      </c>
    </row>
    <row r="460" spans="1:12">
      <c r="A460" s="1179"/>
      <c r="B460" s="1180"/>
      <c r="C460" s="1180"/>
      <c r="D460" s="1180"/>
      <c r="E460" s="1180"/>
      <c r="F460" s="1180"/>
      <c r="G460" s="1180"/>
      <c r="H460" s="511"/>
      <c r="I460" s="512"/>
      <c r="J460" s="513"/>
      <c r="K460" s="514"/>
      <c r="L460" s="501">
        <f t="shared" ref="L460:L467" si="41">K460*J460</f>
        <v>0</v>
      </c>
    </row>
    <row r="461" spans="1:12">
      <c r="A461" s="1179"/>
      <c r="B461" s="1180"/>
      <c r="C461" s="1180"/>
      <c r="D461" s="1180"/>
      <c r="E461" s="1180"/>
      <c r="F461" s="1180"/>
      <c r="G461" s="1180"/>
      <c r="H461" s="511"/>
      <c r="I461" s="512"/>
      <c r="J461" s="513"/>
      <c r="K461" s="514"/>
      <c r="L461" s="501">
        <f t="shared" si="41"/>
        <v>0</v>
      </c>
    </row>
    <row r="462" spans="1:12">
      <c r="A462" s="1179"/>
      <c r="B462" s="1180"/>
      <c r="C462" s="1180"/>
      <c r="D462" s="1180"/>
      <c r="E462" s="1180"/>
      <c r="F462" s="1180"/>
      <c r="G462" s="1180"/>
      <c r="H462" s="511"/>
      <c r="I462" s="512"/>
      <c r="J462" s="513"/>
      <c r="K462" s="514"/>
      <c r="L462" s="501">
        <f t="shared" si="41"/>
        <v>0</v>
      </c>
    </row>
    <row r="463" spans="1:12">
      <c r="A463" s="1179"/>
      <c r="B463" s="1180"/>
      <c r="C463" s="1180"/>
      <c r="D463" s="1180"/>
      <c r="E463" s="1180"/>
      <c r="F463" s="1180"/>
      <c r="G463" s="1180"/>
      <c r="H463" s="511"/>
      <c r="I463" s="512"/>
      <c r="J463" s="513"/>
      <c r="K463" s="514"/>
      <c r="L463" s="501">
        <f t="shared" si="41"/>
        <v>0</v>
      </c>
    </row>
    <row r="464" spans="1:12">
      <c r="A464" s="1179"/>
      <c r="B464" s="1180"/>
      <c r="C464" s="1180"/>
      <c r="D464" s="1180"/>
      <c r="E464" s="1180"/>
      <c r="F464" s="1180"/>
      <c r="G464" s="1180"/>
      <c r="H464" s="511"/>
      <c r="I464" s="512"/>
      <c r="J464" s="513"/>
      <c r="K464" s="514"/>
      <c r="L464" s="501">
        <f t="shared" si="41"/>
        <v>0</v>
      </c>
    </row>
    <row r="465" spans="1:14">
      <c r="A465" s="1179"/>
      <c r="B465" s="1180"/>
      <c r="C465" s="1180"/>
      <c r="D465" s="1180"/>
      <c r="E465" s="1180"/>
      <c r="F465" s="1180"/>
      <c r="G465" s="1180"/>
      <c r="H465" s="511"/>
      <c r="I465" s="512"/>
      <c r="J465" s="513"/>
      <c r="K465" s="514"/>
      <c r="L465" s="501">
        <f t="shared" si="41"/>
        <v>0</v>
      </c>
    </row>
    <row r="466" spans="1:14">
      <c r="A466" s="1179"/>
      <c r="B466" s="1180"/>
      <c r="C466" s="1180"/>
      <c r="D466" s="1180"/>
      <c r="E466" s="1180"/>
      <c r="F466" s="1180"/>
      <c r="G466" s="1180"/>
      <c r="H466" s="511"/>
      <c r="I466" s="512"/>
      <c r="J466" s="513"/>
      <c r="K466" s="514"/>
      <c r="L466" s="501">
        <f t="shared" si="41"/>
        <v>0</v>
      </c>
    </row>
    <row r="467" spans="1:14">
      <c r="A467" s="1179"/>
      <c r="B467" s="1180"/>
      <c r="C467" s="1180"/>
      <c r="D467" s="1180"/>
      <c r="E467" s="1180"/>
      <c r="F467" s="1180"/>
      <c r="G467" s="1180"/>
      <c r="H467" s="511"/>
      <c r="I467" s="512"/>
      <c r="J467" s="513"/>
      <c r="K467" s="514"/>
      <c r="L467" s="501">
        <f t="shared" si="41"/>
        <v>0</v>
      </c>
    </row>
    <row r="468" spans="1:14">
      <c r="A468" s="1179"/>
      <c r="B468" s="1180"/>
      <c r="C468" s="1180"/>
      <c r="D468" s="1180"/>
      <c r="E468" s="1180"/>
      <c r="F468" s="1180"/>
      <c r="G468" s="1180"/>
      <c r="H468" s="511"/>
      <c r="I468" s="512"/>
      <c r="J468" s="513"/>
      <c r="K468" s="514"/>
      <c r="L468" s="501">
        <f t="shared" ref="L468:L473" si="42">K468*J468</f>
        <v>0</v>
      </c>
    </row>
    <row r="469" spans="1:14">
      <c r="A469" s="1179"/>
      <c r="B469" s="1180"/>
      <c r="C469" s="1180"/>
      <c r="D469" s="1180"/>
      <c r="E469" s="1180"/>
      <c r="F469" s="1180"/>
      <c r="G469" s="1180"/>
      <c r="H469" s="511"/>
      <c r="I469" s="512"/>
      <c r="J469" s="513"/>
      <c r="K469" s="514"/>
      <c r="L469" s="501">
        <f t="shared" si="42"/>
        <v>0</v>
      </c>
    </row>
    <row r="470" spans="1:14">
      <c r="A470" s="1179"/>
      <c r="B470" s="1180"/>
      <c r="C470" s="1180"/>
      <c r="D470" s="1180"/>
      <c r="E470" s="1180"/>
      <c r="F470" s="1180"/>
      <c r="G470" s="1180"/>
      <c r="H470" s="511"/>
      <c r="I470" s="512"/>
      <c r="J470" s="513"/>
      <c r="K470" s="514"/>
      <c r="L470" s="501">
        <f t="shared" si="42"/>
        <v>0</v>
      </c>
    </row>
    <row r="471" spans="1:14">
      <c r="A471" s="1179"/>
      <c r="B471" s="1180"/>
      <c r="C471" s="1180"/>
      <c r="D471" s="1180"/>
      <c r="E471" s="1180"/>
      <c r="F471" s="1180"/>
      <c r="G471" s="1180"/>
      <c r="H471" s="511"/>
      <c r="I471" s="512"/>
      <c r="J471" s="513"/>
      <c r="K471" s="514"/>
      <c r="L471" s="501">
        <f t="shared" si="42"/>
        <v>0</v>
      </c>
    </row>
    <row r="472" spans="1:14">
      <c r="A472" s="1179"/>
      <c r="B472" s="1180"/>
      <c r="C472" s="1180"/>
      <c r="D472" s="1180"/>
      <c r="E472" s="1180"/>
      <c r="F472" s="1180"/>
      <c r="G472" s="1180"/>
      <c r="H472" s="511"/>
      <c r="I472" s="512"/>
      <c r="J472" s="513"/>
      <c r="K472" s="514"/>
      <c r="L472" s="501">
        <f t="shared" si="42"/>
        <v>0</v>
      </c>
    </row>
    <row r="473" spans="1:14">
      <c r="A473" s="1179"/>
      <c r="B473" s="1180"/>
      <c r="C473" s="1180"/>
      <c r="D473" s="1180"/>
      <c r="E473" s="1180"/>
      <c r="F473" s="1180"/>
      <c r="G473" s="1180"/>
      <c r="H473" s="511"/>
      <c r="I473" s="512"/>
      <c r="J473" s="513"/>
      <c r="K473" s="514"/>
      <c r="L473" s="501">
        <f t="shared" si="42"/>
        <v>0</v>
      </c>
    </row>
    <row r="474" spans="1:14">
      <c r="A474" s="1179"/>
      <c r="B474" s="1180"/>
      <c r="C474" s="1180"/>
      <c r="D474" s="1180"/>
      <c r="E474" s="1180"/>
      <c r="F474" s="1180"/>
      <c r="G474" s="1180"/>
      <c r="H474" s="511"/>
      <c r="I474" s="512"/>
      <c r="J474" s="513"/>
      <c r="K474" s="514"/>
      <c r="L474" s="501">
        <f t="shared" ref="L474:L515" si="43">K474*J474</f>
        <v>0</v>
      </c>
    </row>
    <row r="475" spans="1:14">
      <c r="A475" s="1179"/>
      <c r="B475" s="1180"/>
      <c r="C475" s="1180"/>
      <c r="D475" s="1180"/>
      <c r="E475" s="1180"/>
      <c r="F475" s="1180"/>
      <c r="G475" s="1180"/>
      <c r="H475" s="511"/>
      <c r="I475" s="512"/>
      <c r="J475" s="513"/>
      <c r="K475" s="514"/>
      <c r="L475" s="501">
        <f t="shared" si="43"/>
        <v>0</v>
      </c>
    </row>
    <row r="476" spans="1:14" ht="12.75" customHeight="1">
      <c r="A476" s="1179"/>
      <c r="B476" s="1180"/>
      <c r="C476" s="1180"/>
      <c r="D476" s="1180"/>
      <c r="E476" s="1180"/>
      <c r="F476" s="1180"/>
      <c r="G476" s="1180"/>
      <c r="H476" s="511"/>
      <c r="I476" s="512"/>
      <c r="J476" s="513"/>
      <c r="K476" s="514"/>
      <c r="L476" s="501">
        <f t="shared" si="43"/>
        <v>0</v>
      </c>
    </row>
    <row r="477" spans="1:14" ht="12.75" customHeight="1">
      <c r="A477" s="1179"/>
      <c r="B477" s="1180"/>
      <c r="C477" s="1180"/>
      <c r="D477" s="1180"/>
      <c r="E477" s="1180"/>
      <c r="F477" s="1180"/>
      <c r="G477" s="1180"/>
      <c r="H477" s="511"/>
      <c r="I477" s="512"/>
      <c r="J477" s="513"/>
      <c r="K477" s="514"/>
      <c r="L477" s="501">
        <f t="shared" si="43"/>
        <v>0</v>
      </c>
      <c r="N477" s="737"/>
    </row>
    <row r="478" spans="1:14" ht="12.75" customHeight="1">
      <c r="A478" s="1179"/>
      <c r="B478" s="1180"/>
      <c r="C478" s="1180"/>
      <c r="D478" s="1180"/>
      <c r="E478" s="1180"/>
      <c r="F478" s="1180"/>
      <c r="G478" s="1180"/>
      <c r="H478" s="511"/>
      <c r="I478" s="512"/>
      <c r="J478" s="513"/>
      <c r="K478" s="514"/>
      <c r="L478" s="501">
        <f t="shared" si="43"/>
        <v>0</v>
      </c>
      <c r="N478" s="738"/>
    </row>
    <row r="479" spans="1:14" ht="12.75" customHeight="1">
      <c r="A479" s="1179"/>
      <c r="B479" s="1180"/>
      <c r="C479" s="1180"/>
      <c r="D479" s="1180"/>
      <c r="E479" s="1180"/>
      <c r="F479" s="1180"/>
      <c r="G479" s="1180"/>
      <c r="H479" s="511"/>
      <c r="I479" s="512"/>
      <c r="J479" s="513"/>
      <c r="K479" s="514"/>
      <c r="L479" s="501">
        <f t="shared" si="43"/>
        <v>0</v>
      </c>
      <c r="N479" s="738"/>
    </row>
    <row r="480" spans="1:14" ht="12.75" customHeight="1">
      <c r="A480" s="1179"/>
      <c r="B480" s="1180"/>
      <c r="C480" s="1180"/>
      <c r="D480" s="1180"/>
      <c r="E480" s="1180"/>
      <c r="F480" s="1180"/>
      <c r="G480" s="1180"/>
      <c r="H480" s="511"/>
      <c r="I480" s="512"/>
      <c r="J480" s="513"/>
      <c r="K480" s="514"/>
      <c r="L480" s="501">
        <f t="shared" si="43"/>
        <v>0</v>
      </c>
      <c r="N480" s="738"/>
    </row>
    <row r="481" spans="1:14" ht="12.75" customHeight="1">
      <c r="A481" s="1179"/>
      <c r="B481" s="1180"/>
      <c r="C481" s="1180"/>
      <c r="D481" s="1180"/>
      <c r="E481" s="1180"/>
      <c r="F481" s="1180"/>
      <c r="G481" s="1180"/>
      <c r="H481" s="511"/>
      <c r="I481" s="512"/>
      <c r="J481" s="513"/>
      <c r="K481" s="514"/>
      <c r="L481" s="501">
        <f t="shared" si="43"/>
        <v>0</v>
      </c>
      <c r="N481" s="738"/>
    </row>
    <row r="482" spans="1:14" ht="12.75" customHeight="1">
      <c r="A482" s="1179"/>
      <c r="B482" s="1180"/>
      <c r="C482" s="1180"/>
      <c r="D482" s="1180"/>
      <c r="E482" s="1180"/>
      <c r="F482" s="1180"/>
      <c r="G482" s="1180"/>
      <c r="H482" s="511"/>
      <c r="I482" s="512"/>
      <c r="J482" s="513"/>
      <c r="K482" s="514"/>
      <c r="L482" s="501">
        <f t="shared" si="43"/>
        <v>0</v>
      </c>
      <c r="N482" s="738"/>
    </row>
    <row r="483" spans="1:14" ht="12.75" customHeight="1">
      <c r="A483" s="1179"/>
      <c r="B483" s="1180"/>
      <c r="C483" s="1180"/>
      <c r="D483" s="1180"/>
      <c r="E483" s="1180"/>
      <c r="F483" s="1180"/>
      <c r="G483" s="1180"/>
      <c r="H483" s="511"/>
      <c r="I483" s="512"/>
      <c r="J483" s="513"/>
      <c r="K483" s="514"/>
      <c r="L483" s="501">
        <f t="shared" si="43"/>
        <v>0</v>
      </c>
      <c r="N483" s="738"/>
    </row>
    <row r="484" spans="1:14" ht="14.4">
      <c r="A484" s="1179"/>
      <c r="B484" s="1180"/>
      <c r="C484" s="1180"/>
      <c r="D484" s="1180"/>
      <c r="E484" s="1180"/>
      <c r="F484" s="1180"/>
      <c r="G484" s="1180"/>
      <c r="H484" s="511"/>
      <c r="I484" s="512"/>
      <c r="J484" s="513"/>
      <c r="K484" s="514"/>
      <c r="L484" s="501">
        <f t="shared" si="43"/>
        <v>0</v>
      </c>
      <c r="N484" s="738"/>
    </row>
    <row r="485" spans="1:14" ht="14.4">
      <c r="A485" s="1179"/>
      <c r="B485" s="1180"/>
      <c r="C485" s="1180"/>
      <c r="D485" s="1180"/>
      <c r="E485" s="1180"/>
      <c r="F485" s="1180"/>
      <c r="G485" s="1180"/>
      <c r="H485" s="511"/>
      <c r="I485" s="512"/>
      <c r="J485" s="513"/>
      <c r="K485" s="514"/>
      <c r="L485" s="501">
        <f t="shared" si="43"/>
        <v>0</v>
      </c>
      <c r="N485" s="738"/>
    </row>
    <row r="486" spans="1:14" ht="14.4">
      <c r="A486" s="1179"/>
      <c r="B486" s="1180"/>
      <c r="C486" s="1180"/>
      <c r="D486" s="1180"/>
      <c r="E486" s="1180"/>
      <c r="F486" s="1180"/>
      <c r="G486" s="1180"/>
      <c r="H486" s="511"/>
      <c r="I486" s="512"/>
      <c r="J486" s="513"/>
      <c r="K486" s="514"/>
      <c r="L486" s="501">
        <f t="shared" si="43"/>
        <v>0</v>
      </c>
      <c r="N486" s="738"/>
    </row>
    <row r="487" spans="1:14" ht="14.4">
      <c r="A487" s="1179"/>
      <c r="B487" s="1180"/>
      <c r="C487" s="1180"/>
      <c r="D487" s="1180"/>
      <c r="E487" s="1180"/>
      <c r="F487" s="1180"/>
      <c r="G487" s="1180"/>
      <c r="H487" s="511"/>
      <c r="I487" s="512"/>
      <c r="J487" s="513"/>
      <c r="K487" s="514"/>
      <c r="L487" s="501">
        <f t="shared" si="43"/>
        <v>0</v>
      </c>
      <c r="N487" s="738"/>
    </row>
    <row r="488" spans="1:14" ht="15" customHeight="1">
      <c r="A488" s="1179"/>
      <c r="B488" s="1180"/>
      <c r="C488" s="1180"/>
      <c r="D488" s="1180"/>
      <c r="E488" s="1180"/>
      <c r="F488" s="1180"/>
      <c r="G488" s="1180"/>
      <c r="H488" s="511"/>
      <c r="I488" s="512"/>
      <c r="J488" s="513"/>
      <c r="K488" s="514"/>
      <c r="L488" s="501">
        <f t="shared" si="43"/>
        <v>0</v>
      </c>
    </row>
    <row r="489" spans="1:14" ht="15" customHeight="1">
      <c r="A489" s="1179"/>
      <c r="B489" s="1180"/>
      <c r="C489" s="1180"/>
      <c r="D489" s="1180"/>
      <c r="E489" s="1180"/>
      <c r="F489" s="1180"/>
      <c r="G489" s="1180"/>
      <c r="H489" s="511"/>
      <c r="I489" s="512"/>
      <c r="J489" s="513"/>
      <c r="K489" s="514"/>
      <c r="L489" s="501">
        <f t="shared" si="43"/>
        <v>0</v>
      </c>
    </row>
    <row r="490" spans="1:14" ht="15" customHeight="1">
      <c r="A490" s="1179"/>
      <c r="B490" s="1180"/>
      <c r="C490" s="1180"/>
      <c r="D490" s="1180"/>
      <c r="E490" s="1180"/>
      <c r="F490" s="1180"/>
      <c r="G490" s="1180"/>
      <c r="H490" s="511"/>
      <c r="I490" s="512"/>
      <c r="J490" s="513"/>
      <c r="K490" s="514"/>
      <c r="L490" s="501">
        <f t="shared" si="43"/>
        <v>0</v>
      </c>
    </row>
    <row r="491" spans="1:14" ht="15" customHeight="1">
      <c r="A491" s="1179"/>
      <c r="B491" s="1180"/>
      <c r="C491" s="1180"/>
      <c r="D491" s="1180"/>
      <c r="E491" s="1180"/>
      <c r="F491" s="1180"/>
      <c r="G491" s="1180"/>
      <c r="H491" s="511"/>
      <c r="I491" s="512"/>
      <c r="J491" s="513"/>
      <c r="K491" s="514"/>
      <c r="L491" s="501">
        <f t="shared" si="43"/>
        <v>0</v>
      </c>
    </row>
    <row r="492" spans="1:14" ht="15" customHeight="1">
      <c r="A492" s="1179"/>
      <c r="B492" s="1180"/>
      <c r="C492" s="1180"/>
      <c r="D492" s="1180"/>
      <c r="E492" s="1180"/>
      <c r="F492" s="1180"/>
      <c r="G492" s="1180"/>
      <c r="H492" s="511"/>
      <c r="I492" s="512"/>
      <c r="J492" s="513"/>
      <c r="K492" s="514"/>
      <c r="L492" s="501">
        <f t="shared" si="43"/>
        <v>0</v>
      </c>
    </row>
    <row r="493" spans="1:14" ht="15" customHeight="1">
      <c r="A493" s="1179"/>
      <c r="B493" s="1180"/>
      <c r="C493" s="1180"/>
      <c r="D493" s="1180"/>
      <c r="E493" s="1180"/>
      <c r="F493" s="1180"/>
      <c r="G493" s="1180"/>
      <c r="H493" s="511"/>
      <c r="I493" s="512"/>
      <c r="J493" s="513"/>
      <c r="K493" s="514"/>
      <c r="L493" s="501">
        <f t="shared" si="43"/>
        <v>0</v>
      </c>
    </row>
    <row r="494" spans="1:14" ht="15" customHeight="1">
      <c r="A494" s="1181"/>
      <c r="B494" s="1182"/>
      <c r="C494" s="1182"/>
      <c r="D494" s="1182"/>
      <c r="E494" s="1182"/>
      <c r="F494" s="1182"/>
      <c r="G494" s="1183"/>
      <c r="H494" s="511"/>
      <c r="I494" s="512"/>
      <c r="J494" s="513"/>
      <c r="K494" s="514"/>
      <c r="L494" s="501">
        <f t="shared" si="43"/>
        <v>0</v>
      </c>
    </row>
    <row r="495" spans="1:14" ht="15" customHeight="1">
      <c r="A495" s="1181"/>
      <c r="B495" s="1182"/>
      <c r="C495" s="1182"/>
      <c r="D495" s="1182"/>
      <c r="E495" s="1182"/>
      <c r="F495" s="1182"/>
      <c r="G495" s="1183"/>
      <c r="H495" s="511"/>
      <c r="I495" s="512"/>
      <c r="J495" s="513"/>
      <c r="K495" s="514"/>
      <c r="L495" s="501">
        <f t="shared" si="43"/>
        <v>0</v>
      </c>
    </row>
    <row r="496" spans="1:14" ht="15" customHeight="1">
      <c r="A496" s="1179"/>
      <c r="B496" s="1180"/>
      <c r="C496" s="1180"/>
      <c r="D496" s="1180"/>
      <c r="E496" s="1180"/>
      <c r="F496" s="1180"/>
      <c r="G496" s="1180"/>
      <c r="H496" s="511"/>
      <c r="I496" s="512"/>
      <c r="J496" s="513"/>
      <c r="K496" s="514"/>
      <c r="L496" s="501">
        <f t="shared" si="43"/>
        <v>0</v>
      </c>
    </row>
    <row r="497" spans="1:12" ht="15" customHeight="1">
      <c r="A497" s="1179"/>
      <c r="B497" s="1180"/>
      <c r="C497" s="1180"/>
      <c r="D497" s="1180"/>
      <c r="E497" s="1180"/>
      <c r="F497" s="1180"/>
      <c r="G497" s="1180"/>
      <c r="H497" s="511"/>
      <c r="I497" s="512"/>
      <c r="J497" s="513"/>
      <c r="K497" s="514"/>
      <c r="L497" s="501">
        <f t="shared" si="43"/>
        <v>0</v>
      </c>
    </row>
    <row r="498" spans="1:12" ht="15" customHeight="1">
      <c r="A498" s="1179"/>
      <c r="B498" s="1180"/>
      <c r="C498" s="1180"/>
      <c r="D498" s="1180"/>
      <c r="E498" s="1180"/>
      <c r="F498" s="1180"/>
      <c r="G498" s="1180"/>
      <c r="H498" s="511"/>
      <c r="I498" s="512"/>
      <c r="J498" s="513"/>
      <c r="K498" s="514"/>
      <c r="L498" s="501">
        <f t="shared" si="43"/>
        <v>0</v>
      </c>
    </row>
    <row r="499" spans="1:12" ht="15" customHeight="1">
      <c r="A499" s="1179"/>
      <c r="B499" s="1180"/>
      <c r="C499" s="1180"/>
      <c r="D499" s="1180"/>
      <c r="E499" s="1180"/>
      <c r="F499" s="1180"/>
      <c r="G499" s="1180"/>
      <c r="H499" s="511"/>
      <c r="I499" s="512"/>
      <c r="J499" s="513"/>
      <c r="K499" s="514"/>
      <c r="L499" s="501">
        <f t="shared" si="43"/>
        <v>0</v>
      </c>
    </row>
    <row r="500" spans="1:12" ht="15" customHeight="1">
      <c r="A500" s="1179"/>
      <c r="B500" s="1180"/>
      <c r="C500" s="1180"/>
      <c r="D500" s="1180"/>
      <c r="E500" s="1180"/>
      <c r="F500" s="1180"/>
      <c r="G500" s="1180"/>
      <c r="H500" s="511"/>
      <c r="I500" s="512"/>
      <c r="J500" s="513"/>
      <c r="K500" s="514"/>
      <c r="L500" s="501">
        <f t="shared" si="43"/>
        <v>0</v>
      </c>
    </row>
    <row r="501" spans="1:12" ht="15" customHeight="1">
      <c r="A501" s="1179"/>
      <c r="B501" s="1180"/>
      <c r="C501" s="1180"/>
      <c r="D501" s="1180"/>
      <c r="E501" s="1180"/>
      <c r="F501" s="1180"/>
      <c r="G501" s="1180"/>
      <c r="H501" s="511"/>
      <c r="I501" s="512"/>
      <c r="J501" s="513"/>
      <c r="K501" s="514"/>
      <c r="L501" s="501">
        <f t="shared" si="43"/>
        <v>0</v>
      </c>
    </row>
    <row r="502" spans="1:12" ht="15" customHeight="1">
      <c r="A502" s="1179"/>
      <c r="B502" s="1180"/>
      <c r="C502" s="1180"/>
      <c r="D502" s="1180"/>
      <c r="E502" s="1180"/>
      <c r="F502" s="1180"/>
      <c r="G502" s="1180"/>
      <c r="H502" s="511"/>
      <c r="I502" s="512"/>
      <c r="J502" s="513"/>
      <c r="K502" s="514"/>
      <c r="L502" s="501">
        <f t="shared" si="43"/>
        <v>0</v>
      </c>
    </row>
    <row r="503" spans="1:12" ht="15" customHeight="1">
      <c r="A503" s="1179"/>
      <c r="B503" s="1180"/>
      <c r="C503" s="1180"/>
      <c r="D503" s="1180"/>
      <c r="E503" s="1180"/>
      <c r="F503" s="1180"/>
      <c r="G503" s="1180"/>
      <c r="H503" s="511"/>
      <c r="I503" s="512"/>
      <c r="J503" s="513"/>
      <c r="K503" s="514"/>
      <c r="L503" s="501">
        <f t="shared" si="43"/>
        <v>0</v>
      </c>
    </row>
    <row r="504" spans="1:12" ht="15" customHeight="1">
      <c r="A504" s="1179"/>
      <c r="B504" s="1180"/>
      <c r="C504" s="1180"/>
      <c r="D504" s="1180"/>
      <c r="E504" s="1180"/>
      <c r="F504" s="1180"/>
      <c r="G504" s="1180"/>
      <c r="H504" s="511"/>
      <c r="I504" s="512"/>
      <c r="J504" s="513"/>
      <c r="K504" s="514"/>
      <c r="L504" s="501">
        <f t="shared" si="43"/>
        <v>0</v>
      </c>
    </row>
    <row r="505" spans="1:12" ht="15" customHeight="1">
      <c r="A505" s="1179"/>
      <c r="B505" s="1180"/>
      <c r="C505" s="1180"/>
      <c r="D505" s="1180"/>
      <c r="E505" s="1180"/>
      <c r="F505" s="1180"/>
      <c r="G505" s="1180"/>
      <c r="H505" s="511"/>
      <c r="I505" s="512"/>
      <c r="J505" s="513"/>
      <c r="K505" s="514"/>
      <c r="L505" s="501">
        <f t="shared" si="43"/>
        <v>0</v>
      </c>
    </row>
    <row r="506" spans="1:12" ht="15" customHeight="1">
      <c r="A506" s="1179"/>
      <c r="B506" s="1180"/>
      <c r="C506" s="1180"/>
      <c r="D506" s="1180"/>
      <c r="E506" s="1180"/>
      <c r="F506" s="1180"/>
      <c r="G506" s="1180"/>
      <c r="H506" s="511"/>
      <c r="I506" s="512"/>
      <c r="J506" s="513"/>
      <c r="K506" s="514"/>
      <c r="L506" s="501">
        <f t="shared" si="43"/>
        <v>0</v>
      </c>
    </row>
    <row r="507" spans="1:12" ht="15" customHeight="1">
      <c r="A507" s="1179"/>
      <c r="B507" s="1180"/>
      <c r="C507" s="1180"/>
      <c r="D507" s="1180"/>
      <c r="E507" s="1180"/>
      <c r="F507" s="1180"/>
      <c r="G507" s="1180"/>
      <c r="H507" s="511"/>
      <c r="I507" s="512"/>
      <c r="J507" s="513"/>
      <c r="K507" s="514"/>
      <c r="L507" s="501">
        <f t="shared" si="43"/>
        <v>0</v>
      </c>
    </row>
    <row r="508" spans="1:12" ht="15" customHeight="1">
      <c r="A508" s="744"/>
      <c r="B508" s="745"/>
      <c r="C508" s="745"/>
      <c r="D508" s="745"/>
      <c r="E508" s="745"/>
      <c r="F508" s="745"/>
      <c r="G508" s="746"/>
      <c r="H508" s="511"/>
      <c r="I508" s="512"/>
      <c r="J508" s="513"/>
      <c r="K508" s="514"/>
      <c r="L508" s="501">
        <f t="shared" si="43"/>
        <v>0</v>
      </c>
    </row>
    <row r="509" spans="1:12" ht="15" customHeight="1">
      <c r="A509" s="744"/>
      <c r="B509" s="745"/>
      <c r="C509" s="745"/>
      <c r="D509" s="745"/>
      <c r="E509" s="745"/>
      <c r="F509" s="745"/>
      <c r="G509" s="746"/>
      <c r="H509" s="511"/>
      <c r="I509" s="512"/>
      <c r="J509" s="513"/>
      <c r="K509" s="514"/>
      <c r="L509" s="501">
        <f t="shared" si="43"/>
        <v>0</v>
      </c>
    </row>
    <row r="510" spans="1:12" ht="15" customHeight="1">
      <c r="A510" s="744"/>
      <c r="B510" s="745"/>
      <c r="C510" s="745"/>
      <c r="D510" s="745"/>
      <c r="E510" s="745"/>
      <c r="F510" s="745"/>
      <c r="G510" s="746"/>
      <c r="H510" s="511"/>
      <c r="I510" s="512"/>
      <c r="J510" s="513"/>
      <c r="K510" s="514"/>
      <c r="L510" s="501">
        <f t="shared" si="43"/>
        <v>0</v>
      </c>
    </row>
    <row r="511" spans="1:12" ht="15" customHeight="1">
      <c r="A511" s="744"/>
      <c r="B511" s="745"/>
      <c r="C511" s="745"/>
      <c r="D511" s="745"/>
      <c r="E511" s="745"/>
      <c r="F511" s="745"/>
      <c r="G511" s="746"/>
      <c r="H511" s="511"/>
      <c r="I511" s="512"/>
      <c r="J511" s="513"/>
      <c r="K511" s="514"/>
      <c r="L511" s="501">
        <f t="shared" si="43"/>
        <v>0</v>
      </c>
    </row>
    <row r="512" spans="1:12" ht="15" customHeight="1">
      <c r="A512" s="744"/>
      <c r="B512" s="745"/>
      <c r="C512" s="745"/>
      <c r="D512" s="745"/>
      <c r="E512" s="745"/>
      <c r="F512" s="745"/>
      <c r="G512" s="746"/>
      <c r="H512" s="511"/>
      <c r="I512" s="512"/>
      <c r="J512" s="513"/>
      <c r="K512" s="514"/>
      <c r="L512" s="501">
        <f t="shared" si="43"/>
        <v>0</v>
      </c>
    </row>
    <row r="513" spans="1:12" ht="15" customHeight="1">
      <c r="A513" s="744"/>
      <c r="B513" s="745"/>
      <c r="C513" s="745"/>
      <c r="D513" s="745"/>
      <c r="E513" s="745"/>
      <c r="F513" s="745"/>
      <c r="G513" s="746"/>
      <c r="H513" s="511"/>
      <c r="I513" s="512"/>
      <c r="J513" s="513"/>
      <c r="K513" s="514"/>
      <c r="L513" s="501">
        <f t="shared" si="43"/>
        <v>0</v>
      </c>
    </row>
    <row r="514" spans="1:12" ht="15" customHeight="1">
      <c r="A514" s="744"/>
      <c r="B514" s="745"/>
      <c r="C514" s="745"/>
      <c r="D514" s="745"/>
      <c r="E514" s="745"/>
      <c r="F514" s="745"/>
      <c r="G514" s="746"/>
      <c r="H514" s="511"/>
      <c r="I514" s="512"/>
      <c r="J514" s="513"/>
      <c r="K514" s="514"/>
      <c r="L514" s="501">
        <f t="shared" si="43"/>
        <v>0</v>
      </c>
    </row>
    <row r="515" spans="1:12" ht="15" customHeight="1">
      <c r="A515" s="744"/>
      <c r="B515" s="745"/>
      <c r="C515" s="745"/>
      <c r="D515" s="745"/>
      <c r="E515" s="745"/>
      <c r="F515" s="745"/>
      <c r="G515" s="746"/>
      <c r="H515" s="511"/>
      <c r="I515" s="512"/>
      <c r="J515" s="513"/>
      <c r="K515" s="514"/>
      <c r="L515" s="501">
        <f t="shared" si="43"/>
        <v>0</v>
      </c>
    </row>
    <row r="516" spans="1:12">
      <c r="A516" s="1181"/>
      <c r="B516" s="1182"/>
      <c r="C516" s="1182"/>
      <c r="D516" s="1182"/>
      <c r="E516" s="1182"/>
      <c r="F516" s="1182"/>
      <c r="G516" s="1183"/>
      <c r="H516" s="511"/>
      <c r="I516" s="512"/>
      <c r="J516" s="513"/>
      <c r="K516" s="514"/>
      <c r="L516" s="501"/>
    </row>
    <row r="517" spans="1:12">
      <c r="A517" s="1184" t="str">
        <f>'Pricing Schedule'!A71&amp;" " &amp;'Pricing Schedule'!B71</f>
        <v>22.04 Third Party engagements in minor repairs and services</v>
      </c>
      <c r="B517" s="1185"/>
      <c r="C517" s="1185"/>
      <c r="D517" s="1185"/>
      <c r="E517" s="1185"/>
      <c r="F517" s="1185"/>
      <c r="G517" s="1185"/>
      <c r="H517" s="496">
        <f>'Pricing Schedule'!F71</f>
        <v>2000000</v>
      </c>
      <c r="I517" s="497"/>
      <c r="J517" s="497"/>
      <c r="K517" s="500">
        <f>IF(H517=0,L517/100,(L517/H517))</f>
        <v>0</v>
      </c>
      <c r="L517" s="499">
        <f>SUM(L518:L524)</f>
        <v>0</v>
      </c>
    </row>
    <row r="518" spans="1:12">
      <c r="A518" s="1179"/>
      <c r="B518" s="1180"/>
      <c r="C518" s="1180"/>
      <c r="D518" s="1180"/>
      <c r="E518" s="1180"/>
      <c r="F518" s="1180"/>
      <c r="G518" s="1180"/>
      <c r="H518" s="511"/>
      <c r="I518" s="512"/>
      <c r="J518" s="513"/>
      <c r="K518" s="514"/>
      <c r="L518" s="501">
        <f>K518*J518</f>
        <v>0</v>
      </c>
    </row>
    <row r="519" spans="1:12">
      <c r="A519" s="1181"/>
      <c r="B519" s="1182"/>
      <c r="C519" s="1182"/>
      <c r="D519" s="1182"/>
      <c r="E519" s="1182"/>
      <c r="F519" s="1182"/>
      <c r="G519" s="1183"/>
      <c r="H519" s="511"/>
      <c r="I519" s="713"/>
      <c r="J519" s="714"/>
      <c r="K519" s="514"/>
      <c r="L519" s="501">
        <f>K519*J519</f>
        <v>0</v>
      </c>
    </row>
    <row r="520" spans="1:12">
      <c r="A520" s="1179"/>
      <c r="B520" s="1180"/>
      <c r="C520" s="1180"/>
      <c r="D520" s="1180"/>
      <c r="E520" s="1180"/>
      <c r="F520" s="1180"/>
      <c r="G520" s="1180"/>
      <c r="H520" s="511"/>
      <c r="I520" s="713"/>
      <c r="J520" s="714"/>
      <c r="K520" s="514"/>
      <c r="L520" s="501">
        <f t="shared" ref="L520:L524" si="44">K520*J520</f>
        <v>0</v>
      </c>
    </row>
    <row r="521" spans="1:12">
      <c r="A521" s="1179"/>
      <c r="B521" s="1180"/>
      <c r="C521" s="1180"/>
      <c r="D521" s="1180"/>
      <c r="E521" s="1180"/>
      <c r="F521" s="1180"/>
      <c r="G521" s="1180"/>
      <c r="H521" s="511"/>
      <c r="I521" s="713"/>
      <c r="J521" s="714"/>
      <c r="K521" s="514"/>
      <c r="L521" s="501">
        <f t="shared" si="44"/>
        <v>0</v>
      </c>
    </row>
    <row r="522" spans="1:12">
      <c r="A522" s="1179"/>
      <c r="B522" s="1180"/>
      <c r="C522" s="1180"/>
      <c r="D522" s="1180"/>
      <c r="E522" s="1180"/>
      <c r="F522" s="1180"/>
      <c r="G522" s="1180"/>
      <c r="H522" s="511"/>
      <c r="I522" s="512"/>
      <c r="J522" s="513"/>
      <c r="K522" s="514"/>
      <c r="L522" s="501">
        <f t="shared" si="44"/>
        <v>0</v>
      </c>
    </row>
    <row r="523" spans="1:12">
      <c r="A523" s="1179"/>
      <c r="B523" s="1180"/>
      <c r="C523" s="1180"/>
      <c r="D523" s="1180"/>
      <c r="E523" s="1180"/>
      <c r="F523" s="1180"/>
      <c r="G523" s="1180"/>
      <c r="H523" s="511"/>
      <c r="I523" s="512"/>
      <c r="J523" s="513"/>
      <c r="K523" s="514"/>
      <c r="L523" s="501">
        <f t="shared" si="44"/>
        <v>0</v>
      </c>
    </row>
    <row r="524" spans="1:12" ht="13.8" thickBot="1">
      <c r="A524" s="1179"/>
      <c r="B524" s="1180"/>
      <c r="C524" s="1180"/>
      <c r="D524" s="1180"/>
      <c r="E524" s="1180"/>
      <c r="F524" s="1180"/>
      <c r="G524" s="1180"/>
      <c r="H524" s="511"/>
      <c r="I524" s="512"/>
      <c r="J524" s="513"/>
      <c r="K524" s="514"/>
      <c r="L524" s="501">
        <f t="shared" si="44"/>
        <v>0</v>
      </c>
    </row>
    <row r="525" spans="1:12">
      <c r="A525" s="1189"/>
      <c r="B525" s="1190"/>
      <c r="C525" s="1190"/>
      <c r="D525" s="1190"/>
      <c r="E525" s="1190"/>
      <c r="F525" s="1190"/>
      <c r="G525" s="1190"/>
      <c r="H525" s="1191"/>
      <c r="I525" s="502"/>
      <c r="J525" s="503" t="s">
        <v>183</v>
      </c>
      <c r="K525" s="504">
        <f>'2200'!A7</f>
        <v>2200</v>
      </c>
      <c r="L525" s="505">
        <f>L444+L517</f>
        <v>0</v>
      </c>
    </row>
    <row r="526" spans="1:12" ht="13.8" thickBot="1">
      <c r="A526" s="1192"/>
      <c r="B526" s="1193"/>
      <c r="C526" s="1193"/>
      <c r="D526" s="1193"/>
      <c r="E526" s="1193"/>
      <c r="F526" s="1193"/>
      <c r="G526" s="1193"/>
      <c r="H526" s="1194"/>
      <c r="I526" s="506"/>
      <c r="J526" s="506"/>
      <c r="K526" s="507"/>
      <c r="L526" s="508"/>
    </row>
    <row r="527" spans="1:12" ht="18.75" customHeight="1" thickBot="1">
      <c r="A527" s="1195" t="s">
        <v>395</v>
      </c>
      <c r="B527" s="1196"/>
      <c r="C527" s="1196"/>
      <c r="D527" s="1196"/>
      <c r="E527" s="1196"/>
      <c r="F527" s="1196"/>
      <c r="G527" s="1196"/>
      <c r="H527" s="1196"/>
      <c r="I527" s="1196"/>
      <c r="J527" s="1196"/>
      <c r="K527" s="1197"/>
      <c r="L527" s="510">
        <f>L525+L442</f>
        <v>0</v>
      </c>
    </row>
    <row r="528" spans="1:12" ht="15.6">
      <c r="L528" s="492" t="s">
        <v>396</v>
      </c>
    </row>
    <row r="529" spans="1:12" ht="8.25" customHeight="1">
      <c r="L529" s="493"/>
    </row>
    <row r="530" spans="1:12" ht="15.75" customHeight="1">
      <c r="A530" s="1198" t="s">
        <v>228</v>
      </c>
      <c r="B530" s="1136"/>
      <c r="C530" s="230" t="str">
        <f>$C$3</f>
        <v>GP2026/001/68120/2004</v>
      </c>
      <c r="D530" s="89"/>
      <c r="E530" s="89"/>
      <c r="F530" s="1204">
        <f>$F$3</f>
        <v>46006</v>
      </c>
      <c r="G530" s="1204"/>
      <c r="H530" s="1199" t="s">
        <v>193</v>
      </c>
      <c r="I530" s="1199"/>
      <c r="J530" s="1199"/>
      <c r="K530" s="1200">
        <f>$K$3</f>
        <v>1</v>
      </c>
      <c r="L530" s="1138"/>
    </row>
    <row r="531" spans="1:12" ht="15.75" customHeight="1" thickBot="1"/>
    <row r="532" spans="1:12" ht="15.75" customHeight="1">
      <c r="A532" s="184"/>
      <c r="B532" s="185"/>
      <c r="C532" s="185"/>
      <c r="D532" s="185"/>
      <c r="E532" s="185"/>
      <c r="F532" s="185"/>
      <c r="G532" s="185"/>
      <c r="H532" s="185"/>
      <c r="I532" s="185"/>
      <c r="J532" s="185"/>
      <c r="K532" s="185"/>
      <c r="L532" s="231"/>
    </row>
    <row r="533" spans="1:12" ht="15.75" customHeight="1">
      <c r="A533" s="1130" t="s">
        <v>225</v>
      </c>
      <c r="B533" s="1131"/>
      <c r="C533" s="1131"/>
      <c r="D533" s="1131"/>
      <c r="E533" s="1131"/>
      <c r="F533" s="1131"/>
      <c r="G533" s="1131"/>
      <c r="H533" s="1131"/>
      <c r="I533" s="1131"/>
      <c r="J533" s="1131"/>
      <c r="K533" s="1131"/>
      <c r="L533" s="1132"/>
    </row>
    <row r="534" spans="1:12" ht="15.75" customHeight="1" thickBot="1">
      <c r="A534" s="232"/>
      <c r="L534" s="233"/>
    </row>
    <row r="535" spans="1:12" ht="15.75" customHeight="1" thickBot="1">
      <c r="A535" s="1201" t="s">
        <v>0</v>
      </c>
      <c r="B535" s="1202"/>
      <c r="C535" s="1202"/>
      <c r="D535" s="1202"/>
      <c r="E535" s="1202"/>
      <c r="F535" s="1202"/>
      <c r="G535" s="1202"/>
      <c r="H535" s="1203"/>
      <c r="I535" s="234" t="s">
        <v>1</v>
      </c>
      <c r="J535" s="234" t="s">
        <v>2</v>
      </c>
      <c r="K535" s="234" t="s">
        <v>3</v>
      </c>
      <c r="L535" s="235" t="s">
        <v>214</v>
      </c>
    </row>
    <row r="536" spans="1:12" ht="12.75" customHeight="1" thickBot="1">
      <c r="A536" s="1195" t="s">
        <v>397</v>
      </c>
      <c r="B536" s="1196"/>
      <c r="C536" s="1196"/>
      <c r="D536" s="1196"/>
      <c r="E536" s="1196"/>
      <c r="F536" s="1196"/>
      <c r="G536" s="1196"/>
      <c r="H536" s="1196"/>
      <c r="I536" s="1196"/>
      <c r="J536" s="1196"/>
      <c r="K536" s="1197"/>
      <c r="L536" s="247">
        <f>L527</f>
        <v>0</v>
      </c>
    </row>
    <row r="537" spans="1:12">
      <c r="A537" s="1212" t="str">
        <f>'Pricing Schedule'!A75&amp;" " &amp;'Pricing Schedule'!B75</f>
        <v>2300 OFFICE FACILITY MAINTENANCE</v>
      </c>
      <c r="B537" s="1213"/>
      <c r="C537" s="1213"/>
      <c r="D537" s="1213"/>
      <c r="E537" s="1213"/>
      <c r="F537" s="1213"/>
      <c r="G537" s="1213"/>
      <c r="H537" s="1213"/>
      <c r="I537" s="1213"/>
      <c r="J537" s="1213"/>
      <c r="K537" s="1149"/>
      <c r="L537" s="240"/>
    </row>
    <row r="538" spans="1:12">
      <c r="A538" s="1184" t="str">
        <f>'Pricing Schedule'!A76&amp;" " &amp;'Pricing Schedule'!B76</f>
        <v>23.01 Facility maintenance subcontract costs (Ad-hoc)</v>
      </c>
      <c r="B538" s="1185"/>
      <c r="C538" s="1185"/>
      <c r="D538" s="1185"/>
      <c r="E538" s="1185"/>
      <c r="F538" s="1185"/>
      <c r="G538" s="1185"/>
      <c r="H538" s="496">
        <f>'Pricing Schedule'!F76</f>
        <v>5000000</v>
      </c>
      <c r="I538" s="497"/>
      <c r="J538" s="497"/>
      <c r="K538" s="500">
        <f>IF(H538=0,L538/100,(L538/H538))</f>
        <v>0</v>
      </c>
      <c r="L538" s="499">
        <f>SUM(L539:L545)</f>
        <v>0</v>
      </c>
    </row>
    <row r="539" spans="1:12">
      <c r="A539" s="1179"/>
      <c r="B539" s="1180"/>
      <c r="C539" s="1180"/>
      <c r="D539" s="1180"/>
      <c r="E539" s="1180"/>
      <c r="F539" s="1180"/>
      <c r="G539" s="1180"/>
      <c r="H539" s="511"/>
      <c r="I539" s="512"/>
      <c r="J539" s="513"/>
      <c r="K539" s="514"/>
      <c r="L539" s="501"/>
    </row>
    <row r="540" spans="1:12">
      <c r="A540" s="1179"/>
      <c r="B540" s="1180"/>
      <c r="C540" s="1180"/>
      <c r="D540" s="1180"/>
      <c r="E540" s="1180"/>
      <c r="F540" s="1180"/>
      <c r="G540" s="1180"/>
      <c r="H540" s="511"/>
      <c r="I540" s="512"/>
      <c r="J540" s="513"/>
      <c r="K540" s="514"/>
      <c r="L540" s="501">
        <f t="shared" ref="L540:L548" si="45">K540*J540</f>
        <v>0</v>
      </c>
    </row>
    <row r="541" spans="1:12">
      <c r="A541" s="1179"/>
      <c r="B541" s="1180"/>
      <c r="C541" s="1180"/>
      <c r="D541" s="1180"/>
      <c r="E541" s="1180"/>
      <c r="F541" s="1180"/>
      <c r="G541" s="1180"/>
      <c r="H541" s="511"/>
      <c r="I541" s="512"/>
      <c r="J541" s="513"/>
      <c r="K541" s="514"/>
      <c r="L541" s="501">
        <f t="shared" si="45"/>
        <v>0</v>
      </c>
    </row>
    <row r="542" spans="1:12">
      <c r="A542" s="1179"/>
      <c r="B542" s="1180"/>
      <c r="C542" s="1180"/>
      <c r="D542" s="1180"/>
      <c r="E542" s="1180"/>
      <c r="F542" s="1180"/>
      <c r="G542" s="1180"/>
      <c r="H542" s="511"/>
      <c r="I542" s="512"/>
      <c r="J542" s="513"/>
      <c r="K542" s="514"/>
      <c r="L542" s="501">
        <f t="shared" si="45"/>
        <v>0</v>
      </c>
    </row>
    <row r="543" spans="1:12">
      <c r="A543" s="1179"/>
      <c r="B543" s="1180"/>
      <c r="C543" s="1180"/>
      <c r="D543" s="1180"/>
      <c r="E543" s="1180"/>
      <c r="F543" s="1180"/>
      <c r="G543" s="1180"/>
      <c r="H543" s="511"/>
      <c r="I543" s="512"/>
      <c r="J543" s="513"/>
      <c r="K543" s="514"/>
      <c r="L543" s="501">
        <f t="shared" si="45"/>
        <v>0</v>
      </c>
    </row>
    <row r="544" spans="1:12">
      <c r="A544" s="1179"/>
      <c r="B544" s="1180"/>
      <c r="C544" s="1180"/>
      <c r="D544" s="1180"/>
      <c r="E544" s="1180"/>
      <c r="F544" s="1180"/>
      <c r="G544" s="1180"/>
      <c r="H544" s="511"/>
      <c r="I544" s="512"/>
      <c r="J544" s="513"/>
      <c r="K544" s="514"/>
      <c r="L544" s="501">
        <f t="shared" si="45"/>
        <v>0</v>
      </c>
    </row>
    <row r="545" spans="1:12">
      <c r="A545" s="1186"/>
      <c r="B545" s="1187"/>
      <c r="C545" s="1187"/>
      <c r="D545" s="1187"/>
      <c r="E545" s="1187"/>
      <c r="F545" s="1187"/>
      <c r="G545" s="1188"/>
      <c r="H545" s="511"/>
      <c r="I545" s="512"/>
      <c r="J545" s="513"/>
      <c r="K545" s="514"/>
      <c r="L545" s="501"/>
    </row>
    <row r="546" spans="1:12">
      <c r="A546" s="1184" t="str">
        <f>'Pricing Schedule'!A77&amp;" " &amp;'Pricing Schedule'!B77</f>
        <v>23.01(a) Facility maintenance subcontract costs (Security, OHS and other)</v>
      </c>
      <c r="B546" s="1185"/>
      <c r="C546" s="1185"/>
      <c r="D546" s="1185"/>
      <c r="E546" s="1185"/>
      <c r="F546" s="1185"/>
      <c r="G546" s="1185"/>
      <c r="H546" s="496">
        <f>'Pricing Schedule'!F77</f>
        <v>150000</v>
      </c>
      <c r="I546" s="497"/>
      <c r="J546" s="497"/>
      <c r="K546" s="500">
        <f>IF(H546=0,L546/100,(L546/H546))</f>
        <v>0</v>
      </c>
      <c r="L546" s="499">
        <f>SUM(L547:L555)</f>
        <v>0</v>
      </c>
    </row>
    <row r="547" spans="1:12">
      <c r="A547" s="1179"/>
      <c r="B547" s="1180"/>
      <c r="C547" s="1180"/>
      <c r="D547" s="1180"/>
      <c r="E547" s="1180"/>
      <c r="F547" s="1180"/>
      <c r="G547" s="1180"/>
      <c r="H547" s="511"/>
      <c r="I547" s="512"/>
      <c r="J547" s="513"/>
      <c r="K547" s="514"/>
      <c r="L547" s="501">
        <f t="shared" si="45"/>
        <v>0</v>
      </c>
    </row>
    <row r="548" spans="1:12">
      <c r="A548" s="1179"/>
      <c r="B548" s="1180"/>
      <c r="C548" s="1180"/>
      <c r="D548" s="1180"/>
      <c r="E548" s="1180"/>
      <c r="F548" s="1180"/>
      <c r="G548" s="1180"/>
      <c r="H548" s="511"/>
      <c r="I548" s="512"/>
      <c r="J548" s="513"/>
      <c r="K548" s="514"/>
      <c r="L548" s="501">
        <f t="shared" si="45"/>
        <v>0</v>
      </c>
    </row>
    <row r="549" spans="1:12">
      <c r="A549" s="1179"/>
      <c r="B549" s="1180"/>
      <c r="C549" s="1180"/>
      <c r="D549" s="1180"/>
      <c r="E549" s="1180"/>
      <c r="F549" s="1180"/>
      <c r="G549" s="1180"/>
      <c r="H549" s="511"/>
      <c r="I549" s="713"/>
      <c r="J549" s="714"/>
      <c r="K549" s="514"/>
      <c r="L549" s="501">
        <f t="shared" ref="L549:L555" si="46">K549*J549</f>
        <v>0</v>
      </c>
    </row>
    <row r="550" spans="1:12">
      <c r="A550" s="1179"/>
      <c r="B550" s="1180"/>
      <c r="C550" s="1180"/>
      <c r="D550" s="1180"/>
      <c r="E550" s="1180"/>
      <c r="F550" s="1180"/>
      <c r="G550" s="1180"/>
      <c r="H550" s="511"/>
      <c r="I550" s="713"/>
      <c r="J550" s="714"/>
      <c r="K550" s="514"/>
      <c r="L550" s="501">
        <f t="shared" si="46"/>
        <v>0</v>
      </c>
    </row>
    <row r="551" spans="1:12">
      <c r="A551" s="1179"/>
      <c r="B551" s="1180"/>
      <c r="C551" s="1180"/>
      <c r="D551" s="1180"/>
      <c r="E551" s="1180"/>
      <c r="F551" s="1180"/>
      <c r="G551" s="1180"/>
      <c r="H551" s="511"/>
      <c r="I551" s="713"/>
      <c r="J551" s="714"/>
      <c r="K551" s="514"/>
      <c r="L551" s="501">
        <f t="shared" si="46"/>
        <v>0</v>
      </c>
    </row>
    <row r="552" spans="1:12">
      <c r="A552" s="1179"/>
      <c r="B552" s="1180"/>
      <c r="C552" s="1180"/>
      <c r="D552" s="1180"/>
      <c r="E552" s="1180"/>
      <c r="F552" s="1180"/>
      <c r="G552" s="1180"/>
      <c r="H552" s="511"/>
      <c r="I552" s="512"/>
      <c r="J552" s="714"/>
      <c r="K552" s="514"/>
      <c r="L552" s="501">
        <f t="shared" si="46"/>
        <v>0</v>
      </c>
    </row>
    <row r="553" spans="1:12">
      <c r="A553" s="1179"/>
      <c r="B553" s="1180"/>
      <c r="C553" s="1180"/>
      <c r="D553" s="1180"/>
      <c r="E553" s="1180"/>
      <c r="F553" s="1180"/>
      <c r="G553" s="1180"/>
      <c r="H553" s="511"/>
      <c r="I553" s="512"/>
      <c r="J553" s="714"/>
      <c r="K553" s="514"/>
      <c r="L553" s="501">
        <f t="shared" si="46"/>
        <v>0</v>
      </c>
    </row>
    <row r="554" spans="1:12">
      <c r="A554" s="1179"/>
      <c r="B554" s="1180"/>
      <c r="C554" s="1180"/>
      <c r="D554" s="1180"/>
      <c r="E554" s="1180"/>
      <c r="F554" s="1180"/>
      <c r="G554" s="1180"/>
      <c r="H554" s="511"/>
      <c r="I554" s="512"/>
      <c r="J554" s="714"/>
      <c r="K554" s="765"/>
      <c r="L554" s="501">
        <f t="shared" si="46"/>
        <v>0</v>
      </c>
    </row>
    <row r="555" spans="1:12" ht="13.8" thickBot="1">
      <c r="A555" s="1179"/>
      <c r="B555" s="1180"/>
      <c r="C555" s="1180"/>
      <c r="D555" s="1180"/>
      <c r="E555" s="1180"/>
      <c r="F555" s="1180"/>
      <c r="G555" s="1180"/>
      <c r="H555" s="511"/>
      <c r="I555" s="512"/>
      <c r="J555" s="764"/>
      <c r="K555" s="743"/>
      <c r="L555" s="501">
        <f t="shared" si="46"/>
        <v>0</v>
      </c>
    </row>
    <row r="556" spans="1:12" ht="13.8" thickBot="1">
      <c r="A556" s="1205"/>
      <c r="B556" s="1206"/>
      <c r="C556" s="1206"/>
      <c r="D556" s="1206"/>
      <c r="E556" s="1206"/>
      <c r="F556" s="1206"/>
      <c r="G556" s="1206"/>
      <c r="H556" s="1207"/>
      <c r="I556" s="531"/>
      <c r="J556" s="532" t="s">
        <v>183</v>
      </c>
      <c r="K556" s="533">
        <f>'2300'!A7</f>
        <v>2300</v>
      </c>
      <c r="L556" s="534">
        <f>L538+L546</f>
        <v>0</v>
      </c>
    </row>
    <row r="557" spans="1:12" ht="13.8" thickBot="1">
      <c r="A557" s="1210"/>
      <c r="B557" s="1211"/>
      <c r="C557" s="1211"/>
      <c r="D557" s="1211"/>
      <c r="E557" s="1211"/>
      <c r="F557" s="1211"/>
      <c r="G557" s="1211"/>
      <c r="H557" s="1211"/>
      <c r="I557" s="294"/>
      <c r="J557" s="294"/>
      <c r="K557" s="535"/>
      <c r="L557" s="536"/>
    </row>
    <row r="558" spans="1:12" ht="18.75" customHeight="1" thickBot="1">
      <c r="A558" s="1195" t="s">
        <v>235</v>
      </c>
      <c r="B558" s="1196"/>
      <c r="C558" s="1196"/>
      <c r="D558" s="1196"/>
      <c r="E558" s="1196"/>
      <c r="F558" s="1196"/>
      <c r="G558" s="1196"/>
      <c r="H558" s="1196"/>
      <c r="I558" s="1196"/>
      <c r="J558" s="1196"/>
      <c r="K558" s="1197"/>
      <c r="L558" s="509">
        <f>L27+L57+L431+L525+L556</f>
        <v>0</v>
      </c>
    </row>
  </sheetData>
  <mergeCells count="531">
    <mergeCell ref="A495:G495"/>
    <mergeCell ref="A413:G413"/>
    <mergeCell ref="A342:G342"/>
    <mergeCell ref="A373:G373"/>
    <mergeCell ref="A235:G235"/>
    <mergeCell ref="A327:G327"/>
    <mergeCell ref="A300:G300"/>
    <mergeCell ref="A301:G301"/>
    <mergeCell ref="A309:G309"/>
    <mergeCell ref="A273:G273"/>
    <mergeCell ref="A299:G299"/>
    <mergeCell ref="A241:G241"/>
    <mergeCell ref="A274:G274"/>
    <mergeCell ref="A276:G276"/>
    <mergeCell ref="A346:G346"/>
    <mergeCell ref="A278:G278"/>
    <mergeCell ref="A279:G279"/>
    <mergeCell ref="A312:G312"/>
    <mergeCell ref="A247:G247"/>
    <mergeCell ref="A283:G283"/>
    <mergeCell ref="A244:G244"/>
    <mergeCell ref="A245:G245"/>
    <mergeCell ref="A264:G264"/>
    <mergeCell ref="A275:G275"/>
    <mergeCell ref="A180:G180"/>
    <mergeCell ref="A555:G555"/>
    <mergeCell ref="A390:G390"/>
    <mergeCell ref="A391:G391"/>
    <mergeCell ref="A398:G398"/>
    <mergeCell ref="A399:G399"/>
    <mergeCell ref="A400:G400"/>
    <mergeCell ref="A401:G401"/>
    <mergeCell ref="A371:G371"/>
    <mergeCell ref="A370:G370"/>
    <mergeCell ref="A382:G382"/>
    <mergeCell ref="A381:G381"/>
    <mergeCell ref="A492:G492"/>
    <mergeCell ref="A507:G507"/>
    <mergeCell ref="A469:G469"/>
    <mergeCell ref="A519:G519"/>
    <mergeCell ref="A496:G496"/>
    <mergeCell ref="A497:G497"/>
    <mergeCell ref="A498:G498"/>
    <mergeCell ref="A465:G465"/>
    <mergeCell ref="A466:G466"/>
    <mergeCell ref="A467:G467"/>
    <mergeCell ref="A252:G252"/>
    <mergeCell ref="A472:G472"/>
    <mergeCell ref="A202:G202"/>
    <mergeCell ref="A161:G161"/>
    <mergeCell ref="A162:G162"/>
    <mergeCell ref="A168:G168"/>
    <mergeCell ref="A171:G171"/>
    <mergeCell ref="A196:G196"/>
    <mergeCell ref="A111:G111"/>
    <mergeCell ref="A88:G88"/>
    <mergeCell ref="A150:G150"/>
    <mergeCell ref="A118:G118"/>
    <mergeCell ref="A103:G103"/>
    <mergeCell ref="A113:G113"/>
    <mergeCell ref="A193:G193"/>
    <mergeCell ref="A195:G195"/>
    <mergeCell ref="A148:G148"/>
    <mergeCell ref="A197:G197"/>
    <mergeCell ref="A198:G198"/>
    <mergeCell ref="A149:G149"/>
    <mergeCell ref="A182:G182"/>
    <mergeCell ref="A143:G143"/>
    <mergeCell ref="A176:G176"/>
    <mergeCell ref="A163:G163"/>
    <mergeCell ref="A194:G194"/>
    <mergeCell ref="A172:G172"/>
    <mergeCell ref="A178:G178"/>
    <mergeCell ref="A141:G141"/>
    <mergeCell ref="A173:G173"/>
    <mergeCell ref="A159:G159"/>
    <mergeCell ref="A146:G146"/>
    <mergeCell ref="A155:G155"/>
    <mergeCell ref="A144:G144"/>
    <mergeCell ref="A160:G160"/>
    <mergeCell ref="A164:G164"/>
    <mergeCell ref="A165:G165"/>
    <mergeCell ref="A166:G166"/>
    <mergeCell ref="A167:G167"/>
    <mergeCell ref="A183:G183"/>
    <mergeCell ref="A151:G151"/>
    <mergeCell ref="A145:G145"/>
    <mergeCell ref="A179:G179"/>
    <mergeCell ref="A174:G174"/>
    <mergeCell ref="A240:G240"/>
    <mergeCell ref="A222:G222"/>
    <mergeCell ref="A333:G333"/>
    <mergeCell ref="A291:G291"/>
    <mergeCell ref="A277:G277"/>
    <mergeCell ref="A239:G239"/>
    <mergeCell ref="A223:G223"/>
    <mergeCell ref="A186:G186"/>
    <mergeCell ref="A192:G192"/>
    <mergeCell ref="A200:G200"/>
    <mergeCell ref="A224:G224"/>
    <mergeCell ref="A225:G225"/>
    <mergeCell ref="A205:G205"/>
    <mergeCell ref="A204:G204"/>
    <mergeCell ref="A226:G226"/>
    <mergeCell ref="A227:G227"/>
    <mergeCell ref="A219:G219"/>
    <mergeCell ref="A232:G232"/>
    <mergeCell ref="A228:G228"/>
    <mergeCell ref="A203:G203"/>
    <mergeCell ref="A261:G261"/>
    <mergeCell ref="A210:G210"/>
    <mergeCell ref="A233:G233"/>
    <mergeCell ref="A248:G248"/>
    <mergeCell ref="A249:G249"/>
    <mergeCell ref="A250:G250"/>
    <mergeCell ref="A209:G209"/>
    <mergeCell ref="A220:G220"/>
    <mergeCell ref="A230:G230"/>
    <mergeCell ref="A211:G211"/>
    <mergeCell ref="A236:G236"/>
    <mergeCell ref="A213:G213"/>
    <mergeCell ref="A242:G242"/>
    <mergeCell ref="A243:G243"/>
    <mergeCell ref="A218:G218"/>
    <mergeCell ref="A238:G238"/>
    <mergeCell ref="A272:G272"/>
    <mergeCell ref="A265:G265"/>
    <mergeCell ref="A266:G266"/>
    <mergeCell ref="A267:G267"/>
    <mergeCell ref="A268:G268"/>
    <mergeCell ref="A271:G271"/>
    <mergeCell ref="A263:G263"/>
    <mergeCell ref="A253:G253"/>
    <mergeCell ref="A254:G254"/>
    <mergeCell ref="A269:G269"/>
    <mergeCell ref="A255:G255"/>
    <mergeCell ref="A86:G86"/>
    <mergeCell ref="A112:G112"/>
    <mergeCell ref="A107:G107"/>
    <mergeCell ref="A131:G131"/>
    <mergeCell ref="A132:G132"/>
    <mergeCell ref="A136:G136"/>
    <mergeCell ref="A140:G140"/>
    <mergeCell ref="A94:G94"/>
    <mergeCell ref="A98:G98"/>
    <mergeCell ref="A129:G129"/>
    <mergeCell ref="A137:G137"/>
    <mergeCell ref="A114:G114"/>
    <mergeCell ref="A115:G115"/>
    <mergeCell ref="A133:G133"/>
    <mergeCell ref="A134:G134"/>
    <mergeCell ref="A128:G128"/>
    <mergeCell ref="A127:G127"/>
    <mergeCell ref="A93:G93"/>
    <mergeCell ref="A87:G87"/>
    <mergeCell ref="A99:G99"/>
    <mergeCell ref="A105:G105"/>
    <mergeCell ref="A102:G102"/>
    <mergeCell ref="A104:G104"/>
    <mergeCell ref="A125:G125"/>
    <mergeCell ref="A110:G110"/>
    <mergeCell ref="A138:G138"/>
    <mergeCell ref="A142:G142"/>
    <mergeCell ref="A170:G170"/>
    <mergeCell ref="A169:G169"/>
    <mergeCell ref="A106:G106"/>
    <mergeCell ref="A116:G116"/>
    <mergeCell ref="A147:G147"/>
    <mergeCell ref="A126:G126"/>
    <mergeCell ref="A124:G124"/>
    <mergeCell ref="A130:G130"/>
    <mergeCell ref="A119:G119"/>
    <mergeCell ref="A108:G108"/>
    <mergeCell ref="A109:G109"/>
    <mergeCell ref="A139:G139"/>
    <mergeCell ref="A153:G153"/>
    <mergeCell ref="A412:G412"/>
    <mergeCell ref="A458:G458"/>
    <mergeCell ref="A457:G457"/>
    <mergeCell ref="A262:G262"/>
    <mergeCell ref="A251:G251"/>
    <mergeCell ref="A175:G175"/>
    <mergeCell ref="A190:G190"/>
    <mergeCell ref="A189:G189"/>
    <mergeCell ref="A188:G188"/>
    <mergeCell ref="A181:G181"/>
    <mergeCell ref="A208:G208"/>
    <mergeCell ref="A199:G199"/>
    <mergeCell ref="A177:G177"/>
    <mergeCell ref="A207:G207"/>
    <mergeCell ref="A237:G237"/>
    <mergeCell ref="A221:G221"/>
    <mergeCell ref="A212:G212"/>
    <mergeCell ref="A187:G187"/>
    <mergeCell ref="A362:G362"/>
    <mergeCell ref="A348:G348"/>
    <mergeCell ref="A191:G191"/>
    <mergeCell ref="A406:G406"/>
    <mergeCell ref="A439:L439"/>
    <mergeCell ref="A295:G295"/>
    <mergeCell ref="F62:G62"/>
    <mergeCell ref="A70:G70"/>
    <mergeCell ref="A65:L65"/>
    <mergeCell ref="A460:G460"/>
    <mergeCell ref="A450:G450"/>
    <mergeCell ref="A404:G404"/>
    <mergeCell ref="A378:G378"/>
    <mergeCell ref="A411:G411"/>
    <mergeCell ref="A408:G408"/>
    <mergeCell ref="A374:G374"/>
    <mergeCell ref="A394:G394"/>
    <mergeCell ref="A393:G393"/>
    <mergeCell ref="A392:G392"/>
    <mergeCell ref="A379:G379"/>
    <mergeCell ref="A453:G453"/>
    <mergeCell ref="A454:G454"/>
    <mergeCell ref="A459:G459"/>
    <mergeCell ref="A383:G383"/>
    <mergeCell ref="A410:G410"/>
    <mergeCell ref="A415:G415"/>
    <mergeCell ref="A385:G385"/>
    <mergeCell ref="A418:G418"/>
    <mergeCell ref="A436:B436"/>
    <mergeCell ref="A376:G376"/>
    <mergeCell ref="A79:G79"/>
    <mergeCell ref="A80:G80"/>
    <mergeCell ref="A81:G81"/>
    <mergeCell ref="A82:G82"/>
    <mergeCell ref="A83:G83"/>
    <mergeCell ref="A71:G71"/>
    <mergeCell ref="A77:G77"/>
    <mergeCell ref="A75:G75"/>
    <mergeCell ref="A67:H67"/>
    <mergeCell ref="A525:H525"/>
    <mergeCell ref="A402:G402"/>
    <mergeCell ref="A403:G403"/>
    <mergeCell ref="A422:G422"/>
    <mergeCell ref="A423:G423"/>
    <mergeCell ref="A424:G424"/>
    <mergeCell ref="A405:G405"/>
    <mergeCell ref="A407:G407"/>
    <mergeCell ref="A414:G414"/>
    <mergeCell ref="A499:G499"/>
    <mergeCell ref="A500:G500"/>
    <mergeCell ref="A502:G502"/>
    <mergeCell ref="A501:G501"/>
    <mergeCell ref="A431:H431"/>
    <mergeCell ref="A446:G446"/>
    <mergeCell ref="A447:G447"/>
    <mergeCell ref="A476:G476"/>
    <mergeCell ref="A503:G503"/>
    <mergeCell ref="A504:G504"/>
    <mergeCell ref="A494:G494"/>
    <mergeCell ref="A505:G505"/>
    <mergeCell ref="A506:G506"/>
    <mergeCell ref="A473:G473"/>
    <mergeCell ref="A474:G474"/>
    <mergeCell ref="A48:G48"/>
    <mergeCell ref="A49:G49"/>
    <mergeCell ref="A50:G50"/>
    <mergeCell ref="A158:G158"/>
    <mergeCell ref="A156:G156"/>
    <mergeCell ref="A157:G157"/>
    <mergeCell ref="A97:G97"/>
    <mergeCell ref="A100:G100"/>
    <mergeCell ref="A101:G101"/>
    <mergeCell ref="A76:G76"/>
    <mergeCell ref="A57:H57"/>
    <mergeCell ref="A73:G73"/>
    <mergeCell ref="A54:G54"/>
    <mergeCell ref="A55:G55"/>
    <mergeCell ref="A95:G95"/>
    <mergeCell ref="A96:G96"/>
    <mergeCell ref="H62:J62"/>
    <mergeCell ref="A58:H58"/>
    <mergeCell ref="A152:G152"/>
    <mergeCell ref="A59:K59"/>
    <mergeCell ref="A69:K69"/>
    <mergeCell ref="A68:K68"/>
    <mergeCell ref="A84:G84"/>
    <mergeCell ref="A85:G85"/>
    <mergeCell ref="A480:G480"/>
    <mergeCell ref="A481:G481"/>
    <mergeCell ref="K436:L436"/>
    <mergeCell ref="A432:H432"/>
    <mergeCell ref="A395:G395"/>
    <mergeCell ref="A441:H441"/>
    <mergeCell ref="A451:G451"/>
    <mergeCell ref="A493:G493"/>
    <mergeCell ref="A486:G486"/>
    <mergeCell ref="A487:G487"/>
    <mergeCell ref="A488:G488"/>
    <mergeCell ref="A463:G463"/>
    <mergeCell ref="A464:G464"/>
    <mergeCell ref="A478:G478"/>
    <mergeCell ref="A479:G479"/>
    <mergeCell ref="A442:K442"/>
    <mergeCell ref="A443:K443"/>
    <mergeCell ref="A417:G417"/>
    <mergeCell ref="A489:G489"/>
    <mergeCell ref="A490:G490"/>
    <mergeCell ref="A491:G491"/>
    <mergeCell ref="A485:G485"/>
    <mergeCell ref="A482:G482"/>
    <mergeCell ref="A483:G483"/>
    <mergeCell ref="A550:G550"/>
    <mergeCell ref="A551:G551"/>
    <mergeCell ref="A553:G553"/>
    <mergeCell ref="A549:G549"/>
    <mergeCell ref="A533:L533"/>
    <mergeCell ref="A536:K536"/>
    <mergeCell ref="K530:L530"/>
    <mergeCell ref="A544:G544"/>
    <mergeCell ref="A545:G545"/>
    <mergeCell ref="A470:G470"/>
    <mergeCell ref="A471:G471"/>
    <mergeCell ref="A433:K433"/>
    <mergeCell ref="F436:G436"/>
    <mergeCell ref="H3:J3"/>
    <mergeCell ref="K3:L3"/>
    <mergeCell ref="A6:L6"/>
    <mergeCell ref="F3:G3"/>
    <mergeCell ref="A3:B3"/>
    <mergeCell ref="A8:G8"/>
    <mergeCell ref="A9:G9"/>
    <mergeCell ref="A10:G10"/>
    <mergeCell ref="A39:G39"/>
    <mergeCell ref="A40:G40"/>
    <mergeCell ref="A41:G41"/>
    <mergeCell ref="A11:G11"/>
    <mergeCell ref="A18:G18"/>
    <mergeCell ref="A19:G19"/>
    <mergeCell ref="A20:G20"/>
    <mergeCell ref="A21:G21"/>
    <mergeCell ref="A44:G44"/>
    <mergeCell ref="A45:G45"/>
    <mergeCell ref="A46:G46"/>
    <mergeCell ref="A47:G47"/>
    <mergeCell ref="A558:K558"/>
    <mergeCell ref="A535:H535"/>
    <mergeCell ref="A516:G516"/>
    <mergeCell ref="A517:G517"/>
    <mergeCell ref="A530:B530"/>
    <mergeCell ref="H530:J530"/>
    <mergeCell ref="A546:G546"/>
    <mergeCell ref="A547:G547"/>
    <mergeCell ref="A518:G518"/>
    <mergeCell ref="A542:G542"/>
    <mergeCell ref="A543:G543"/>
    <mergeCell ref="A541:G541"/>
    <mergeCell ref="A522:G522"/>
    <mergeCell ref="A523:G523"/>
    <mergeCell ref="A524:G524"/>
    <mergeCell ref="A540:G540"/>
    <mergeCell ref="A557:H557"/>
    <mergeCell ref="A537:K537"/>
    <mergeCell ref="A538:G538"/>
    <mergeCell ref="A520:G520"/>
    <mergeCell ref="A521:G521"/>
    <mergeCell ref="A526:H526"/>
    <mergeCell ref="F530:G530"/>
    <mergeCell ref="A552:G552"/>
    <mergeCell ref="A12:G12"/>
    <mergeCell ref="A23:G23"/>
    <mergeCell ref="A26:G26"/>
    <mergeCell ref="A13:G13"/>
    <mergeCell ref="A22:G22"/>
    <mergeCell ref="A24:G24"/>
    <mergeCell ref="A25:G25"/>
    <mergeCell ref="A14:G14"/>
    <mergeCell ref="A15:G15"/>
    <mergeCell ref="A16:G16"/>
    <mergeCell ref="A17:G17"/>
    <mergeCell ref="A468:G468"/>
    <mergeCell ref="H436:J436"/>
    <mergeCell ref="A426:G426"/>
    <mergeCell ref="A429:G429"/>
    <mergeCell ref="A430:G430"/>
    <mergeCell ref="A425:G425"/>
    <mergeCell ref="A427:G427"/>
    <mergeCell ref="A428:G428"/>
    <mergeCell ref="A449:G449"/>
    <mergeCell ref="A448:G448"/>
    <mergeCell ref="A456:G456"/>
    <mergeCell ref="A455:G455"/>
    <mergeCell ref="A461:G461"/>
    <mergeCell ref="A462:G462"/>
    <mergeCell ref="A444:G444"/>
    <mergeCell ref="A445:G445"/>
    <mergeCell ref="A452:G452"/>
    <mergeCell ref="A484:G484"/>
    <mergeCell ref="A475:G475"/>
    <mergeCell ref="A477:G477"/>
    <mergeCell ref="A556:H556"/>
    <mergeCell ref="A527:K527"/>
    <mergeCell ref="A539:G539"/>
    <mergeCell ref="A548:G548"/>
    <mergeCell ref="A201:G201"/>
    <mergeCell ref="A234:G234"/>
    <mergeCell ref="A229:G229"/>
    <mergeCell ref="A231:G231"/>
    <mergeCell ref="A217:G217"/>
    <mergeCell ref="A246:G246"/>
    <mergeCell ref="A206:G206"/>
    <mergeCell ref="A330:G330"/>
    <mergeCell ref="A328:G328"/>
    <mergeCell ref="A304:G304"/>
    <mergeCell ref="A298:G298"/>
    <mergeCell ref="A297:G297"/>
    <mergeCell ref="A270:G270"/>
    <mergeCell ref="A308:G308"/>
    <mergeCell ref="A329:G329"/>
    <mergeCell ref="A292:G292"/>
    <mergeCell ref="A294:G294"/>
    <mergeCell ref="A43:G43"/>
    <mergeCell ref="A27:H27"/>
    <mergeCell ref="A28:H28"/>
    <mergeCell ref="A29:K29"/>
    <mergeCell ref="A32:B32"/>
    <mergeCell ref="A42:G42"/>
    <mergeCell ref="H32:J32"/>
    <mergeCell ref="K62:L62"/>
    <mergeCell ref="A135:G135"/>
    <mergeCell ref="A92:G92"/>
    <mergeCell ref="A78:G78"/>
    <mergeCell ref="A51:G51"/>
    <mergeCell ref="A52:G52"/>
    <mergeCell ref="A53:G53"/>
    <mergeCell ref="A62:B62"/>
    <mergeCell ref="A117:G117"/>
    <mergeCell ref="A56:G56"/>
    <mergeCell ref="A72:G72"/>
    <mergeCell ref="A74:G74"/>
    <mergeCell ref="K32:L32"/>
    <mergeCell ref="A35:L35"/>
    <mergeCell ref="A37:H37"/>
    <mergeCell ref="F32:G32"/>
    <mergeCell ref="A38:K38"/>
    <mergeCell ref="A285:G285"/>
    <mergeCell ref="A317:G317"/>
    <mergeCell ref="A314:G314"/>
    <mergeCell ref="A315:G315"/>
    <mergeCell ref="A293:G293"/>
    <mergeCell ref="A280:G280"/>
    <mergeCell ref="A311:G311"/>
    <mergeCell ref="A303:G303"/>
    <mergeCell ref="A284:G284"/>
    <mergeCell ref="A296:G296"/>
    <mergeCell ref="A287:G287"/>
    <mergeCell ref="A286:G286"/>
    <mergeCell ref="A282:G282"/>
    <mergeCell ref="A281:G281"/>
    <mergeCell ref="A318:G318"/>
    <mergeCell ref="A334:G334"/>
    <mergeCell ref="A336:G336"/>
    <mergeCell ref="A337:G337"/>
    <mergeCell ref="A307:G307"/>
    <mergeCell ref="A302:G302"/>
    <mergeCell ref="A310:G310"/>
    <mergeCell ref="A316:G316"/>
    <mergeCell ref="A313:G313"/>
    <mergeCell ref="A306:G306"/>
    <mergeCell ref="A305:G305"/>
    <mergeCell ref="A320:G320"/>
    <mergeCell ref="A319:G319"/>
    <mergeCell ref="A324:G324"/>
    <mergeCell ref="A325:G325"/>
    <mergeCell ref="A331:G331"/>
    <mergeCell ref="A332:G332"/>
    <mergeCell ref="A345:G345"/>
    <mergeCell ref="A361:G361"/>
    <mergeCell ref="A339:G339"/>
    <mergeCell ref="A356:G356"/>
    <mergeCell ref="A350:G350"/>
    <mergeCell ref="A368:G368"/>
    <mergeCell ref="A364:G364"/>
    <mergeCell ref="A365:G365"/>
    <mergeCell ref="A352:G352"/>
    <mergeCell ref="A349:G349"/>
    <mergeCell ref="A347:G347"/>
    <mergeCell ref="A366:G366"/>
    <mergeCell ref="A344:G344"/>
    <mergeCell ref="A351:G351"/>
    <mergeCell ref="A184:G184"/>
    <mergeCell ref="A419:G419"/>
    <mergeCell ref="A386:G386"/>
    <mergeCell ref="A353:G353"/>
    <mergeCell ref="A321:G321"/>
    <mergeCell ref="A289:G289"/>
    <mergeCell ref="A256:G256"/>
    <mergeCell ref="A214:G214"/>
    <mergeCell ref="A257:G257"/>
    <mergeCell ref="A384:G384"/>
    <mergeCell ref="A416:G416"/>
    <mergeCell ref="A326:G326"/>
    <mergeCell ref="A375:G375"/>
    <mergeCell ref="A409:G409"/>
    <mergeCell ref="A377:G377"/>
    <mergeCell ref="A396:G396"/>
    <mergeCell ref="A397:G397"/>
    <mergeCell ref="A367:G367"/>
    <mergeCell ref="A360:G360"/>
    <mergeCell ref="A357:G357"/>
    <mergeCell ref="A358:G358"/>
    <mergeCell ref="A359:G359"/>
    <mergeCell ref="A387:G387"/>
    <mergeCell ref="A340:G340"/>
    <mergeCell ref="A421:G421"/>
    <mergeCell ref="A355:G355"/>
    <mergeCell ref="A216:G216"/>
    <mergeCell ref="A290:G290"/>
    <mergeCell ref="A260:G260"/>
    <mergeCell ref="A154:G154"/>
    <mergeCell ref="A554:G554"/>
    <mergeCell ref="A354:G354"/>
    <mergeCell ref="A420:G420"/>
    <mergeCell ref="A215:G215"/>
    <mergeCell ref="A185:G185"/>
    <mergeCell ref="A288:G288"/>
    <mergeCell ref="A258:G258"/>
    <mergeCell ref="A259:G259"/>
    <mergeCell ref="A372:G372"/>
    <mergeCell ref="A380:G380"/>
    <mergeCell ref="A388:G388"/>
    <mergeCell ref="A389:G389"/>
    <mergeCell ref="A363:G363"/>
    <mergeCell ref="A335:G335"/>
    <mergeCell ref="A369:G369"/>
    <mergeCell ref="A338:G338"/>
    <mergeCell ref="A343:G343"/>
    <mergeCell ref="A341:G341"/>
  </mergeCells>
  <conditionalFormatting sqref="L11 L325">
    <cfRule type="expression" dxfId="109" priority="174">
      <formula>L11&gt;H11</formula>
    </cfRule>
  </conditionalFormatting>
  <conditionalFormatting sqref="L41">
    <cfRule type="expression" dxfId="108" priority="160">
      <formula>L41&gt;H41</formula>
    </cfRule>
  </conditionalFormatting>
  <conditionalFormatting sqref="L292">
    <cfRule type="expression" dxfId="107" priority="147">
      <formula>L292&gt;H292</formula>
    </cfRule>
  </conditionalFormatting>
  <conditionalFormatting sqref="L292">
    <cfRule type="expression" dxfId="106" priority="146">
      <formula>L292&gt;H292</formula>
    </cfRule>
  </conditionalFormatting>
  <conditionalFormatting sqref="L444">
    <cfRule type="expression" dxfId="105" priority="143">
      <formula>L444&gt;H444</formula>
    </cfRule>
  </conditionalFormatting>
  <conditionalFormatting sqref="L292">
    <cfRule type="expression" dxfId="104" priority="148">
      <formula>L292&gt;H292</formula>
    </cfRule>
  </conditionalFormatting>
  <conditionalFormatting sqref="L444">
    <cfRule type="expression" dxfId="103" priority="144">
      <formula>L444&gt;H444</formula>
    </cfRule>
  </conditionalFormatting>
  <conditionalFormatting sqref="L517">
    <cfRule type="expression" dxfId="102" priority="140">
      <formula>L517&gt;H517</formula>
    </cfRule>
  </conditionalFormatting>
  <conditionalFormatting sqref="L444">
    <cfRule type="expression" dxfId="101" priority="145">
      <formula>L444&gt;H444</formula>
    </cfRule>
  </conditionalFormatting>
  <conditionalFormatting sqref="L517">
    <cfRule type="expression" dxfId="100" priority="141">
      <formula>L517&gt;H517</formula>
    </cfRule>
  </conditionalFormatting>
  <conditionalFormatting sqref="L517">
    <cfRule type="expression" dxfId="99" priority="142">
      <formula>L517&gt;H517</formula>
    </cfRule>
  </conditionalFormatting>
  <conditionalFormatting sqref="L538">
    <cfRule type="expression" dxfId="98" priority="121">
      <formula>L538&gt;H538</formula>
    </cfRule>
  </conditionalFormatting>
  <conditionalFormatting sqref="L538">
    <cfRule type="expression" dxfId="97" priority="120">
      <formula>L538&gt;H538</formula>
    </cfRule>
  </conditionalFormatting>
  <conditionalFormatting sqref="L538">
    <cfRule type="expression" dxfId="96" priority="119">
      <formula>L538&gt;H538</formula>
    </cfRule>
  </conditionalFormatting>
  <conditionalFormatting sqref="L538">
    <cfRule type="expression" dxfId="95" priority="118">
      <formula>L538&gt;H538</formula>
    </cfRule>
  </conditionalFormatting>
  <conditionalFormatting sqref="L538">
    <cfRule type="expression" dxfId="94" priority="117">
      <formula>L538&gt;H538</formula>
    </cfRule>
  </conditionalFormatting>
  <conditionalFormatting sqref="L538">
    <cfRule type="expression" dxfId="93" priority="116">
      <formula>L538&gt;H538</formula>
    </cfRule>
  </conditionalFormatting>
  <conditionalFormatting sqref="L70">
    <cfRule type="expression" dxfId="92" priority="46">
      <formula>L70&gt;H70</formula>
    </cfRule>
  </conditionalFormatting>
  <conditionalFormatting sqref="L70">
    <cfRule type="expression" dxfId="91" priority="45">
      <formula>L70&gt;H70</formula>
    </cfRule>
  </conditionalFormatting>
  <conditionalFormatting sqref="L70">
    <cfRule type="expression" dxfId="90" priority="47">
      <formula>L70&gt;H70</formula>
    </cfRule>
  </conditionalFormatting>
  <conditionalFormatting sqref="L79">
    <cfRule type="expression" dxfId="89" priority="43">
      <formula>L79&gt;H79</formula>
    </cfRule>
  </conditionalFormatting>
  <conditionalFormatting sqref="L79">
    <cfRule type="expression" dxfId="88" priority="42">
      <formula>L79&gt;H79</formula>
    </cfRule>
  </conditionalFormatting>
  <conditionalFormatting sqref="L79">
    <cfRule type="expression" dxfId="87" priority="44">
      <formula>L79&gt;H79</formula>
    </cfRule>
  </conditionalFormatting>
  <conditionalFormatting sqref="L93">
    <cfRule type="expression" dxfId="86" priority="40">
      <formula>L93&gt;H93</formula>
    </cfRule>
  </conditionalFormatting>
  <conditionalFormatting sqref="L93">
    <cfRule type="expression" dxfId="85" priority="39">
      <formula>L93&gt;H93</formula>
    </cfRule>
  </conditionalFormatting>
  <conditionalFormatting sqref="L93">
    <cfRule type="expression" dxfId="84" priority="41">
      <formula>L93&gt;H93</formula>
    </cfRule>
  </conditionalFormatting>
  <conditionalFormatting sqref="L124">
    <cfRule type="expression" dxfId="83" priority="38">
      <formula>L124&gt;H124</formula>
    </cfRule>
  </conditionalFormatting>
  <conditionalFormatting sqref="L124">
    <cfRule type="expression" dxfId="82" priority="37">
      <formula>L124&gt;H124</formula>
    </cfRule>
  </conditionalFormatting>
  <conditionalFormatting sqref="L124">
    <cfRule type="expression" dxfId="81" priority="36">
      <formula>L124&gt;H124</formula>
    </cfRule>
  </conditionalFormatting>
  <conditionalFormatting sqref="L262">
    <cfRule type="expression" dxfId="80" priority="34">
      <formula>L262&gt;H262</formula>
    </cfRule>
  </conditionalFormatting>
  <conditionalFormatting sqref="L262">
    <cfRule type="expression" dxfId="79" priority="33">
      <formula>L262&gt;H262</formula>
    </cfRule>
  </conditionalFormatting>
  <conditionalFormatting sqref="L262">
    <cfRule type="expression" dxfId="78" priority="35">
      <formula>L262&gt;H262</formula>
    </cfRule>
  </conditionalFormatting>
  <conditionalFormatting sqref="L218">
    <cfRule type="expression" dxfId="77" priority="31">
      <formula>L218&gt;H218</formula>
    </cfRule>
  </conditionalFormatting>
  <conditionalFormatting sqref="L218">
    <cfRule type="expression" dxfId="76" priority="30">
      <formula>L218&gt;H218</formula>
    </cfRule>
  </conditionalFormatting>
  <conditionalFormatting sqref="L218">
    <cfRule type="expression" dxfId="75" priority="32">
      <formula>L218&gt;H218</formula>
    </cfRule>
  </conditionalFormatting>
  <conditionalFormatting sqref="L187">
    <cfRule type="expression" dxfId="74" priority="28">
      <formula>L187&gt;H187</formula>
    </cfRule>
  </conditionalFormatting>
  <conditionalFormatting sqref="L187">
    <cfRule type="expression" dxfId="73" priority="27">
      <formula>L187&gt;H187</formula>
    </cfRule>
  </conditionalFormatting>
  <conditionalFormatting sqref="L187">
    <cfRule type="expression" dxfId="72" priority="29">
      <formula>L187&gt;H187</formula>
    </cfRule>
  </conditionalFormatting>
  <conditionalFormatting sqref="L156">
    <cfRule type="expression" dxfId="71" priority="25">
      <formula>L156&gt;H156</formula>
    </cfRule>
  </conditionalFormatting>
  <conditionalFormatting sqref="L156">
    <cfRule type="expression" dxfId="70" priority="24">
      <formula>L156&gt;H156</formula>
    </cfRule>
  </conditionalFormatting>
  <conditionalFormatting sqref="L156">
    <cfRule type="expression" dxfId="69" priority="26">
      <formula>L156&gt;H156</formula>
    </cfRule>
  </conditionalFormatting>
  <conditionalFormatting sqref="L357">
    <cfRule type="expression" dxfId="68" priority="13">
      <formula>L357&gt;H357</formula>
    </cfRule>
  </conditionalFormatting>
  <conditionalFormatting sqref="L391">
    <cfRule type="expression" dxfId="67" priority="12">
      <formula>L391&gt;H391</formula>
    </cfRule>
  </conditionalFormatting>
  <conditionalFormatting sqref="L357">
    <cfRule type="expression" dxfId="66" priority="14">
      <formula>L357&gt;H357</formula>
    </cfRule>
  </conditionalFormatting>
  <conditionalFormatting sqref="L19">
    <cfRule type="expression" dxfId="65" priority="20">
      <formula>L19&gt;H19</formula>
    </cfRule>
  </conditionalFormatting>
  <conditionalFormatting sqref="L49">
    <cfRule type="expression" dxfId="64" priority="19">
      <formula>L49&gt;H49</formula>
    </cfRule>
  </conditionalFormatting>
  <conditionalFormatting sqref="L78">
    <cfRule type="expression" dxfId="63" priority="17">
      <formula>L78&gt;H78</formula>
    </cfRule>
  </conditionalFormatting>
  <conditionalFormatting sqref="L78">
    <cfRule type="expression" dxfId="62" priority="16">
      <formula>L78&gt;H78</formula>
    </cfRule>
  </conditionalFormatting>
  <conditionalFormatting sqref="L78">
    <cfRule type="expression" dxfId="61" priority="18">
      <formula>L78&gt;H78</formula>
    </cfRule>
  </conditionalFormatting>
  <conditionalFormatting sqref="L357">
    <cfRule type="expression" dxfId="60" priority="15">
      <formula>L357&gt;H357</formula>
    </cfRule>
  </conditionalFormatting>
  <conditionalFormatting sqref="L391">
    <cfRule type="expression" dxfId="59" priority="11">
      <formula>L391&gt;H391</formula>
    </cfRule>
  </conditionalFormatting>
  <conditionalFormatting sqref="L391">
    <cfRule type="expression" dxfId="58" priority="10">
      <formula>L391&gt;H391</formula>
    </cfRule>
  </conditionalFormatting>
  <conditionalFormatting sqref="L423">
    <cfRule type="expression" dxfId="57" priority="8">
      <formula>L423&gt;H423</formula>
    </cfRule>
  </conditionalFormatting>
  <conditionalFormatting sqref="L423">
    <cfRule type="expression" dxfId="56" priority="7">
      <formula>L423&gt;H423</formula>
    </cfRule>
  </conditionalFormatting>
  <conditionalFormatting sqref="L423">
    <cfRule type="expression" dxfId="55" priority="9">
      <formula>L423&gt;H423</formula>
    </cfRule>
  </conditionalFormatting>
  <conditionalFormatting sqref="L546">
    <cfRule type="expression" dxfId="54" priority="6">
      <formula>L546&gt;H546</formula>
    </cfRule>
  </conditionalFormatting>
  <conditionalFormatting sqref="L546">
    <cfRule type="expression" dxfId="53" priority="5">
      <formula>L546&gt;H546</formula>
    </cfRule>
  </conditionalFormatting>
  <conditionalFormatting sqref="L546">
    <cfRule type="expression" dxfId="52" priority="4">
      <formula>L546&gt;H546</formula>
    </cfRule>
  </conditionalFormatting>
  <conditionalFormatting sqref="L546">
    <cfRule type="expression" dxfId="51" priority="3">
      <formula>L546&gt;H546</formula>
    </cfRule>
  </conditionalFormatting>
  <conditionalFormatting sqref="L546">
    <cfRule type="expression" dxfId="50" priority="2">
      <formula>L546&gt;H546</formula>
    </cfRule>
  </conditionalFormatting>
  <conditionalFormatting sqref="L546">
    <cfRule type="expression" dxfId="49" priority="1">
      <formula>L546&gt;H546</formula>
    </cfRule>
  </conditionalFormatting>
  <pageMargins left="0" right="0" top="0.3" bottom="0" header="0.17" footer="0.17"/>
  <pageSetup paperSize="9" scale="84" fitToHeight="0" orientation="landscape" blackAndWhite="1" r:id="rId1"/>
  <headerFooter alignWithMargins="0">
    <oddHeader>&amp;L&amp;"Calibri"&amp;10&amp;K000000Sensitivity - General&amp;1#</oddHeader>
  </headerFooter>
  <rowBreaks count="4" manualBreakCount="4">
    <brk id="29" max="16383" man="1"/>
    <brk id="59" max="16383" man="1"/>
    <brk id="433" max="16383" man="1"/>
    <brk id="527" max="16383" man="1"/>
  </rowBreaks>
  <ignoredErrors>
    <ignoredError sqref="L49 L373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31">
    <tabColor rgb="FF0070C0"/>
    <pageSetUpPr fitToPage="1"/>
  </sheetPr>
  <dimension ref="A1:L54"/>
  <sheetViews>
    <sheetView topLeftCell="A3"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9" width="11.44140625" style="2" customWidth="1"/>
    <col min="10" max="11" width="11.33203125" style="2" customWidth="1"/>
    <col min="12" max="12" width="18.4414062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5" width="11.44140625" style="2" customWidth="1"/>
    <col min="266" max="267" width="11.33203125" style="2" customWidth="1"/>
    <col min="268" max="268" width="18.4414062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1" width="11.44140625" style="2" customWidth="1"/>
    <col min="522" max="523" width="11.33203125" style="2" customWidth="1"/>
    <col min="524" max="524" width="18.4414062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7" width="11.44140625" style="2" customWidth="1"/>
    <col min="778" max="779" width="11.33203125" style="2" customWidth="1"/>
    <col min="780" max="780" width="18.4414062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3" width="11.44140625" style="2" customWidth="1"/>
    <col min="1034" max="1035" width="11.33203125" style="2" customWidth="1"/>
    <col min="1036" max="1036" width="18.4414062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89" width="11.44140625" style="2" customWidth="1"/>
    <col min="1290" max="1291" width="11.33203125" style="2" customWidth="1"/>
    <col min="1292" max="1292" width="18.4414062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5" width="11.44140625" style="2" customWidth="1"/>
    <col min="1546" max="1547" width="11.33203125" style="2" customWidth="1"/>
    <col min="1548" max="1548" width="18.4414062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1" width="11.44140625" style="2" customWidth="1"/>
    <col min="1802" max="1803" width="11.33203125" style="2" customWidth="1"/>
    <col min="1804" max="1804" width="18.4414062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7" width="11.44140625" style="2" customWidth="1"/>
    <col min="2058" max="2059" width="11.33203125" style="2" customWidth="1"/>
    <col min="2060" max="2060" width="18.4414062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3" width="11.44140625" style="2" customWidth="1"/>
    <col min="2314" max="2315" width="11.33203125" style="2" customWidth="1"/>
    <col min="2316" max="2316" width="18.4414062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69" width="11.44140625" style="2" customWidth="1"/>
    <col min="2570" max="2571" width="11.33203125" style="2" customWidth="1"/>
    <col min="2572" max="2572" width="18.4414062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5" width="11.44140625" style="2" customWidth="1"/>
    <col min="2826" max="2827" width="11.33203125" style="2" customWidth="1"/>
    <col min="2828" max="2828" width="18.4414062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1" width="11.44140625" style="2" customWidth="1"/>
    <col min="3082" max="3083" width="11.33203125" style="2" customWidth="1"/>
    <col min="3084" max="3084" width="18.4414062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7" width="11.44140625" style="2" customWidth="1"/>
    <col min="3338" max="3339" width="11.33203125" style="2" customWidth="1"/>
    <col min="3340" max="3340" width="18.4414062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3" width="11.44140625" style="2" customWidth="1"/>
    <col min="3594" max="3595" width="11.33203125" style="2" customWidth="1"/>
    <col min="3596" max="3596" width="18.4414062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49" width="11.44140625" style="2" customWidth="1"/>
    <col min="3850" max="3851" width="11.33203125" style="2" customWidth="1"/>
    <col min="3852" max="3852" width="18.4414062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5" width="11.44140625" style="2" customWidth="1"/>
    <col min="4106" max="4107" width="11.33203125" style="2" customWidth="1"/>
    <col min="4108" max="4108" width="18.4414062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1" width="11.44140625" style="2" customWidth="1"/>
    <col min="4362" max="4363" width="11.33203125" style="2" customWidth="1"/>
    <col min="4364" max="4364" width="18.4414062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7" width="11.44140625" style="2" customWidth="1"/>
    <col min="4618" max="4619" width="11.33203125" style="2" customWidth="1"/>
    <col min="4620" max="4620" width="18.4414062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3" width="11.44140625" style="2" customWidth="1"/>
    <col min="4874" max="4875" width="11.33203125" style="2" customWidth="1"/>
    <col min="4876" max="4876" width="18.4414062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29" width="11.44140625" style="2" customWidth="1"/>
    <col min="5130" max="5131" width="11.33203125" style="2" customWidth="1"/>
    <col min="5132" max="5132" width="18.4414062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5" width="11.44140625" style="2" customWidth="1"/>
    <col min="5386" max="5387" width="11.33203125" style="2" customWidth="1"/>
    <col min="5388" max="5388" width="18.4414062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1" width="11.44140625" style="2" customWidth="1"/>
    <col min="5642" max="5643" width="11.33203125" style="2" customWidth="1"/>
    <col min="5644" max="5644" width="18.4414062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7" width="11.44140625" style="2" customWidth="1"/>
    <col min="5898" max="5899" width="11.33203125" style="2" customWidth="1"/>
    <col min="5900" max="5900" width="18.4414062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3" width="11.44140625" style="2" customWidth="1"/>
    <col min="6154" max="6155" width="11.33203125" style="2" customWidth="1"/>
    <col min="6156" max="6156" width="18.4414062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09" width="11.44140625" style="2" customWidth="1"/>
    <col min="6410" max="6411" width="11.33203125" style="2" customWidth="1"/>
    <col min="6412" max="6412" width="18.4414062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5" width="11.44140625" style="2" customWidth="1"/>
    <col min="6666" max="6667" width="11.33203125" style="2" customWidth="1"/>
    <col min="6668" max="6668" width="18.4414062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1" width="11.44140625" style="2" customWidth="1"/>
    <col min="6922" max="6923" width="11.33203125" style="2" customWidth="1"/>
    <col min="6924" max="6924" width="18.4414062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7" width="11.44140625" style="2" customWidth="1"/>
    <col min="7178" max="7179" width="11.33203125" style="2" customWidth="1"/>
    <col min="7180" max="7180" width="18.4414062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3" width="11.44140625" style="2" customWidth="1"/>
    <col min="7434" max="7435" width="11.33203125" style="2" customWidth="1"/>
    <col min="7436" max="7436" width="18.4414062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89" width="11.44140625" style="2" customWidth="1"/>
    <col min="7690" max="7691" width="11.33203125" style="2" customWidth="1"/>
    <col min="7692" max="7692" width="18.4414062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5" width="11.44140625" style="2" customWidth="1"/>
    <col min="7946" max="7947" width="11.33203125" style="2" customWidth="1"/>
    <col min="7948" max="7948" width="18.4414062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1" width="11.44140625" style="2" customWidth="1"/>
    <col min="8202" max="8203" width="11.33203125" style="2" customWidth="1"/>
    <col min="8204" max="8204" width="18.4414062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7" width="11.44140625" style="2" customWidth="1"/>
    <col min="8458" max="8459" width="11.33203125" style="2" customWidth="1"/>
    <col min="8460" max="8460" width="18.4414062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3" width="11.44140625" style="2" customWidth="1"/>
    <col min="8714" max="8715" width="11.33203125" style="2" customWidth="1"/>
    <col min="8716" max="8716" width="18.4414062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69" width="11.44140625" style="2" customWidth="1"/>
    <col min="8970" max="8971" width="11.33203125" style="2" customWidth="1"/>
    <col min="8972" max="8972" width="18.4414062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5" width="11.44140625" style="2" customWidth="1"/>
    <col min="9226" max="9227" width="11.33203125" style="2" customWidth="1"/>
    <col min="9228" max="9228" width="18.4414062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1" width="11.44140625" style="2" customWidth="1"/>
    <col min="9482" max="9483" width="11.33203125" style="2" customWidth="1"/>
    <col min="9484" max="9484" width="18.4414062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7" width="11.44140625" style="2" customWidth="1"/>
    <col min="9738" max="9739" width="11.33203125" style="2" customWidth="1"/>
    <col min="9740" max="9740" width="18.4414062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3" width="11.44140625" style="2" customWidth="1"/>
    <col min="9994" max="9995" width="11.33203125" style="2" customWidth="1"/>
    <col min="9996" max="9996" width="18.4414062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49" width="11.44140625" style="2" customWidth="1"/>
    <col min="10250" max="10251" width="11.33203125" style="2" customWidth="1"/>
    <col min="10252" max="10252" width="18.4414062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5" width="11.44140625" style="2" customWidth="1"/>
    <col min="10506" max="10507" width="11.33203125" style="2" customWidth="1"/>
    <col min="10508" max="10508" width="18.4414062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1" width="11.44140625" style="2" customWidth="1"/>
    <col min="10762" max="10763" width="11.33203125" style="2" customWidth="1"/>
    <col min="10764" max="10764" width="18.4414062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7" width="11.44140625" style="2" customWidth="1"/>
    <col min="11018" max="11019" width="11.33203125" style="2" customWidth="1"/>
    <col min="11020" max="11020" width="18.4414062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3" width="11.44140625" style="2" customWidth="1"/>
    <col min="11274" max="11275" width="11.33203125" style="2" customWidth="1"/>
    <col min="11276" max="11276" width="18.4414062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29" width="11.44140625" style="2" customWidth="1"/>
    <col min="11530" max="11531" width="11.33203125" style="2" customWidth="1"/>
    <col min="11532" max="11532" width="18.4414062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5" width="11.44140625" style="2" customWidth="1"/>
    <col min="11786" max="11787" width="11.33203125" style="2" customWidth="1"/>
    <col min="11788" max="11788" width="18.4414062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1" width="11.44140625" style="2" customWidth="1"/>
    <col min="12042" max="12043" width="11.33203125" style="2" customWidth="1"/>
    <col min="12044" max="12044" width="18.4414062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7" width="11.44140625" style="2" customWidth="1"/>
    <col min="12298" max="12299" width="11.33203125" style="2" customWidth="1"/>
    <col min="12300" max="12300" width="18.4414062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3" width="11.44140625" style="2" customWidth="1"/>
    <col min="12554" max="12555" width="11.33203125" style="2" customWidth="1"/>
    <col min="12556" max="12556" width="18.4414062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09" width="11.44140625" style="2" customWidth="1"/>
    <col min="12810" max="12811" width="11.33203125" style="2" customWidth="1"/>
    <col min="12812" max="12812" width="18.4414062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5" width="11.44140625" style="2" customWidth="1"/>
    <col min="13066" max="13067" width="11.33203125" style="2" customWidth="1"/>
    <col min="13068" max="13068" width="18.4414062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1" width="11.44140625" style="2" customWidth="1"/>
    <col min="13322" max="13323" width="11.33203125" style="2" customWidth="1"/>
    <col min="13324" max="13324" width="18.4414062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7" width="11.44140625" style="2" customWidth="1"/>
    <col min="13578" max="13579" width="11.33203125" style="2" customWidth="1"/>
    <col min="13580" max="13580" width="18.4414062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3" width="11.44140625" style="2" customWidth="1"/>
    <col min="13834" max="13835" width="11.33203125" style="2" customWidth="1"/>
    <col min="13836" max="13836" width="18.4414062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89" width="11.44140625" style="2" customWidth="1"/>
    <col min="14090" max="14091" width="11.33203125" style="2" customWidth="1"/>
    <col min="14092" max="14092" width="18.4414062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5" width="11.44140625" style="2" customWidth="1"/>
    <col min="14346" max="14347" width="11.33203125" style="2" customWidth="1"/>
    <col min="14348" max="14348" width="18.4414062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1" width="11.44140625" style="2" customWidth="1"/>
    <col min="14602" max="14603" width="11.33203125" style="2" customWidth="1"/>
    <col min="14604" max="14604" width="18.4414062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7" width="11.44140625" style="2" customWidth="1"/>
    <col min="14858" max="14859" width="11.33203125" style="2" customWidth="1"/>
    <col min="14860" max="14860" width="18.4414062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3" width="11.44140625" style="2" customWidth="1"/>
    <col min="15114" max="15115" width="11.33203125" style="2" customWidth="1"/>
    <col min="15116" max="15116" width="18.4414062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69" width="11.44140625" style="2" customWidth="1"/>
    <col min="15370" max="15371" width="11.33203125" style="2" customWidth="1"/>
    <col min="15372" max="15372" width="18.4414062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5" width="11.44140625" style="2" customWidth="1"/>
    <col min="15626" max="15627" width="11.33203125" style="2" customWidth="1"/>
    <col min="15628" max="15628" width="18.4414062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1" width="11.44140625" style="2" customWidth="1"/>
    <col min="15882" max="15883" width="11.33203125" style="2" customWidth="1"/>
    <col min="15884" max="15884" width="18.4414062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7" width="11.44140625" style="2" customWidth="1"/>
    <col min="16138" max="16139" width="11.33203125" style="2" customWidth="1"/>
    <col min="16140" max="16140" width="18.44140625" style="2" customWidth="1"/>
    <col min="16141" max="16384" width="9.109375" style="2"/>
  </cols>
  <sheetData>
    <row r="1" spans="1:12" ht="15.6">
      <c r="L1" s="229" t="s">
        <v>236</v>
      </c>
    </row>
    <row r="2" spans="1:12" ht="8.25" customHeight="1">
      <c r="L2" s="85"/>
    </row>
    <row r="3" spans="1:12" ht="15.75" customHeight="1">
      <c r="A3" s="86" t="str">
        <f>'Pg 4 P Sums'!C3</f>
        <v>GP2026/001/68120/2004</v>
      </c>
      <c r="B3" s="87"/>
      <c r="C3" s="243"/>
      <c r="D3" s="89"/>
      <c r="E3" s="1167">
        <f>'F1  Cover'!L8</f>
        <v>46006</v>
      </c>
      <c r="F3" s="1167"/>
      <c r="G3" s="88"/>
      <c r="H3" s="1199" t="s">
        <v>237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238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tr">
        <f>'Pricing Schedule'!A66 &amp; " " &amp;'Pricing Schedule'!B66</f>
        <v>2200 UNSPECIFIED MINOR WORKS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 t="s">
        <v>581</v>
      </c>
      <c r="L9" s="639" t="e">
        <f>L23/L10</f>
        <v>#DIV/0!</v>
      </c>
    </row>
    <row r="10" spans="1:12">
      <c r="A10" s="1225" t="str">
        <f>'Pricing Schedule'!A69 &amp; " " &amp;'Pricing Schedule'!B69</f>
        <v>22.02 Own skilled, but unqualified artisan / technician / labourer</v>
      </c>
      <c r="B10" s="1226"/>
      <c r="C10" s="1226"/>
      <c r="D10" s="1226"/>
      <c r="E10" s="1226"/>
      <c r="F10" s="1226"/>
      <c r="G10" s="1226"/>
      <c r="H10" s="1227"/>
      <c r="I10" s="169" t="str">
        <f>'Pricing Schedule'!$C$69</f>
        <v>Hr</v>
      </c>
      <c r="J10" s="169">
        <f>'Pricing Schedule'!D69</f>
        <v>1500</v>
      </c>
      <c r="K10" s="637">
        <f>'Pricing Schedule'!$E$69</f>
        <v>0</v>
      </c>
      <c r="L10" s="242">
        <f>K10*J10</f>
        <v>0</v>
      </c>
    </row>
    <row r="11" spans="1:12">
      <c r="A11" s="1218"/>
      <c r="B11" s="1219"/>
      <c r="C11" s="1219"/>
      <c r="D11" s="1219"/>
      <c r="E11" s="1219"/>
      <c r="F11" s="1219"/>
      <c r="G11" s="1219"/>
      <c r="H11" s="1220"/>
      <c r="I11" s="308" t="str">
        <f>'Pricing Schedule'!$C$69</f>
        <v>Hr</v>
      </c>
      <c r="J11" s="640"/>
      <c r="K11" s="638">
        <f>'Pricing Schedule'!$E$69</f>
        <v>0</v>
      </c>
      <c r="L11" s="241">
        <f>K11*J11</f>
        <v>0</v>
      </c>
    </row>
    <row r="12" spans="1:12">
      <c r="A12" s="1218"/>
      <c r="B12" s="1219"/>
      <c r="C12" s="1219"/>
      <c r="D12" s="1219"/>
      <c r="E12" s="1219"/>
      <c r="F12" s="1219"/>
      <c r="G12" s="1219"/>
      <c r="H12" s="1220"/>
      <c r="I12" s="308" t="str">
        <f>'Pricing Schedule'!$C$69</f>
        <v>Hr</v>
      </c>
      <c r="J12" s="640"/>
      <c r="K12" s="638">
        <f>'Pricing Schedule'!$E$69</f>
        <v>0</v>
      </c>
      <c r="L12" s="241">
        <f t="shared" ref="L12:L22" si="0">K12*J12</f>
        <v>0</v>
      </c>
    </row>
    <row r="13" spans="1:12">
      <c r="A13" s="1218"/>
      <c r="B13" s="1219"/>
      <c r="C13" s="1219"/>
      <c r="D13" s="1219"/>
      <c r="E13" s="1219"/>
      <c r="F13" s="1219"/>
      <c r="G13" s="1219"/>
      <c r="H13" s="1220"/>
      <c r="I13" s="308" t="str">
        <f>'Pricing Schedule'!$C$69</f>
        <v>Hr</v>
      </c>
      <c r="J13" s="640"/>
      <c r="K13" s="638">
        <f>'Pricing Schedule'!$E$69</f>
        <v>0</v>
      </c>
      <c r="L13" s="241">
        <f t="shared" si="0"/>
        <v>0</v>
      </c>
    </row>
    <row r="14" spans="1:12">
      <c r="A14" s="1218"/>
      <c r="B14" s="1219"/>
      <c r="C14" s="1219"/>
      <c r="D14" s="1219"/>
      <c r="E14" s="1219"/>
      <c r="F14" s="1219"/>
      <c r="G14" s="1219"/>
      <c r="H14" s="1220"/>
      <c r="I14" s="308" t="str">
        <f>'Pricing Schedule'!$C$69</f>
        <v>Hr</v>
      </c>
      <c r="J14" s="640"/>
      <c r="K14" s="638">
        <f>'Pricing Schedule'!$E$69</f>
        <v>0</v>
      </c>
      <c r="L14" s="241">
        <f t="shared" si="0"/>
        <v>0</v>
      </c>
    </row>
    <row r="15" spans="1:12">
      <c r="A15" s="1218"/>
      <c r="B15" s="1219"/>
      <c r="C15" s="1219"/>
      <c r="D15" s="1219"/>
      <c r="E15" s="1219"/>
      <c r="F15" s="1219"/>
      <c r="G15" s="1219"/>
      <c r="H15" s="1220"/>
      <c r="I15" s="308" t="str">
        <f>'Pricing Schedule'!$C$69</f>
        <v>Hr</v>
      </c>
      <c r="J15" s="640"/>
      <c r="K15" s="638">
        <f>'Pricing Schedule'!$E$69</f>
        <v>0</v>
      </c>
      <c r="L15" s="241">
        <f t="shared" si="0"/>
        <v>0</v>
      </c>
    </row>
    <row r="16" spans="1:12">
      <c r="A16" s="1218"/>
      <c r="B16" s="1219"/>
      <c r="C16" s="1219"/>
      <c r="D16" s="1219"/>
      <c r="E16" s="1219"/>
      <c r="F16" s="1219"/>
      <c r="G16" s="1219"/>
      <c r="H16" s="1220"/>
      <c r="I16" s="308" t="str">
        <f>'Pricing Schedule'!$C$69</f>
        <v>Hr</v>
      </c>
      <c r="J16" s="640"/>
      <c r="K16" s="638">
        <f>'Pricing Schedule'!$E$69</f>
        <v>0</v>
      </c>
      <c r="L16" s="241">
        <f t="shared" si="0"/>
        <v>0</v>
      </c>
    </row>
    <row r="17" spans="1:12">
      <c r="A17" s="1218"/>
      <c r="B17" s="1219"/>
      <c r="C17" s="1219"/>
      <c r="D17" s="1219"/>
      <c r="E17" s="1219"/>
      <c r="F17" s="1219"/>
      <c r="G17" s="1219"/>
      <c r="H17" s="1220"/>
      <c r="I17" s="308" t="str">
        <f>'Pricing Schedule'!$C$69</f>
        <v>Hr</v>
      </c>
      <c r="J17" s="640"/>
      <c r="K17" s="638">
        <f>'Pricing Schedule'!$E$69</f>
        <v>0</v>
      </c>
      <c r="L17" s="241">
        <f t="shared" si="0"/>
        <v>0</v>
      </c>
    </row>
    <row r="18" spans="1:12">
      <c r="A18" s="1218"/>
      <c r="B18" s="1219"/>
      <c r="C18" s="1219"/>
      <c r="D18" s="1219"/>
      <c r="E18" s="1219"/>
      <c r="F18" s="1219"/>
      <c r="G18" s="1219"/>
      <c r="H18" s="1220"/>
      <c r="I18" s="308" t="str">
        <f>'Pricing Schedule'!$C$69</f>
        <v>Hr</v>
      </c>
      <c r="J18" s="640"/>
      <c r="K18" s="638">
        <f>'Pricing Schedule'!$E$69</f>
        <v>0</v>
      </c>
      <c r="L18" s="241">
        <f t="shared" si="0"/>
        <v>0</v>
      </c>
    </row>
    <row r="19" spans="1:12">
      <c r="A19" s="1228"/>
      <c r="B19" s="1229"/>
      <c r="C19" s="1229"/>
      <c r="D19" s="1229"/>
      <c r="E19" s="1229"/>
      <c r="F19" s="1229"/>
      <c r="G19" s="1229"/>
      <c r="H19" s="1230"/>
      <c r="I19" s="308" t="str">
        <f>'Pricing Schedule'!$C$69</f>
        <v>Hr</v>
      </c>
      <c r="J19" s="640"/>
      <c r="K19" s="638">
        <f>'Pricing Schedule'!$E$69</f>
        <v>0</v>
      </c>
      <c r="L19" s="241">
        <f t="shared" si="0"/>
        <v>0</v>
      </c>
    </row>
    <row r="20" spans="1:12">
      <c r="A20" s="1228"/>
      <c r="B20" s="1229"/>
      <c r="C20" s="1229"/>
      <c r="D20" s="1229"/>
      <c r="E20" s="1229"/>
      <c r="F20" s="1229"/>
      <c r="G20" s="1229"/>
      <c r="H20" s="1230"/>
      <c r="I20" s="308" t="str">
        <f>'Pricing Schedule'!$C$69</f>
        <v>Hr</v>
      </c>
      <c r="J20" s="640"/>
      <c r="K20" s="638">
        <f>'Pricing Schedule'!$E$69</f>
        <v>0</v>
      </c>
      <c r="L20" s="241">
        <f t="shared" si="0"/>
        <v>0</v>
      </c>
    </row>
    <row r="21" spans="1:12">
      <c r="A21" s="1228"/>
      <c r="B21" s="1229"/>
      <c r="C21" s="1229"/>
      <c r="D21" s="1229"/>
      <c r="E21" s="1229"/>
      <c r="F21" s="1229"/>
      <c r="G21" s="1229"/>
      <c r="H21" s="1230"/>
      <c r="I21" s="308" t="str">
        <f>'Pricing Schedule'!$C$69</f>
        <v>Hr</v>
      </c>
      <c r="J21" s="640"/>
      <c r="K21" s="638">
        <f>'Pricing Schedule'!$E$69</f>
        <v>0</v>
      </c>
      <c r="L21" s="241">
        <f t="shared" si="0"/>
        <v>0</v>
      </c>
    </row>
    <row r="22" spans="1:12">
      <c r="A22" s="1231"/>
      <c r="B22" s="1232"/>
      <c r="C22" s="1232"/>
      <c r="D22" s="1232"/>
      <c r="E22" s="1232"/>
      <c r="F22" s="1232"/>
      <c r="G22" s="1232"/>
      <c r="H22" s="1233"/>
      <c r="I22" s="308" t="str">
        <f>'Pricing Schedule'!$C$69</f>
        <v>Hr</v>
      </c>
      <c r="J22" s="641"/>
      <c r="K22" s="638">
        <f>'Pricing Schedule'!$E$69</f>
        <v>0</v>
      </c>
      <c r="L22" s="241">
        <f t="shared" si="0"/>
        <v>0</v>
      </c>
    </row>
    <row r="23" spans="1:12" ht="13.8" thickBot="1">
      <c r="A23" s="1234"/>
      <c r="B23" s="1235"/>
      <c r="C23" s="1235"/>
      <c r="D23" s="1235"/>
      <c r="E23" s="1235"/>
      <c r="F23" s="1235"/>
      <c r="G23" s="1235"/>
      <c r="H23" s="1236"/>
      <c r="I23" s="1237" t="s">
        <v>183</v>
      </c>
      <c r="J23" s="1238"/>
      <c r="K23" s="1239"/>
      <c r="L23" s="537">
        <f>SUM(L11:L22)</f>
        <v>0</v>
      </c>
    </row>
    <row r="24" spans="1:12">
      <c r="A24" s="1225" t="str">
        <f>'Pricing Schedule'!A66 &amp; " " &amp;'Pricing Schedule'!B66</f>
        <v>2200 UNSPECIFIED MINOR WORKS</v>
      </c>
      <c r="B24" s="1226"/>
      <c r="C24" s="1226"/>
      <c r="D24" s="1226"/>
      <c r="E24" s="1226"/>
      <c r="F24" s="1226"/>
      <c r="G24" s="1226"/>
      <c r="H24" s="1227"/>
      <c r="I24" s="239"/>
      <c r="J24" s="239"/>
      <c r="K24" s="239" t="s">
        <v>581</v>
      </c>
      <c r="L24" s="639" t="e">
        <f>L38/L25</f>
        <v>#DIV/0!</v>
      </c>
    </row>
    <row r="25" spans="1:12">
      <c r="A25" s="1225" t="str">
        <f>'Pricing Schedule'!A70 &amp; " " &amp;'Pricing Schedule'!B70</f>
        <v>22.03 Own qualified artisan / technician / supervisor</v>
      </c>
      <c r="B25" s="1226"/>
      <c r="C25" s="1226"/>
      <c r="D25" s="1226"/>
      <c r="E25" s="1226"/>
      <c r="F25" s="1226"/>
      <c r="G25" s="1226"/>
      <c r="H25" s="1227"/>
      <c r="I25" s="169" t="str">
        <f>'Pricing Schedule'!$C$70</f>
        <v>Hr</v>
      </c>
      <c r="J25" s="169">
        <f>'Pricing Schedule'!$D$70</f>
        <v>500</v>
      </c>
      <c r="K25" s="637">
        <f>'Pricing Schedule'!$E$70</f>
        <v>0</v>
      </c>
      <c r="L25" s="242">
        <f>K25*J25</f>
        <v>0</v>
      </c>
    </row>
    <row r="26" spans="1:12">
      <c r="A26" s="1218"/>
      <c r="B26" s="1219"/>
      <c r="C26" s="1219"/>
      <c r="D26" s="1219"/>
      <c r="E26" s="1219"/>
      <c r="F26" s="1219"/>
      <c r="G26" s="1219"/>
      <c r="H26" s="1220"/>
      <c r="I26" s="308" t="str">
        <f>'Pricing Schedule'!$C$70</f>
        <v>Hr</v>
      </c>
      <c r="J26" s="640"/>
      <c r="K26" s="638">
        <f>'Pricing Schedule'!$E$70</f>
        <v>0</v>
      </c>
      <c r="L26" s="241">
        <f t="shared" ref="L26:L37" si="1">K26*J26</f>
        <v>0</v>
      </c>
    </row>
    <row r="27" spans="1:12">
      <c r="A27" s="1218"/>
      <c r="B27" s="1219"/>
      <c r="C27" s="1219"/>
      <c r="D27" s="1219"/>
      <c r="E27" s="1219"/>
      <c r="F27" s="1219"/>
      <c r="G27" s="1219"/>
      <c r="H27" s="1220"/>
      <c r="I27" s="308" t="str">
        <f>'Pricing Schedule'!$C$70</f>
        <v>Hr</v>
      </c>
      <c r="J27" s="640"/>
      <c r="K27" s="638">
        <f>'Pricing Schedule'!$E$70</f>
        <v>0</v>
      </c>
      <c r="L27" s="241">
        <f t="shared" si="1"/>
        <v>0</v>
      </c>
    </row>
    <row r="28" spans="1:12">
      <c r="A28" s="1218"/>
      <c r="B28" s="1219"/>
      <c r="C28" s="1219"/>
      <c r="D28" s="1219"/>
      <c r="E28" s="1219"/>
      <c r="F28" s="1219"/>
      <c r="G28" s="1219"/>
      <c r="H28" s="1220"/>
      <c r="I28" s="308" t="str">
        <f>'Pricing Schedule'!$C$70</f>
        <v>Hr</v>
      </c>
      <c r="J28" s="640"/>
      <c r="K28" s="638">
        <f>'Pricing Schedule'!$E$70</f>
        <v>0</v>
      </c>
      <c r="L28" s="241">
        <f t="shared" si="1"/>
        <v>0</v>
      </c>
    </row>
    <row r="29" spans="1:12">
      <c r="A29" s="1218"/>
      <c r="B29" s="1219"/>
      <c r="C29" s="1219"/>
      <c r="D29" s="1219"/>
      <c r="E29" s="1219"/>
      <c r="F29" s="1219"/>
      <c r="G29" s="1219"/>
      <c r="H29" s="1220"/>
      <c r="I29" s="308" t="str">
        <f>'Pricing Schedule'!$C$70</f>
        <v>Hr</v>
      </c>
      <c r="J29" s="640"/>
      <c r="K29" s="638">
        <f>'Pricing Schedule'!$E$70</f>
        <v>0</v>
      </c>
      <c r="L29" s="241">
        <f t="shared" si="1"/>
        <v>0</v>
      </c>
    </row>
    <row r="30" spans="1:12">
      <c r="A30" s="1218"/>
      <c r="B30" s="1219"/>
      <c r="C30" s="1219"/>
      <c r="D30" s="1219"/>
      <c r="E30" s="1219"/>
      <c r="F30" s="1219"/>
      <c r="G30" s="1219"/>
      <c r="H30" s="1220"/>
      <c r="I30" s="308" t="str">
        <f>'Pricing Schedule'!$C$70</f>
        <v>Hr</v>
      </c>
      <c r="J30" s="640"/>
      <c r="K30" s="638">
        <f>'Pricing Schedule'!$E$70</f>
        <v>0</v>
      </c>
      <c r="L30" s="241">
        <f t="shared" si="1"/>
        <v>0</v>
      </c>
    </row>
    <row r="31" spans="1:12">
      <c r="A31" s="1218"/>
      <c r="B31" s="1219"/>
      <c r="C31" s="1219"/>
      <c r="D31" s="1219"/>
      <c r="E31" s="1219"/>
      <c r="F31" s="1219"/>
      <c r="G31" s="1219"/>
      <c r="H31" s="1220"/>
      <c r="I31" s="308" t="str">
        <f>'Pricing Schedule'!$C$70</f>
        <v>Hr</v>
      </c>
      <c r="J31" s="640"/>
      <c r="K31" s="638">
        <f>'Pricing Schedule'!$E$70</f>
        <v>0</v>
      </c>
      <c r="L31" s="241">
        <f t="shared" si="1"/>
        <v>0</v>
      </c>
    </row>
    <row r="32" spans="1:12">
      <c r="A32" s="1218"/>
      <c r="B32" s="1219"/>
      <c r="C32" s="1219"/>
      <c r="D32" s="1219"/>
      <c r="E32" s="1219"/>
      <c r="F32" s="1219"/>
      <c r="G32" s="1219"/>
      <c r="H32" s="1220"/>
      <c r="I32" s="308" t="str">
        <f>'Pricing Schedule'!$C$70</f>
        <v>Hr</v>
      </c>
      <c r="J32" s="640"/>
      <c r="K32" s="638">
        <f>'Pricing Schedule'!$E$70</f>
        <v>0</v>
      </c>
      <c r="L32" s="241">
        <f t="shared" si="1"/>
        <v>0</v>
      </c>
    </row>
    <row r="33" spans="1:12">
      <c r="A33" s="1218"/>
      <c r="B33" s="1219"/>
      <c r="C33" s="1219"/>
      <c r="D33" s="1219"/>
      <c r="E33" s="1219"/>
      <c r="F33" s="1219"/>
      <c r="G33" s="1219"/>
      <c r="H33" s="1220"/>
      <c r="I33" s="308" t="str">
        <f>'Pricing Schedule'!$C$70</f>
        <v>Hr</v>
      </c>
      <c r="J33" s="640"/>
      <c r="K33" s="638">
        <f>'Pricing Schedule'!$E$70</f>
        <v>0</v>
      </c>
      <c r="L33" s="241">
        <f t="shared" si="1"/>
        <v>0</v>
      </c>
    </row>
    <row r="34" spans="1:12">
      <c r="A34" s="1228"/>
      <c r="B34" s="1229"/>
      <c r="C34" s="1229"/>
      <c r="D34" s="1229"/>
      <c r="E34" s="1229"/>
      <c r="F34" s="1229"/>
      <c r="G34" s="1229"/>
      <c r="H34" s="1230"/>
      <c r="I34" s="308" t="str">
        <f>'Pricing Schedule'!$C$70</f>
        <v>Hr</v>
      </c>
      <c r="J34" s="640"/>
      <c r="K34" s="638">
        <f>'Pricing Schedule'!$E$70</f>
        <v>0</v>
      </c>
      <c r="L34" s="241">
        <f t="shared" si="1"/>
        <v>0</v>
      </c>
    </row>
    <row r="35" spans="1:12">
      <c r="A35" s="1228"/>
      <c r="B35" s="1229"/>
      <c r="C35" s="1229"/>
      <c r="D35" s="1229"/>
      <c r="E35" s="1229"/>
      <c r="F35" s="1229"/>
      <c r="G35" s="1229"/>
      <c r="H35" s="1230"/>
      <c r="I35" s="308" t="str">
        <f>'Pricing Schedule'!$C$70</f>
        <v>Hr</v>
      </c>
      <c r="J35" s="640"/>
      <c r="K35" s="638">
        <f>'Pricing Schedule'!$E$70</f>
        <v>0</v>
      </c>
      <c r="L35" s="241">
        <f t="shared" si="1"/>
        <v>0</v>
      </c>
    </row>
    <row r="36" spans="1:12">
      <c r="A36" s="1228"/>
      <c r="B36" s="1229"/>
      <c r="C36" s="1229"/>
      <c r="D36" s="1229"/>
      <c r="E36" s="1229"/>
      <c r="F36" s="1229"/>
      <c r="G36" s="1229"/>
      <c r="H36" s="1230"/>
      <c r="I36" s="308" t="str">
        <f>'Pricing Schedule'!$C$70</f>
        <v>Hr</v>
      </c>
      <c r="J36" s="640"/>
      <c r="K36" s="638">
        <f>'Pricing Schedule'!$E$70</f>
        <v>0</v>
      </c>
      <c r="L36" s="241">
        <f t="shared" si="1"/>
        <v>0</v>
      </c>
    </row>
    <row r="37" spans="1:12">
      <c r="A37" s="1231"/>
      <c r="B37" s="1232"/>
      <c r="C37" s="1232"/>
      <c r="D37" s="1232"/>
      <c r="E37" s="1232"/>
      <c r="F37" s="1232"/>
      <c r="G37" s="1232"/>
      <c r="H37" s="1233"/>
      <c r="I37" s="308" t="str">
        <f>'Pricing Schedule'!$C$70</f>
        <v>Hr</v>
      </c>
      <c r="J37" s="641"/>
      <c r="K37" s="638">
        <f>'Pricing Schedule'!$E$70</f>
        <v>0</v>
      </c>
      <c r="L37" s="241">
        <f t="shared" si="1"/>
        <v>0</v>
      </c>
    </row>
    <row r="38" spans="1:12" ht="13.8" thickBot="1">
      <c r="A38" s="1234"/>
      <c r="B38" s="1235"/>
      <c r="C38" s="1235"/>
      <c r="D38" s="1235"/>
      <c r="E38" s="1235"/>
      <c r="F38" s="1235"/>
      <c r="G38" s="1235"/>
      <c r="H38" s="1236"/>
      <c r="I38" s="1237" t="s">
        <v>183</v>
      </c>
      <c r="J38" s="1238"/>
      <c r="K38" s="1239"/>
      <c r="L38" s="538">
        <f>SUM(L26:L37)</f>
        <v>0</v>
      </c>
    </row>
    <row r="39" spans="1:12">
      <c r="A39" s="1225" t="str">
        <f>'Pricing Schedule'!A66 &amp; " " &amp;'Pricing Schedule'!B66</f>
        <v>2200 UNSPECIFIED MINOR WORKS</v>
      </c>
      <c r="B39" s="1226"/>
      <c r="C39" s="1226"/>
      <c r="D39" s="1226"/>
      <c r="E39" s="1226"/>
      <c r="F39" s="1226"/>
      <c r="G39" s="1226"/>
      <c r="H39" s="1227"/>
      <c r="I39" s="239"/>
      <c r="J39" s="239"/>
      <c r="K39" s="239" t="s">
        <v>581</v>
      </c>
      <c r="L39" s="639" t="e">
        <f>L53/L40</f>
        <v>#DIV/0!</v>
      </c>
    </row>
    <row r="40" spans="1:12">
      <c r="A40" s="1225" t="str">
        <f>'Pricing Schedule'!A72 &amp; " " &amp;'Pricing Schedule'!B72</f>
        <v>22.05 Management attendance</v>
      </c>
      <c r="B40" s="1226"/>
      <c r="C40" s="1226"/>
      <c r="D40" s="1226"/>
      <c r="E40" s="1226"/>
      <c r="F40" s="1226"/>
      <c r="G40" s="1226"/>
      <c r="H40" s="1227"/>
      <c r="I40" s="169" t="str">
        <f>'Pricing Schedule'!$C$72</f>
        <v>Hr</v>
      </c>
      <c r="J40" s="169">
        <f>'Pricing Schedule'!$D$72</f>
        <v>1000</v>
      </c>
      <c r="K40" s="637">
        <f>'Pricing Schedule'!$E$72</f>
        <v>0</v>
      </c>
      <c r="L40" s="242">
        <f>K40*J40</f>
        <v>0</v>
      </c>
    </row>
    <row r="41" spans="1:12">
      <c r="A41" s="1218"/>
      <c r="B41" s="1219"/>
      <c r="C41" s="1219"/>
      <c r="D41" s="1219"/>
      <c r="E41" s="1219"/>
      <c r="F41" s="1219"/>
      <c r="G41" s="1219"/>
      <c r="H41" s="1220"/>
      <c r="I41" s="308" t="str">
        <f>'Pricing Schedule'!$C$72</f>
        <v>Hr</v>
      </c>
      <c r="J41" s="640"/>
      <c r="K41" s="638">
        <f>'Pricing Schedule'!$E$72</f>
        <v>0</v>
      </c>
      <c r="L41" s="241">
        <f t="shared" ref="L41" si="2">K41*J41</f>
        <v>0</v>
      </c>
    </row>
    <row r="42" spans="1:12">
      <c r="A42" s="1218"/>
      <c r="B42" s="1219"/>
      <c r="C42" s="1219"/>
      <c r="D42" s="1219"/>
      <c r="E42" s="1219"/>
      <c r="F42" s="1219"/>
      <c r="G42" s="1219"/>
      <c r="H42" s="1220"/>
      <c r="I42" s="308" t="str">
        <f>'Pricing Schedule'!$C$72</f>
        <v>Hr</v>
      </c>
      <c r="J42" s="640"/>
      <c r="K42" s="638">
        <f>'Pricing Schedule'!$E$72</f>
        <v>0</v>
      </c>
      <c r="L42" s="241">
        <f t="shared" ref="L42:L52" si="3">K42*J42</f>
        <v>0</v>
      </c>
    </row>
    <row r="43" spans="1:12">
      <c r="A43" s="1218"/>
      <c r="B43" s="1219"/>
      <c r="C43" s="1219"/>
      <c r="D43" s="1219"/>
      <c r="E43" s="1219"/>
      <c r="F43" s="1219"/>
      <c r="G43" s="1219"/>
      <c r="H43" s="1220"/>
      <c r="I43" s="308" t="str">
        <f>'Pricing Schedule'!$C$72</f>
        <v>Hr</v>
      </c>
      <c r="J43" s="640"/>
      <c r="K43" s="638">
        <f>'Pricing Schedule'!$E$72</f>
        <v>0</v>
      </c>
      <c r="L43" s="241">
        <f t="shared" si="3"/>
        <v>0</v>
      </c>
    </row>
    <row r="44" spans="1:12">
      <c r="A44" s="1218"/>
      <c r="B44" s="1219"/>
      <c r="C44" s="1219"/>
      <c r="D44" s="1219"/>
      <c r="E44" s="1219"/>
      <c r="F44" s="1219"/>
      <c r="G44" s="1219"/>
      <c r="H44" s="1220"/>
      <c r="I44" s="308" t="str">
        <f>'Pricing Schedule'!$C$72</f>
        <v>Hr</v>
      </c>
      <c r="J44" s="640"/>
      <c r="K44" s="638">
        <f>'Pricing Schedule'!$E$72</f>
        <v>0</v>
      </c>
      <c r="L44" s="241">
        <f t="shared" si="3"/>
        <v>0</v>
      </c>
    </row>
    <row r="45" spans="1:12">
      <c r="A45" s="1218"/>
      <c r="B45" s="1219"/>
      <c r="C45" s="1219"/>
      <c r="D45" s="1219"/>
      <c r="E45" s="1219"/>
      <c r="F45" s="1219"/>
      <c r="G45" s="1219"/>
      <c r="H45" s="1220"/>
      <c r="I45" s="308" t="str">
        <f>'Pricing Schedule'!$C$72</f>
        <v>Hr</v>
      </c>
      <c r="J45" s="640"/>
      <c r="K45" s="638">
        <f>'Pricing Schedule'!$E$72</f>
        <v>0</v>
      </c>
      <c r="L45" s="241">
        <f t="shared" si="3"/>
        <v>0</v>
      </c>
    </row>
    <row r="46" spans="1:12">
      <c r="A46" s="1218"/>
      <c r="B46" s="1219"/>
      <c r="C46" s="1219"/>
      <c r="D46" s="1219"/>
      <c r="E46" s="1219"/>
      <c r="F46" s="1219"/>
      <c r="G46" s="1219"/>
      <c r="H46" s="1220"/>
      <c r="I46" s="308" t="str">
        <f>'Pricing Schedule'!$C$72</f>
        <v>Hr</v>
      </c>
      <c r="J46" s="640"/>
      <c r="K46" s="638">
        <f>'Pricing Schedule'!$E$72</f>
        <v>0</v>
      </c>
      <c r="L46" s="241">
        <f t="shared" si="3"/>
        <v>0</v>
      </c>
    </row>
    <row r="47" spans="1:12">
      <c r="A47" s="1218"/>
      <c r="B47" s="1219"/>
      <c r="C47" s="1219"/>
      <c r="D47" s="1219"/>
      <c r="E47" s="1219"/>
      <c r="F47" s="1219"/>
      <c r="G47" s="1219"/>
      <c r="H47" s="1220"/>
      <c r="I47" s="308" t="str">
        <f>'Pricing Schedule'!$C$72</f>
        <v>Hr</v>
      </c>
      <c r="J47" s="640"/>
      <c r="K47" s="638">
        <f>'Pricing Schedule'!$E$72</f>
        <v>0</v>
      </c>
      <c r="L47" s="241">
        <f t="shared" si="3"/>
        <v>0</v>
      </c>
    </row>
    <row r="48" spans="1:12">
      <c r="A48" s="1218"/>
      <c r="B48" s="1219"/>
      <c r="C48" s="1219"/>
      <c r="D48" s="1219"/>
      <c r="E48" s="1219"/>
      <c r="F48" s="1219"/>
      <c r="G48" s="1219"/>
      <c r="H48" s="1220"/>
      <c r="I48" s="308" t="str">
        <f>'Pricing Schedule'!$C$72</f>
        <v>Hr</v>
      </c>
      <c r="J48" s="640"/>
      <c r="K48" s="638">
        <f>'Pricing Schedule'!$E$72</f>
        <v>0</v>
      </c>
      <c r="L48" s="241">
        <f t="shared" si="3"/>
        <v>0</v>
      </c>
    </row>
    <row r="49" spans="1:12">
      <c r="A49" s="1218"/>
      <c r="B49" s="1219"/>
      <c r="C49" s="1219"/>
      <c r="D49" s="1219"/>
      <c r="E49" s="1219"/>
      <c r="F49" s="1219"/>
      <c r="G49" s="1219"/>
      <c r="H49" s="1220"/>
      <c r="I49" s="308" t="str">
        <f>'Pricing Schedule'!$C$72</f>
        <v>Hr</v>
      </c>
      <c r="J49" s="640"/>
      <c r="K49" s="638">
        <f>'Pricing Schedule'!$E$72</f>
        <v>0</v>
      </c>
      <c r="L49" s="241">
        <f t="shared" si="3"/>
        <v>0</v>
      </c>
    </row>
    <row r="50" spans="1:12">
      <c r="A50" s="1218"/>
      <c r="B50" s="1219"/>
      <c r="C50" s="1219"/>
      <c r="D50" s="1219"/>
      <c r="E50" s="1219"/>
      <c r="F50" s="1219"/>
      <c r="G50" s="1219"/>
      <c r="H50" s="1220"/>
      <c r="I50" s="308" t="str">
        <f>'Pricing Schedule'!$C$72</f>
        <v>Hr</v>
      </c>
      <c r="J50" s="640"/>
      <c r="K50" s="638">
        <f>'Pricing Schedule'!$E$72</f>
        <v>0</v>
      </c>
      <c r="L50" s="241">
        <f t="shared" si="3"/>
        <v>0</v>
      </c>
    </row>
    <row r="51" spans="1:12">
      <c r="A51" s="1218"/>
      <c r="B51" s="1219"/>
      <c r="C51" s="1219"/>
      <c r="D51" s="1219"/>
      <c r="E51" s="1219"/>
      <c r="F51" s="1219"/>
      <c r="G51" s="1219"/>
      <c r="H51" s="1220"/>
      <c r="I51" s="308" t="str">
        <f>'Pricing Schedule'!$C$72</f>
        <v>Hr</v>
      </c>
      <c r="J51" s="640"/>
      <c r="K51" s="638">
        <f>'Pricing Schedule'!$E$72</f>
        <v>0</v>
      </c>
      <c r="L51" s="241">
        <f t="shared" si="3"/>
        <v>0</v>
      </c>
    </row>
    <row r="52" spans="1:12">
      <c r="A52" s="1218"/>
      <c r="B52" s="1219"/>
      <c r="C52" s="1219"/>
      <c r="D52" s="1219"/>
      <c r="E52" s="1219"/>
      <c r="F52" s="1219"/>
      <c r="G52" s="1219"/>
      <c r="H52" s="1220"/>
      <c r="I52" s="308" t="str">
        <f>'Pricing Schedule'!$C$72</f>
        <v>Hr</v>
      </c>
      <c r="J52" s="640"/>
      <c r="K52" s="638">
        <f>'Pricing Schedule'!$E$72</f>
        <v>0</v>
      </c>
      <c r="L52" s="241">
        <f t="shared" si="3"/>
        <v>0</v>
      </c>
    </row>
    <row r="53" spans="1:12" ht="13.8" thickBot="1">
      <c r="A53" s="1234"/>
      <c r="B53" s="1235"/>
      <c r="C53" s="1235"/>
      <c r="D53" s="1235"/>
      <c r="E53" s="1235"/>
      <c r="F53" s="1235"/>
      <c r="G53" s="1235"/>
      <c r="H53" s="1236"/>
      <c r="I53" s="1237" t="s">
        <v>183</v>
      </c>
      <c r="J53" s="1238"/>
      <c r="K53" s="1239"/>
      <c r="L53" s="538">
        <f>SUM(L41:L52)</f>
        <v>0</v>
      </c>
    </row>
    <row r="54" spans="1:12" ht="21" customHeight="1" thickBot="1">
      <c r="A54" s="1195" t="s">
        <v>239</v>
      </c>
      <c r="B54" s="1196"/>
      <c r="C54" s="1196"/>
      <c r="D54" s="1196"/>
      <c r="E54" s="1196"/>
      <c r="F54" s="1196"/>
      <c r="G54" s="1196"/>
      <c r="H54" s="1196"/>
      <c r="I54" s="1196"/>
      <c r="J54" s="1196"/>
      <c r="K54" s="1197"/>
      <c r="L54" s="246">
        <f>L23+L38+L53</f>
        <v>0</v>
      </c>
    </row>
  </sheetData>
  <mergeCells count="54">
    <mergeCell ref="A24:H24"/>
    <mergeCell ref="A39:H39"/>
    <mergeCell ref="A38:H38"/>
    <mergeCell ref="I38:K38"/>
    <mergeCell ref="A33:H33"/>
    <mergeCell ref="A34:H34"/>
    <mergeCell ref="A35:H35"/>
    <mergeCell ref="A36:H36"/>
    <mergeCell ref="A37:H37"/>
    <mergeCell ref="I23:K23"/>
    <mergeCell ref="A40:H40"/>
    <mergeCell ref="A41:H41"/>
    <mergeCell ref="A42:H42"/>
    <mergeCell ref="A54:K54"/>
    <mergeCell ref="A44:H44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I53:K53"/>
    <mergeCell ref="A43:H43"/>
    <mergeCell ref="A17:H17"/>
    <mergeCell ref="A18:H18"/>
    <mergeCell ref="A19:H19"/>
    <mergeCell ref="A20:H20"/>
    <mergeCell ref="A21:H21"/>
    <mergeCell ref="A22:H22"/>
    <mergeCell ref="A23:H23"/>
    <mergeCell ref="A25:H25"/>
    <mergeCell ref="A26:H26"/>
    <mergeCell ref="A27:H27"/>
    <mergeCell ref="A28:H28"/>
    <mergeCell ref="A29:H29"/>
    <mergeCell ref="A30:H30"/>
    <mergeCell ref="A31:H31"/>
    <mergeCell ref="A32:H3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conditionalFormatting sqref="L24">
    <cfRule type="cellIs" dxfId="48" priority="3" operator="greaterThan">
      <formula>1</formula>
    </cfRule>
  </conditionalFormatting>
  <conditionalFormatting sqref="L9">
    <cfRule type="cellIs" dxfId="47" priority="2" operator="greaterThan">
      <formula>1</formula>
    </cfRule>
  </conditionalFormatting>
  <conditionalFormatting sqref="L39">
    <cfRule type="cellIs" dxfId="46" priority="1" operator="greaterThan">
      <formula>1</formula>
    </cfRule>
  </conditionalFormatting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2">
    <tabColor rgb="FF0070C0"/>
    <pageSetUpPr fitToPage="1"/>
  </sheetPr>
  <dimension ref="A1:L25"/>
  <sheetViews>
    <sheetView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240</v>
      </c>
    </row>
    <row r="2" spans="1:12" ht="8.25" customHeight="1">
      <c r="L2" s="85"/>
    </row>
    <row r="3" spans="1:12" ht="15.75" customHeight="1">
      <c r="A3" s="86" t="str">
        <f>'Pg 5 Add. Duties'!A3</f>
        <v>GP2026/001/68120/2004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333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">
        <v>585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/>
      <c r="L9" s="240"/>
    </row>
    <row r="10" spans="1:12" ht="12.75" customHeight="1">
      <c r="A10" s="1225" t="s">
        <v>334</v>
      </c>
      <c r="B10" s="1226"/>
      <c r="C10" s="1226"/>
      <c r="D10" s="1226"/>
      <c r="E10" s="1226"/>
      <c r="F10" s="1226"/>
      <c r="G10" s="1226"/>
      <c r="H10" s="1227"/>
      <c r="I10" s="239"/>
      <c r="J10" s="239"/>
      <c r="K10" s="239"/>
      <c r="L10" s="240"/>
    </row>
    <row r="11" spans="1:12">
      <c r="A11" s="1243"/>
      <c r="B11" s="1244"/>
      <c r="C11" s="1244"/>
      <c r="D11" s="1244"/>
      <c r="E11" s="1244"/>
      <c r="F11" s="1244"/>
      <c r="G11" s="1244"/>
      <c r="H11" s="1245"/>
      <c r="I11" s="238"/>
      <c r="J11" s="238"/>
      <c r="K11" s="238"/>
      <c r="L11" s="241"/>
    </row>
    <row r="12" spans="1:12">
      <c r="A12" s="1240"/>
      <c r="B12" s="1241"/>
      <c r="C12" s="1241"/>
      <c r="D12" s="1241"/>
      <c r="E12" s="1241"/>
      <c r="F12" s="1241"/>
      <c r="G12" s="1241"/>
      <c r="H12" s="1242"/>
      <c r="I12" s="238"/>
      <c r="J12" s="238"/>
      <c r="K12" s="238"/>
      <c r="L12" s="241"/>
    </row>
    <row r="13" spans="1:12">
      <c r="A13" s="1240"/>
      <c r="B13" s="1241"/>
      <c r="C13" s="1241"/>
      <c r="D13" s="1241"/>
      <c r="E13" s="1241"/>
      <c r="F13" s="1241"/>
      <c r="G13" s="1241"/>
      <c r="H13" s="1242"/>
      <c r="I13" s="238"/>
      <c r="J13" s="238"/>
      <c r="K13" s="238"/>
      <c r="L13" s="241"/>
    </row>
    <row r="14" spans="1:12">
      <c r="A14" s="1240"/>
      <c r="B14" s="1241"/>
      <c r="C14" s="1241"/>
      <c r="D14" s="1241"/>
      <c r="E14" s="1241"/>
      <c r="F14" s="1241"/>
      <c r="G14" s="1241"/>
      <c r="H14" s="1242"/>
      <c r="I14" s="238"/>
      <c r="J14" s="238"/>
      <c r="K14" s="238"/>
      <c r="L14" s="241"/>
    </row>
    <row r="15" spans="1:12">
      <c r="A15" s="1240"/>
      <c r="B15" s="1241"/>
      <c r="C15" s="1241"/>
      <c r="D15" s="1241"/>
      <c r="E15" s="1241"/>
      <c r="F15" s="1241"/>
      <c r="G15" s="1241"/>
      <c r="H15" s="1242"/>
      <c r="I15" s="238"/>
      <c r="J15" s="238"/>
      <c r="K15" s="238"/>
      <c r="L15" s="241"/>
    </row>
    <row r="16" spans="1:12">
      <c r="A16" s="1240"/>
      <c r="B16" s="1241"/>
      <c r="C16" s="1241"/>
      <c r="D16" s="1241"/>
      <c r="E16" s="1241"/>
      <c r="F16" s="1241"/>
      <c r="G16" s="1241"/>
      <c r="H16" s="1242"/>
      <c r="I16" s="238"/>
      <c r="J16" s="238"/>
      <c r="K16" s="238"/>
      <c r="L16" s="241"/>
    </row>
    <row r="17" spans="1:12">
      <c r="A17" s="1240"/>
      <c r="B17" s="1241"/>
      <c r="C17" s="1241"/>
      <c r="D17" s="1241"/>
      <c r="E17" s="1241"/>
      <c r="F17" s="1241"/>
      <c r="G17" s="1241"/>
      <c r="H17" s="1242"/>
      <c r="I17" s="238"/>
      <c r="J17" s="238"/>
      <c r="K17" s="238"/>
      <c r="L17" s="241"/>
    </row>
    <row r="18" spans="1:12">
      <c r="A18" s="1240"/>
      <c r="B18" s="1241"/>
      <c r="C18" s="1241"/>
      <c r="D18" s="1241"/>
      <c r="E18" s="1241"/>
      <c r="F18" s="1241"/>
      <c r="G18" s="1241"/>
      <c r="H18" s="1242"/>
      <c r="I18" s="238"/>
      <c r="J18" s="238"/>
      <c r="K18" s="238"/>
      <c r="L18" s="241"/>
    </row>
    <row r="19" spans="1:12">
      <c r="A19" s="1240"/>
      <c r="B19" s="1241"/>
      <c r="C19" s="1241"/>
      <c r="D19" s="1241"/>
      <c r="E19" s="1241"/>
      <c r="F19" s="1241"/>
      <c r="G19" s="1241"/>
      <c r="H19" s="1242"/>
      <c r="I19" s="238"/>
      <c r="J19" s="238"/>
      <c r="K19" s="238"/>
      <c r="L19" s="241"/>
    </row>
    <row r="20" spans="1:12">
      <c r="A20" s="1240"/>
      <c r="B20" s="1241"/>
      <c r="C20" s="1241"/>
      <c r="D20" s="1241"/>
      <c r="E20" s="1241"/>
      <c r="F20" s="1241"/>
      <c r="G20" s="1241"/>
      <c r="H20" s="1242"/>
      <c r="I20" s="238"/>
      <c r="J20" s="238"/>
      <c r="K20" s="238"/>
      <c r="L20" s="241"/>
    </row>
    <row r="21" spans="1:12">
      <c r="A21" s="1240"/>
      <c r="B21" s="1241"/>
      <c r="C21" s="1241"/>
      <c r="D21" s="1241"/>
      <c r="E21" s="1241"/>
      <c r="F21" s="1241"/>
      <c r="G21" s="1241"/>
      <c r="H21" s="1242"/>
      <c r="I21" s="238"/>
      <c r="J21" s="238"/>
      <c r="K21" s="238"/>
      <c r="L21" s="241"/>
    </row>
    <row r="22" spans="1:12">
      <c r="A22" s="1240"/>
      <c r="B22" s="1241"/>
      <c r="C22" s="1241"/>
      <c r="D22" s="1241"/>
      <c r="E22" s="1241"/>
      <c r="F22" s="1241"/>
      <c r="G22" s="1241"/>
      <c r="H22" s="1242"/>
      <c r="I22" s="238"/>
      <c r="J22" s="238"/>
      <c r="K22" s="238"/>
      <c r="L22" s="241"/>
    </row>
    <row r="23" spans="1:12">
      <c r="A23" s="1240"/>
      <c r="B23" s="1241"/>
      <c r="C23" s="1241"/>
      <c r="D23" s="1241"/>
      <c r="E23" s="1241"/>
      <c r="F23" s="1241"/>
      <c r="G23" s="1241"/>
      <c r="H23" s="1242"/>
      <c r="I23" s="238"/>
      <c r="J23" s="238"/>
      <c r="K23" s="238"/>
      <c r="L23" s="241"/>
    </row>
    <row r="24" spans="1:12" ht="13.8" thickBot="1">
      <c r="A24" s="1240"/>
      <c r="B24" s="1241"/>
      <c r="C24" s="1241"/>
      <c r="D24" s="1241"/>
      <c r="E24" s="1241"/>
      <c r="F24" s="1241"/>
      <c r="G24" s="1241"/>
      <c r="H24" s="1242"/>
      <c r="I24" s="238"/>
      <c r="J24" s="238"/>
      <c r="K24" s="238"/>
      <c r="L24" s="241"/>
    </row>
    <row r="25" spans="1:12" ht="21" customHeight="1" thickBot="1">
      <c r="A25" s="1195" t="s">
        <v>586</v>
      </c>
      <c r="B25" s="1196"/>
      <c r="C25" s="1196"/>
      <c r="D25" s="1196"/>
      <c r="E25" s="1196"/>
      <c r="F25" s="1196"/>
      <c r="G25" s="1196"/>
      <c r="H25" s="1196"/>
      <c r="I25" s="1196"/>
      <c r="J25" s="1196"/>
      <c r="K25" s="1197"/>
      <c r="L25" s="247">
        <f>SUM(L10:L24)</f>
        <v>0</v>
      </c>
    </row>
  </sheetData>
  <mergeCells count="22">
    <mergeCell ref="A25:K25"/>
    <mergeCell ref="A24:H24"/>
    <mergeCell ref="A23:H23"/>
    <mergeCell ref="A17:H17"/>
    <mergeCell ref="A18:H18"/>
    <mergeCell ref="A19:H19"/>
    <mergeCell ref="A20:H20"/>
    <mergeCell ref="A21:H21"/>
    <mergeCell ref="A22:H2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3">
    <tabColor rgb="FF0070C0"/>
    <pageSetUpPr fitToPage="1"/>
  </sheetPr>
  <dimension ref="A1:L26"/>
  <sheetViews>
    <sheetView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241</v>
      </c>
    </row>
    <row r="2" spans="1:12" ht="8.25" customHeight="1">
      <c r="L2" s="85"/>
    </row>
    <row r="3" spans="1:12" ht="15.75" customHeight="1">
      <c r="A3" s="86" t="str">
        <f>'Pg 6 WAF with CPI'!A3</f>
        <v>GP2026/001/68120/2004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335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22" t="s">
        <v>0</v>
      </c>
      <c r="B8" s="1223"/>
      <c r="C8" s="1223"/>
      <c r="D8" s="1223"/>
      <c r="E8" s="1223"/>
      <c r="F8" s="1223"/>
      <c r="G8" s="1223"/>
      <c r="H8" s="1224"/>
      <c r="I8" s="244" t="s">
        <v>1</v>
      </c>
      <c r="J8" s="244" t="s">
        <v>2</v>
      </c>
      <c r="K8" s="244" t="s">
        <v>3</v>
      </c>
      <c r="L8" s="245" t="s">
        <v>214</v>
      </c>
    </row>
    <row r="9" spans="1:12" ht="12.75" customHeight="1">
      <c r="A9" s="1225" t="s">
        <v>585</v>
      </c>
      <c r="B9" s="1226"/>
      <c r="C9" s="1226"/>
      <c r="D9" s="1226"/>
      <c r="E9" s="1226"/>
      <c r="F9" s="1226"/>
      <c r="G9" s="1226"/>
      <c r="H9" s="1227"/>
      <c r="I9" s="239"/>
      <c r="J9" s="239"/>
      <c r="K9" s="239"/>
      <c r="L9" s="240"/>
    </row>
    <row r="10" spans="1:12" ht="12.75" customHeight="1">
      <c r="A10" s="1246"/>
      <c r="B10" s="1247"/>
      <c r="C10" s="1247"/>
      <c r="D10" s="1247"/>
      <c r="E10" s="1247"/>
      <c r="F10" s="1247"/>
      <c r="G10" s="1247"/>
      <c r="H10" s="1248"/>
      <c r="I10" s="236"/>
      <c r="J10" s="236"/>
      <c r="K10" s="236"/>
      <c r="L10" s="237">
        <f>K10*J10*I10</f>
        <v>0</v>
      </c>
    </row>
    <row r="11" spans="1:12">
      <c r="A11" s="1240"/>
      <c r="B11" s="1241"/>
      <c r="C11" s="1241"/>
      <c r="D11" s="1241"/>
      <c r="E11" s="1241"/>
      <c r="F11" s="1241"/>
      <c r="G11" s="1241"/>
      <c r="H11" s="1242"/>
      <c r="I11" s="238"/>
      <c r="J11" s="238"/>
      <c r="K11" s="238"/>
      <c r="L11" s="241"/>
    </row>
    <row r="12" spans="1:12">
      <c r="A12" s="1240"/>
      <c r="B12" s="1241"/>
      <c r="C12" s="1241"/>
      <c r="D12" s="1241"/>
      <c r="E12" s="1241"/>
      <c r="F12" s="1241"/>
      <c r="G12" s="1241"/>
      <c r="H12" s="1242"/>
      <c r="I12" s="238"/>
      <c r="J12" s="238"/>
      <c r="K12" s="238"/>
      <c r="L12" s="241"/>
    </row>
    <row r="13" spans="1:12">
      <c r="A13" s="1240"/>
      <c r="B13" s="1241"/>
      <c r="C13" s="1241"/>
      <c r="D13" s="1241"/>
      <c r="E13" s="1241"/>
      <c r="F13" s="1241"/>
      <c r="G13" s="1241"/>
      <c r="H13" s="1242"/>
      <c r="I13" s="238"/>
      <c r="J13" s="238"/>
      <c r="K13" s="238"/>
      <c r="L13" s="241"/>
    </row>
    <row r="14" spans="1:12">
      <c r="A14" s="1240"/>
      <c r="B14" s="1241"/>
      <c r="C14" s="1241"/>
      <c r="D14" s="1241"/>
      <c r="E14" s="1241"/>
      <c r="F14" s="1241"/>
      <c r="G14" s="1241"/>
      <c r="H14" s="1242"/>
      <c r="I14" s="238"/>
      <c r="J14" s="238"/>
      <c r="K14" s="238"/>
      <c r="L14" s="241"/>
    </row>
    <row r="15" spans="1:12">
      <c r="A15" s="1240"/>
      <c r="B15" s="1241"/>
      <c r="C15" s="1241"/>
      <c r="D15" s="1241"/>
      <c r="E15" s="1241"/>
      <c r="F15" s="1241"/>
      <c r="G15" s="1241"/>
      <c r="H15" s="1242"/>
      <c r="I15" s="238"/>
      <c r="J15" s="238"/>
      <c r="K15" s="238"/>
      <c r="L15" s="241"/>
    </row>
    <row r="16" spans="1:12">
      <c r="A16" s="1240"/>
      <c r="B16" s="1241"/>
      <c r="C16" s="1241"/>
      <c r="D16" s="1241"/>
      <c r="E16" s="1241"/>
      <c r="F16" s="1241"/>
      <c r="G16" s="1241"/>
      <c r="H16" s="1242"/>
      <c r="I16" s="238"/>
      <c r="J16" s="238"/>
      <c r="K16" s="238"/>
      <c r="L16" s="241"/>
    </row>
    <row r="17" spans="1:12">
      <c r="A17" s="1240"/>
      <c r="B17" s="1241"/>
      <c r="C17" s="1241"/>
      <c r="D17" s="1241"/>
      <c r="E17" s="1241"/>
      <c r="F17" s="1241"/>
      <c r="G17" s="1241"/>
      <c r="H17" s="1242"/>
      <c r="I17" s="238"/>
      <c r="J17" s="238"/>
      <c r="K17" s="238"/>
      <c r="L17" s="241"/>
    </row>
    <row r="18" spans="1:12">
      <c r="A18" s="1240"/>
      <c r="B18" s="1241"/>
      <c r="C18" s="1241"/>
      <c r="D18" s="1241"/>
      <c r="E18" s="1241"/>
      <c r="F18" s="1241"/>
      <c r="G18" s="1241"/>
      <c r="H18" s="1242"/>
      <c r="I18" s="238"/>
      <c r="J18" s="238"/>
      <c r="K18" s="238"/>
      <c r="L18" s="241"/>
    </row>
    <row r="19" spans="1:12">
      <c r="A19" s="1240"/>
      <c r="B19" s="1241"/>
      <c r="C19" s="1241"/>
      <c r="D19" s="1241"/>
      <c r="E19" s="1241"/>
      <c r="F19" s="1241"/>
      <c r="G19" s="1241"/>
      <c r="H19" s="1242"/>
      <c r="I19" s="238"/>
      <c r="J19" s="238"/>
      <c r="K19" s="238"/>
      <c r="L19" s="241"/>
    </row>
    <row r="20" spans="1:12">
      <c r="A20" s="1240"/>
      <c r="B20" s="1241"/>
      <c r="C20" s="1241"/>
      <c r="D20" s="1241"/>
      <c r="E20" s="1241"/>
      <c r="F20" s="1241"/>
      <c r="G20" s="1241"/>
      <c r="H20" s="1242"/>
      <c r="I20" s="238"/>
      <c r="J20" s="238"/>
      <c r="K20" s="238"/>
      <c r="L20" s="241"/>
    </row>
    <row r="21" spans="1:12">
      <c r="A21" s="1240"/>
      <c r="B21" s="1241"/>
      <c r="C21" s="1241"/>
      <c r="D21" s="1241"/>
      <c r="E21" s="1241"/>
      <c r="F21" s="1241"/>
      <c r="G21" s="1241"/>
      <c r="H21" s="1242"/>
      <c r="I21" s="238"/>
      <c r="J21" s="238"/>
      <c r="K21" s="238"/>
      <c r="L21" s="241"/>
    </row>
    <row r="22" spans="1:12">
      <c r="A22" s="1240"/>
      <c r="B22" s="1241"/>
      <c r="C22" s="1241"/>
      <c r="D22" s="1241"/>
      <c r="E22" s="1241"/>
      <c r="F22" s="1241"/>
      <c r="G22" s="1241"/>
      <c r="H22" s="1242"/>
      <c r="I22" s="238"/>
      <c r="J22" s="238"/>
      <c r="K22" s="238"/>
      <c r="L22" s="241"/>
    </row>
    <row r="23" spans="1:12">
      <c r="A23" s="1240"/>
      <c r="B23" s="1241"/>
      <c r="C23" s="1241"/>
      <c r="D23" s="1241"/>
      <c r="E23" s="1241"/>
      <c r="F23" s="1241"/>
      <c r="G23" s="1241"/>
      <c r="H23" s="1242"/>
      <c r="I23" s="238"/>
      <c r="J23" s="238"/>
      <c r="K23" s="238"/>
      <c r="L23" s="241"/>
    </row>
    <row r="24" spans="1:12">
      <c r="A24" s="1240"/>
      <c r="B24" s="1241"/>
      <c r="C24" s="1241"/>
      <c r="D24" s="1241"/>
      <c r="E24" s="1241"/>
      <c r="F24" s="1241"/>
      <c r="G24" s="1241"/>
      <c r="H24" s="1242"/>
      <c r="I24" s="238"/>
      <c r="J24" s="238"/>
      <c r="K24" s="238"/>
      <c r="L24" s="241"/>
    </row>
    <row r="25" spans="1:12" ht="13.8" thickBot="1">
      <c r="A25" s="1240"/>
      <c r="B25" s="1241"/>
      <c r="C25" s="1241"/>
      <c r="D25" s="1241"/>
      <c r="E25" s="1241"/>
      <c r="F25" s="1241"/>
      <c r="G25" s="1241"/>
      <c r="H25" s="1242"/>
      <c r="I25" s="238"/>
      <c r="J25" s="238"/>
      <c r="K25" s="238"/>
      <c r="L25" s="241"/>
    </row>
    <row r="26" spans="1:12" ht="21" customHeight="1" thickBot="1">
      <c r="A26" s="1195" t="s">
        <v>242</v>
      </c>
      <c r="B26" s="1196"/>
      <c r="C26" s="1196"/>
      <c r="D26" s="1196"/>
      <c r="E26" s="1196"/>
      <c r="F26" s="1196"/>
      <c r="G26" s="1196"/>
      <c r="H26" s="1196"/>
      <c r="I26" s="1196"/>
      <c r="J26" s="1196"/>
      <c r="K26" s="1197"/>
      <c r="L26" s="247">
        <f>SUM(L10:L25)</f>
        <v>0</v>
      </c>
    </row>
  </sheetData>
  <mergeCells count="23">
    <mergeCell ref="A26:K26"/>
    <mergeCell ref="A25:H25"/>
    <mergeCell ref="A24:H24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4">
    <tabColor rgb="FF0070C0"/>
  </sheetPr>
  <dimension ref="A1:L26"/>
  <sheetViews>
    <sheetView topLeftCell="A4" workbookViewId="0">
      <selection activeCell="M43" sqref="M43"/>
    </sheetView>
  </sheetViews>
  <sheetFormatPr defaultRowHeight="13.2"/>
  <cols>
    <col min="1" max="2" width="9.109375" style="2"/>
    <col min="3" max="3" width="12" style="2" bestFit="1" customWidth="1"/>
    <col min="4" max="7" width="9.109375" style="2"/>
    <col min="8" max="8" width="17.33203125" style="2" customWidth="1"/>
    <col min="9" max="11" width="9.6640625" style="2" customWidth="1"/>
    <col min="12" max="12" width="15" style="2" customWidth="1"/>
    <col min="13" max="258" width="9.109375" style="2"/>
    <col min="259" max="259" width="12" style="2" bestFit="1" customWidth="1"/>
    <col min="260" max="263" width="9.109375" style="2"/>
    <col min="264" max="264" width="17.33203125" style="2" customWidth="1"/>
    <col min="265" max="267" width="9.6640625" style="2" customWidth="1"/>
    <col min="268" max="268" width="15" style="2" customWidth="1"/>
    <col min="269" max="514" width="9.109375" style="2"/>
    <col min="515" max="515" width="12" style="2" bestFit="1" customWidth="1"/>
    <col min="516" max="519" width="9.109375" style="2"/>
    <col min="520" max="520" width="17.33203125" style="2" customWidth="1"/>
    <col min="521" max="523" width="9.6640625" style="2" customWidth="1"/>
    <col min="524" max="524" width="15" style="2" customWidth="1"/>
    <col min="525" max="770" width="9.109375" style="2"/>
    <col min="771" max="771" width="12" style="2" bestFit="1" customWidth="1"/>
    <col min="772" max="775" width="9.109375" style="2"/>
    <col min="776" max="776" width="17.33203125" style="2" customWidth="1"/>
    <col min="777" max="779" width="9.6640625" style="2" customWidth="1"/>
    <col min="780" max="780" width="15" style="2" customWidth="1"/>
    <col min="781" max="1026" width="9.109375" style="2"/>
    <col min="1027" max="1027" width="12" style="2" bestFit="1" customWidth="1"/>
    <col min="1028" max="1031" width="9.109375" style="2"/>
    <col min="1032" max="1032" width="17.33203125" style="2" customWidth="1"/>
    <col min="1033" max="1035" width="9.6640625" style="2" customWidth="1"/>
    <col min="1036" max="1036" width="15" style="2" customWidth="1"/>
    <col min="1037" max="1282" width="9.109375" style="2"/>
    <col min="1283" max="1283" width="12" style="2" bestFit="1" customWidth="1"/>
    <col min="1284" max="1287" width="9.109375" style="2"/>
    <col min="1288" max="1288" width="17.33203125" style="2" customWidth="1"/>
    <col min="1289" max="1291" width="9.6640625" style="2" customWidth="1"/>
    <col min="1292" max="1292" width="15" style="2" customWidth="1"/>
    <col min="1293" max="1538" width="9.109375" style="2"/>
    <col min="1539" max="1539" width="12" style="2" bestFit="1" customWidth="1"/>
    <col min="1540" max="1543" width="9.109375" style="2"/>
    <col min="1544" max="1544" width="17.33203125" style="2" customWidth="1"/>
    <col min="1545" max="1547" width="9.6640625" style="2" customWidth="1"/>
    <col min="1548" max="1548" width="15" style="2" customWidth="1"/>
    <col min="1549" max="1794" width="9.109375" style="2"/>
    <col min="1795" max="1795" width="12" style="2" bestFit="1" customWidth="1"/>
    <col min="1796" max="1799" width="9.109375" style="2"/>
    <col min="1800" max="1800" width="17.33203125" style="2" customWidth="1"/>
    <col min="1801" max="1803" width="9.6640625" style="2" customWidth="1"/>
    <col min="1804" max="1804" width="15" style="2" customWidth="1"/>
    <col min="1805" max="2050" width="9.109375" style="2"/>
    <col min="2051" max="2051" width="12" style="2" bestFit="1" customWidth="1"/>
    <col min="2052" max="2055" width="9.109375" style="2"/>
    <col min="2056" max="2056" width="17.33203125" style="2" customWidth="1"/>
    <col min="2057" max="2059" width="9.6640625" style="2" customWidth="1"/>
    <col min="2060" max="2060" width="15" style="2" customWidth="1"/>
    <col min="2061" max="2306" width="9.109375" style="2"/>
    <col min="2307" max="2307" width="12" style="2" bestFit="1" customWidth="1"/>
    <col min="2308" max="2311" width="9.109375" style="2"/>
    <col min="2312" max="2312" width="17.33203125" style="2" customWidth="1"/>
    <col min="2313" max="2315" width="9.6640625" style="2" customWidth="1"/>
    <col min="2316" max="2316" width="15" style="2" customWidth="1"/>
    <col min="2317" max="2562" width="9.109375" style="2"/>
    <col min="2563" max="2563" width="12" style="2" bestFit="1" customWidth="1"/>
    <col min="2564" max="2567" width="9.109375" style="2"/>
    <col min="2568" max="2568" width="17.33203125" style="2" customWidth="1"/>
    <col min="2569" max="2571" width="9.6640625" style="2" customWidth="1"/>
    <col min="2572" max="2572" width="15" style="2" customWidth="1"/>
    <col min="2573" max="2818" width="9.109375" style="2"/>
    <col min="2819" max="2819" width="12" style="2" bestFit="1" customWidth="1"/>
    <col min="2820" max="2823" width="9.109375" style="2"/>
    <col min="2824" max="2824" width="17.33203125" style="2" customWidth="1"/>
    <col min="2825" max="2827" width="9.6640625" style="2" customWidth="1"/>
    <col min="2828" max="2828" width="15" style="2" customWidth="1"/>
    <col min="2829" max="3074" width="9.109375" style="2"/>
    <col min="3075" max="3075" width="12" style="2" bestFit="1" customWidth="1"/>
    <col min="3076" max="3079" width="9.109375" style="2"/>
    <col min="3080" max="3080" width="17.33203125" style="2" customWidth="1"/>
    <col min="3081" max="3083" width="9.6640625" style="2" customWidth="1"/>
    <col min="3084" max="3084" width="15" style="2" customWidth="1"/>
    <col min="3085" max="3330" width="9.109375" style="2"/>
    <col min="3331" max="3331" width="12" style="2" bestFit="1" customWidth="1"/>
    <col min="3332" max="3335" width="9.109375" style="2"/>
    <col min="3336" max="3336" width="17.33203125" style="2" customWidth="1"/>
    <col min="3337" max="3339" width="9.6640625" style="2" customWidth="1"/>
    <col min="3340" max="3340" width="15" style="2" customWidth="1"/>
    <col min="3341" max="3586" width="9.109375" style="2"/>
    <col min="3587" max="3587" width="12" style="2" bestFit="1" customWidth="1"/>
    <col min="3588" max="3591" width="9.109375" style="2"/>
    <col min="3592" max="3592" width="17.33203125" style="2" customWidth="1"/>
    <col min="3593" max="3595" width="9.6640625" style="2" customWidth="1"/>
    <col min="3596" max="3596" width="15" style="2" customWidth="1"/>
    <col min="3597" max="3842" width="9.109375" style="2"/>
    <col min="3843" max="3843" width="12" style="2" bestFit="1" customWidth="1"/>
    <col min="3844" max="3847" width="9.109375" style="2"/>
    <col min="3848" max="3848" width="17.33203125" style="2" customWidth="1"/>
    <col min="3849" max="3851" width="9.6640625" style="2" customWidth="1"/>
    <col min="3852" max="3852" width="15" style="2" customWidth="1"/>
    <col min="3853" max="4098" width="9.109375" style="2"/>
    <col min="4099" max="4099" width="12" style="2" bestFit="1" customWidth="1"/>
    <col min="4100" max="4103" width="9.109375" style="2"/>
    <col min="4104" max="4104" width="17.33203125" style="2" customWidth="1"/>
    <col min="4105" max="4107" width="9.6640625" style="2" customWidth="1"/>
    <col min="4108" max="4108" width="15" style="2" customWidth="1"/>
    <col min="4109" max="4354" width="9.109375" style="2"/>
    <col min="4355" max="4355" width="12" style="2" bestFit="1" customWidth="1"/>
    <col min="4356" max="4359" width="9.109375" style="2"/>
    <col min="4360" max="4360" width="17.33203125" style="2" customWidth="1"/>
    <col min="4361" max="4363" width="9.6640625" style="2" customWidth="1"/>
    <col min="4364" max="4364" width="15" style="2" customWidth="1"/>
    <col min="4365" max="4610" width="9.109375" style="2"/>
    <col min="4611" max="4611" width="12" style="2" bestFit="1" customWidth="1"/>
    <col min="4612" max="4615" width="9.109375" style="2"/>
    <col min="4616" max="4616" width="17.33203125" style="2" customWidth="1"/>
    <col min="4617" max="4619" width="9.6640625" style="2" customWidth="1"/>
    <col min="4620" max="4620" width="15" style="2" customWidth="1"/>
    <col min="4621" max="4866" width="9.109375" style="2"/>
    <col min="4867" max="4867" width="12" style="2" bestFit="1" customWidth="1"/>
    <col min="4868" max="4871" width="9.109375" style="2"/>
    <col min="4872" max="4872" width="17.33203125" style="2" customWidth="1"/>
    <col min="4873" max="4875" width="9.6640625" style="2" customWidth="1"/>
    <col min="4876" max="4876" width="15" style="2" customWidth="1"/>
    <col min="4877" max="5122" width="9.109375" style="2"/>
    <col min="5123" max="5123" width="12" style="2" bestFit="1" customWidth="1"/>
    <col min="5124" max="5127" width="9.109375" style="2"/>
    <col min="5128" max="5128" width="17.33203125" style="2" customWidth="1"/>
    <col min="5129" max="5131" width="9.6640625" style="2" customWidth="1"/>
    <col min="5132" max="5132" width="15" style="2" customWidth="1"/>
    <col min="5133" max="5378" width="9.109375" style="2"/>
    <col min="5379" max="5379" width="12" style="2" bestFit="1" customWidth="1"/>
    <col min="5380" max="5383" width="9.109375" style="2"/>
    <col min="5384" max="5384" width="17.33203125" style="2" customWidth="1"/>
    <col min="5385" max="5387" width="9.6640625" style="2" customWidth="1"/>
    <col min="5388" max="5388" width="15" style="2" customWidth="1"/>
    <col min="5389" max="5634" width="9.109375" style="2"/>
    <col min="5635" max="5635" width="12" style="2" bestFit="1" customWidth="1"/>
    <col min="5636" max="5639" width="9.109375" style="2"/>
    <col min="5640" max="5640" width="17.33203125" style="2" customWidth="1"/>
    <col min="5641" max="5643" width="9.6640625" style="2" customWidth="1"/>
    <col min="5644" max="5644" width="15" style="2" customWidth="1"/>
    <col min="5645" max="5890" width="9.109375" style="2"/>
    <col min="5891" max="5891" width="12" style="2" bestFit="1" customWidth="1"/>
    <col min="5892" max="5895" width="9.109375" style="2"/>
    <col min="5896" max="5896" width="17.33203125" style="2" customWidth="1"/>
    <col min="5897" max="5899" width="9.6640625" style="2" customWidth="1"/>
    <col min="5900" max="5900" width="15" style="2" customWidth="1"/>
    <col min="5901" max="6146" width="9.109375" style="2"/>
    <col min="6147" max="6147" width="12" style="2" bestFit="1" customWidth="1"/>
    <col min="6148" max="6151" width="9.109375" style="2"/>
    <col min="6152" max="6152" width="17.33203125" style="2" customWidth="1"/>
    <col min="6153" max="6155" width="9.6640625" style="2" customWidth="1"/>
    <col min="6156" max="6156" width="15" style="2" customWidth="1"/>
    <col min="6157" max="6402" width="9.109375" style="2"/>
    <col min="6403" max="6403" width="12" style="2" bestFit="1" customWidth="1"/>
    <col min="6404" max="6407" width="9.109375" style="2"/>
    <col min="6408" max="6408" width="17.33203125" style="2" customWidth="1"/>
    <col min="6409" max="6411" width="9.6640625" style="2" customWidth="1"/>
    <col min="6412" max="6412" width="15" style="2" customWidth="1"/>
    <col min="6413" max="6658" width="9.109375" style="2"/>
    <col min="6659" max="6659" width="12" style="2" bestFit="1" customWidth="1"/>
    <col min="6660" max="6663" width="9.109375" style="2"/>
    <col min="6664" max="6664" width="17.33203125" style="2" customWidth="1"/>
    <col min="6665" max="6667" width="9.6640625" style="2" customWidth="1"/>
    <col min="6668" max="6668" width="15" style="2" customWidth="1"/>
    <col min="6669" max="6914" width="9.109375" style="2"/>
    <col min="6915" max="6915" width="12" style="2" bestFit="1" customWidth="1"/>
    <col min="6916" max="6919" width="9.109375" style="2"/>
    <col min="6920" max="6920" width="17.33203125" style="2" customWidth="1"/>
    <col min="6921" max="6923" width="9.6640625" style="2" customWidth="1"/>
    <col min="6924" max="6924" width="15" style="2" customWidth="1"/>
    <col min="6925" max="7170" width="9.109375" style="2"/>
    <col min="7171" max="7171" width="12" style="2" bestFit="1" customWidth="1"/>
    <col min="7172" max="7175" width="9.109375" style="2"/>
    <col min="7176" max="7176" width="17.33203125" style="2" customWidth="1"/>
    <col min="7177" max="7179" width="9.6640625" style="2" customWidth="1"/>
    <col min="7180" max="7180" width="15" style="2" customWidth="1"/>
    <col min="7181" max="7426" width="9.109375" style="2"/>
    <col min="7427" max="7427" width="12" style="2" bestFit="1" customWidth="1"/>
    <col min="7428" max="7431" width="9.109375" style="2"/>
    <col min="7432" max="7432" width="17.33203125" style="2" customWidth="1"/>
    <col min="7433" max="7435" width="9.6640625" style="2" customWidth="1"/>
    <col min="7436" max="7436" width="15" style="2" customWidth="1"/>
    <col min="7437" max="7682" width="9.109375" style="2"/>
    <col min="7683" max="7683" width="12" style="2" bestFit="1" customWidth="1"/>
    <col min="7684" max="7687" width="9.109375" style="2"/>
    <col min="7688" max="7688" width="17.33203125" style="2" customWidth="1"/>
    <col min="7689" max="7691" width="9.6640625" style="2" customWidth="1"/>
    <col min="7692" max="7692" width="15" style="2" customWidth="1"/>
    <col min="7693" max="7938" width="9.109375" style="2"/>
    <col min="7939" max="7939" width="12" style="2" bestFit="1" customWidth="1"/>
    <col min="7940" max="7943" width="9.109375" style="2"/>
    <col min="7944" max="7944" width="17.33203125" style="2" customWidth="1"/>
    <col min="7945" max="7947" width="9.6640625" style="2" customWidth="1"/>
    <col min="7948" max="7948" width="15" style="2" customWidth="1"/>
    <col min="7949" max="8194" width="9.109375" style="2"/>
    <col min="8195" max="8195" width="12" style="2" bestFit="1" customWidth="1"/>
    <col min="8196" max="8199" width="9.109375" style="2"/>
    <col min="8200" max="8200" width="17.33203125" style="2" customWidth="1"/>
    <col min="8201" max="8203" width="9.6640625" style="2" customWidth="1"/>
    <col min="8204" max="8204" width="15" style="2" customWidth="1"/>
    <col min="8205" max="8450" width="9.109375" style="2"/>
    <col min="8451" max="8451" width="12" style="2" bestFit="1" customWidth="1"/>
    <col min="8452" max="8455" width="9.109375" style="2"/>
    <col min="8456" max="8456" width="17.33203125" style="2" customWidth="1"/>
    <col min="8457" max="8459" width="9.6640625" style="2" customWidth="1"/>
    <col min="8460" max="8460" width="15" style="2" customWidth="1"/>
    <col min="8461" max="8706" width="9.109375" style="2"/>
    <col min="8707" max="8707" width="12" style="2" bestFit="1" customWidth="1"/>
    <col min="8708" max="8711" width="9.109375" style="2"/>
    <col min="8712" max="8712" width="17.33203125" style="2" customWidth="1"/>
    <col min="8713" max="8715" width="9.6640625" style="2" customWidth="1"/>
    <col min="8716" max="8716" width="15" style="2" customWidth="1"/>
    <col min="8717" max="8962" width="9.109375" style="2"/>
    <col min="8963" max="8963" width="12" style="2" bestFit="1" customWidth="1"/>
    <col min="8964" max="8967" width="9.109375" style="2"/>
    <col min="8968" max="8968" width="17.33203125" style="2" customWidth="1"/>
    <col min="8969" max="8971" width="9.6640625" style="2" customWidth="1"/>
    <col min="8972" max="8972" width="15" style="2" customWidth="1"/>
    <col min="8973" max="9218" width="9.109375" style="2"/>
    <col min="9219" max="9219" width="12" style="2" bestFit="1" customWidth="1"/>
    <col min="9220" max="9223" width="9.109375" style="2"/>
    <col min="9224" max="9224" width="17.33203125" style="2" customWidth="1"/>
    <col min="9225" max="9227" width="9.6640625" style="2" customWidth="1"/>
    <col min="9228" max="9228" width="15" style="2" customWidth="1"/>
    <col min="9229" max="9474" width="9.109375" style="2"/>
    <col min="9475" max="9475" width="12" style="2" bestFit="1" customWidth="1"/>
    <col min="9476" max="9479" width="9.109375" style="2"/>
    <col min="9480" max="9480" width="17.33203125" style="2" customWidth="1"/>
    <col min="9481" max="9483" width="9.6640625" style="2" customWidth="1"/>
    <col min="9484" max="9484" width="15" style="2" customWidth="1"/>
    <col min="9485" max="9730" width="9.109375" style="2"/>
    <col min="9731" max="9731" width="12" style="2" bestFit="1" customWidth="1"/>
    <col min="9732" max="9735" width="9.109375" style="2"/>
    <col min="9736" max="9736" width="17.33203125" style="2" customWidth="1"/>
    <col min="9737" max="9739" width="9.6640625" style="2" customWidth="1"/>
    <col min="9740" max="9740" width="15" style="2" customWidth="1"/>
    <col min="9741" max="9986" width="9.109375" style="2"/>
    <col min="9987" max="9987" width="12" style="2" bestFit="1" customWidth="1"/>
    <col min="9988" max="9991" width="9.109375" style="2"/>
    <col min="9992" max="9992" width="17.33203125" style="2" customWidth="1"/>
    <col min="9993" max="9995" width="9.6640625" style="2" customWidth="1"/>
    <col min="9996" max="9996" width="15" style="2" customWidth="1"/>
    <col min="9997" max="10242" width="9.109375" style="2"/>
    <col min="10243" max="10243" width="12" style="2" bestFit="1" customWidth="1"/>
    <col min="10244" max="10247" width="9.109375" style="2"/>
    <col min="10248" max="10248" width="17.33203125" style="2" customWidth="1"/>
    <col min="10249" max="10251" width="9.6640625" style="2" customWidth="1"/>
    <col min="10252" max="10252" width="15" style="2" customWidth="1"/>
    <col min="10253" max="10498" width="9.109375" style="2"/>
    <col min="10499" max="10499" width="12" style="2" bestFit="1" customWidth="1"/>
    <col min="10500" max="10503" width="9.109375" style="2"/>
    <col min="10504" max="10504" width="17.33203125" style="2" customWidth="1"/>
    <col min="10505" max="10507" width="9.6640625" style="2" customWidth="1"/>
    <col min="10508" max="10508" width="15" style="2" customWidth="1"/>
    <col min="10509" max="10754" width="9.109375" style="2"/>
    <col min="10755" max="10755" width="12" style="2" bestFit="1" customWidth="1"/>
    <col min="10756" max="10759" width="9.109375" style="2"/>
    <col min="10760" max="10760" width="17.33203125" style="2" customWidth="1"/>
    <col min="10761" max="10763" width="9.6640625" style="2" customWidth="1"/>
    <col min="10764" max="10764" width="15" style="2" customWidth="1"/>
    <col min="10765" max="11010" width="9.109375" style="2"/>
    <col min="11011" max="11011" width="12" style="2" bestFit="1" customWidth="1"/>
    <col min="11012" max="11015" width="9.109375" style="2"/>
    <col min="11016" max="11016" width="17.33203125" style="2" customWidth="1"/>
    <col min="11017" max="11019" width="9.6640625" style="2" customWidth="1"/>
    <col min="11020" max="11020" width="15" style="2" customWidth="1"/>
    <col min="11021" max="11266" width="9.109375" style="2"/>
    <col min="11267" max="11267" width="12" style="2" bestFit="1" customWidth="1"/>
    <col min="11268" max="11271" width="9.109375" style="2"/>
    <col min="11272" max="11272" width="17.33203125" style="2" customWidth="1"/>
    <col min="11273" max="11275" width="9.6640625" style="2" customWidth="1"/>
    <col min="11276" max="11276" width="15" style="2" customWidth="1"/>
    <col min="11277" max="11522" width="9.109375" style="2"/>
    <col min="11523" max="11523" width="12" style="2" bestFit="1" customWidth="1"/>
    <col min="11524" max="11527" width="9.109375" style="2"/>
    <col min="11528" max="11528" width="17.33203125" style="2" customWidth="1"/>
    <col min="11529" max="11531" width="9.6640625" style="2" customWidth="1"/>
    <col min="11532" max="11532" width="15" style="2" customWidth="1"/>
    <col min="11533" max="11778" width="9.109375" style="2"/>
    <col min="11779" max="11779" width="12" style="2" bestFit="1" customWidth="1"/>
    <col min="11780" max="11783" width="9.109375" style="2"/>
    <col min="11784" max="11784" width="17.33203125" style="2" customWidth="1"/>
    <col min="11785" max="11787" width="9.6640625" style="2" customWidth="1"/>
    <col min="11788" max="11788" width="15" style="2" customWidth="1"/>
    <col min="11789" max="12034" width="9.109375" style="2"/>
    <col min="12035" max="12035" width="12" style="2" bestFit="1" customWidth="1"/>
    <col min="12036" max="12039" width="9.109375" style="2"/>
    <col min="12040" max="12040" width="17.33203125" style="2" customWidth="1"/>
    <col min="12041" max="12043" width="9.6640625" style="2" customWidth="1"/>
    <col min="12044" max="12044" width="15" style="2" customWidth="1"/>
    <col min="12045" max="12290" width="9.109375" style="2"/>
    <col min="12291" max="12291" width="12" style="2" bestFit="1" customWidth="1"/>
    <col min="12292" max="12295" width="9.109375" style="2"/>
    <col min="12296" max="12296" width="17.33203125" style="2" customWidth="1"/>
    <col min="12297" max="12299" width="9.6640625" style="2" customWidth="1"/>
    <col min="12300" max="12300" width="15" style="2" customWidth="1"/>
    <col min="12301" max="12546" width="9.109375" style="2"/>
    <col min="12547" max="12547" width="12" style="2" bestFit="1" customWidth="1"/>
    <col min="12548" max="12551" width="9.109375" style="2"/>
    <col min="12552" max="12552" width="17.33203125" style="2" customWidth="1"/>
    <col min="12553" max="12555" width="9.6640625" style="2" customWidth="1"/>
    <col min="12556" max="12556" width="15" style="2" customWidth="1"/>
    <col min="12557" max="12802" width="9.109375" style="2"/>
    <col min="12803" max="12803" width="12" style="2" bestFit="1" customWidth="1"/>
    <col min="12804" max="12807" width="9.109375" style="2"/>
    <col min="12808" max="12808" width="17.33203125" style="2" customWidth="1"/>
    <col min="12809" max="12811" width="9.6640625" style="2" customWidth="1"/>
    <col min="12812" max="12812" width="15" style="2" customWidth="1"/>
    <col min="12813" max="13058" width="9.109375" style="2"/>
    <col min="13059" max="13059" width="12" style="2" bestFit="1" customWidth="1"/>
    <col min="13060" max="13063" width="9.109375" style="2"/>
    <col min="13064" max="13064" width="17.33203125" style="2" customWidth="1"/>
    <col min="13065" max="13067" width="9.6640625" style="2" customWidth="1"/>
    <col min="13068" max="13068" width="15" style="2" customWidth="1"/>
    <col min="13069" max="13314" width="9.109375" style="2"/>
    <col min="13315" max="13315" width="12" style="2" bestFit="1" customWidth="1"/>
    <col min="13316" max="13319" width="9.109375" style="2"/>
    <col min="13320" max="13320" width="17.33203125" style="2" customWidth="1"/>
    <col min="13321" max="13323" width="9.6640625" style="2" customWidth="1"/>
    <col min="13324" max="13324" width="15" style="2" customWidth="1"/>
    <col min="13325" max="13570" width="9.109375" style="2"/>
    <col min="13571" max="13571" width="12" style="2" bestFit="1" customWidth="1"/>
    <col min="13572" max="13575" width="9.109375" style="2"/>
    <col min="13576" max="13576" width="17.33203125" style="2" customWidth="1"/>
    <col min="13577" max="13579" width="9.6640625" style="2" customWidth="1"/>
    <col min="13580" max="13580" width="15" style="2" customWidth="1"/>
    <col min="13581" max="13826" width="9.109375" style="2"/>
    <col min="13827" max="13827" width="12" style="2" bestFit="1" customWidth="1"/>
    <col min="13828" max="13831" width="9.109375" style="2"/>
    <col min="13832" max="13832" width="17.33203125" style="2" customWidth="1"/>
    <col min="13833" max="13835" width="9.6640625" style="2" customWidth="1"/>
    <col min="13836" max="13836" width="15" style="2" customWidth="1"/>
    <col min="13837" max="14082" width="9.109375" style="2"/>
    <col min="14083" max="14083" width="12" style="2" bestFit="1" customWidth="1"/>
    <col min="14084" max="14087" width="9.109375" style="2"/>
    <col min="14088" max="14088" width="17.33203125" style="2" customWidth="1"/>
    <col min="14089" max="14091" width="9.6640625" style="2" customWidth="1"/>
    <col min="14092" max="14092" width="15" style="2" customWidth="1"/>
    <col min="14093" max="14338" width="9.109375" style="2"/>
    <col min="14339" max="14339" width="12" style="2" bestFit="1" customWidth="1"/>
    <col min="14340" max="14343" width="9.109375" style="2"/>
    <col min="14344" max="14344" width="17.33203125" style="2" customWidth="1"/>
    <col min="14345" max="14347" width="9.6640625" style="2" customWidth="1"/>
    <col min="14348" max="14348" width="15" style="2" customWidth="1"/>
    <col min="14349" max="14594" width="9.109375" style="2"/>
    <col min="14595" max="14595" width="12" style="2" bestFit="1" customWidth="1"/>
    <col min="14596" max="14599" width="9.109375" style="2"/>
    <col min="14600" max="14600" width="17.33203125" style="2" customWidth="1"/>
    <col min="14601" max="14603" width="9.6640625" style="2" customWidth="1"/>
    <col min="14604" max="14604" width="15" style="2" customWidth="1"/>
    <col min="14605" max="14850" width="9.109375" style="2"/>
    <col min="14851" max="14851" width="12" style="2" bestFit="1" customWidth="1"/>
    <col min="14852" max="14855" width="9.109375" style="2"/>
    <col min="14856" max="14856" width="17.33203125" style="2" customWidth="1"/>
    <col min="14857" max="14859" width="9.6640625" style="2" customWidth="1"/>
    <col min="14860" max="14860" width="15" style="2" customWidth="1"/>
    <col min="14861" max="15106" width="9.109375" style="2"/>
    <col min="15107" max="15107" width="12" style="2" bestFit="1" customWidth="1"/>
    <col min="15108" max="15111" width="9.109375" style="2"/>
    <col min="15112" max="15112" width="17.33203125" style="2" customWidth="1"/>
    <col min="15113" max="15115" width="9.6640625" style="2" customWidth="1"/>
    <col min="15116" max="15116" width="15" style="2" customWidth="1"/>
    <col min="15117" max="15362" width="9.109375" style="2"/>
    <col min="15363" max="15363" width="12" style="2" bestFit="1" customWidth="1"/>
    <col min="15364" max="15367" width="9.109375" style="2"/>
    <col min="15368" max="15368" width="17.33203125" style="2" customWidth="1"/>
    <col min="15369" max="15371" width="9.6640625" style="2" customWidth="1"/>
    <col min="15372" max="15372" width="15" style="2" customWidth="1"/>
    <col min="15373" max="15618" width="9.109375" style="2"/>
    <col min="15619" max="15619" width="12" style="2" bestFit="1" customWidth="1"/>
    <col min="15620" max="15623" width="9.109375" style="2"/>
    <col min="15624" max="15624" width="17.33203125" style="2" customWidth="1"/>
    <col min="15625" max="15627" width="9.6640625" style="2" customWidth="1"/>
    <col min="15628" max="15628" width="15" style="2" customWidth="1"/>
    <col min="15629" max="15874" width="9.109375" style="2"/>
    <col min="15875" max="15875" width="12" style="2" bestFit="1" customWidth="1"/>
    <col min="15876" max="15879" width="9.109375" style="2"/>
    <col min="15880" max="15880" width="17.33203125" style="2" customWidth="1"/>
    <col min="15881" max="15883" width="9.6640625" style="2" customWidth="1"/>
    <col min="15884" max="15884" width="15" style="2" customWidth="1"/>
    <col min="15885" max="16130" width="9.109375" style="2"/>
    <col min="16131" max="16131" width="12" style="2" bestFit="1" customWidth="1"/>
    <col min="16132" max="16135" width="9.109375" style="2"/>
    <col min="16136" max="16136" width="17.33203125" style="2" customWidth="1"/>
    <col min="16137" max="16139" width="9.6640625" style="2" customWidth="1"/>
    <col min="16140" max="16140" width="15" style="2" customWidth="1"/>
    <col min="16141" max="16384" width="9.109375" style="2"/>
  </cols>
  <sheetData>
    <row r="1" spans="1:12" ht="15.6">
      <c r="L1" s="229" t="s">
        <v>243</v>
      </c>
    </row>
    <row r="2" spans="1:12" ht="8.25" customHeight="1">
      <c r="L2" s="85"/>
    </row>
    <row r="3" spans="1:12" ht="15.75" customHeight="1">
      <c r="A3" s="86" t="str">
        <f>'Pg 7 WAF No CPI'!A3</f>
        <v>GP2026/001/68120/2004</v>
      </c>
      <c r="B3" s="87"/>
      <c r="C3" s="230"/>
      <c r="D3" s="89"/>
      <c r="E3" s="89"/>
      <c r="F3" s="1167">
        <f>'F1  Cover'!L8</f>
        <v>46006</v>
      </c>
      <c r="G3" s="1167"/>
      <c r="H3" s="1199" t="s">
        <v>193</v>
      </c>
      <c r="I3" s="1199"/>
      <c r="J3" s="1199"/>
      <c r="K3" s="1200">
        <f>'F1  Cover'!K8</f>
        <v>1</v>
      </c>
      <c r="L3" s="1221"/>
    </row>
    <row r="4" spans="1:12" ht="15.75" customHeight="1" thickBot="1"/>
    <row r="5" spans="1:12" ht="15.75" customHeight="1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231"/>
    </row>
    <row r="6" spans="1:12" ht="15.75" customHeight="1">
      <c r="A6" s="1130" t="s">
        <v>244</v>
      </c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</row>
    <row r="7" spans="1:12" ht="15.75" customHeight="1" thickBot="1">
      <c r="A7" s="232"/>
      <c r="L7" s="233"/>
    </row>
    <row r="8" spans="1:12" ht="15.75" customHeight="1" thickBot="1">
      <c r="A8" s="1201" t="s">
        <v>0</v>
      </c>
      <c r="B8" s="1202"/>
      <c r="C8" s="1202"/>
      <c r="D8" s="1202"/>
      <c r="E8" s="1202"/>
      <c r="F8" s="1202"/>
      <c r="G8" s="1202"/>
      <c r="H8" s="1203"/>
      <c r="I8" s="234" t="s">
        <v>1</v>
      </c>
      <c r="J8" s="234" t="s">
        <v>2</v>
      </c>
      <c r="K8" s="234" t="s">
        <v>3</v>
      </c>
      <c r="L8" s="235" t="s">
        <v>214</v>
      </c>
    </row>
    <row r="9" spans="1:12" ht="12.75" customHeight="1">
      <c r="A9" s="1251" t="s">
        <v>585</v>
      </c>
      <c r="B9" s="1252"/>
      <c r="C9" s="1252"/>
      <c r="D9" s="1252"/>
      <c r="E9" s="1252"/>
      <c r="F9" s="1252"/>
      <c r="G9" s="1252"/>
      <c r="H9" s="1252"/>
      <c r="I9" s="248"/>
      <c r="J9" s="248"/>
      <c r="K9" s="248"/>
      <c r="L9" s="249"/>
    </row>
    <row r="10" spans="1:12" ht="12.75" customHeight="1">
      <c r="A10" s="1251" t="s">
        <v>245</v>
      </c>
      <c r="B10" s="1252"/>
      <c r="C10" s="1252"/>
      <c r="D10" s="1252"/>
      <c r="E10" s="1252"/>
      <c r="F10" s="1252"/>
      <c r="G10" s="1252"/>
      <c r="H10" s="1252"/>
      <c r="I10" s="248"/>
      <c r="J10" s="248"/>
      <c r="K10" s="248"/>
      <c r="L10" s="249"/>
    </row>
    <row r="11" spans="1:12">
      <c r="A11" s="1249"/>
      <c r="B11" s="1250"/>
      <c r="C11" s="1250"/>
      <c r="D11" s="1250"/>
      <c r="E11" s="1250"/>
      <c r="F11" s="1250"/>
      <c r="G11" s="1250"/>
      <c r="H11" s="1250"/>
      <c r="I11" s="238"/>
      <c r="J11" s="250"/>
      <c r="K11" s="251"/>
      <c r="L11" s="241"/>
    </row>
    <row r="12" spans="1:12">
      <c r="A12" s="1249"/>
      <c r="B12" s="1250"/>
      <c r="C12" s="1250"/>
      <c r="D12" s="1250"/>
      <c r="E12" s="1250"/>
      <c r="F12" s="1250"/>
      <c r="G12" s="1250"/>
      <c r="H12" s="1250"/>
      <c r="I12" s="238"/>
      <c r="J12" s="250"/>
      <c r="K12" s="251"/>
      <c r="L12" s="241"/>
    </row>
    <row r="13" spans="1:12">
      <c r="A13" s="1253"/>
      <c r="B13" s="1254"/>
      <c r="C13" s="1254"/>
      <c r="D13" s="1254"/>
      <c r="E13" s="1254"/>
      <c r="F13" s="1254"/>
      <c r="G13" s="1254"/>
      <c r="H13" s="1255"/>
      <c r="I13" s="238"/>
      <c r="J13" s="238"/>
      <c r="K13" s="251"/>
      <c r="L13" s="241"/>
    </row>
    <row r="14" spans="1:12">
      <c r="A14" s="1253"/>
      <c r="B14" s="1254"/>
      <c r="C14" s="1254"/>
      <c r="D14" s="1254"/>
      <c r="E14" s="1254"/>
      <c r="F14" s="1254"/>
      <c r="G14" s="1254"/>
      <c r="H14" s="1255"/>
      <c r="I14" s="238"/>
      <c r="J14" s="238"/>
      <c r="K14" s="251"/>
      <c r="L14" s="241"/>
    </row>
    <row r="15" spans="1:12">
      <c r="A15" s="1253"/>
      <c r="B15" s="1254"/>
      <c r="C15" s="1254"/>
      <c r="D15" s="1254"/>
      <c r="E15" s="1254"/>
      <c r="F15" s="1254"/>
      <c r="G15" s="1254"/>
      <c r="H15" s="1255"/>
      <c r="I15" s="238"/>
      <c r="J15" s="238"/>
      <c r="K15" s="251"/>
      <c r="L15" s="241"/>
    </row>
    <row r="16" spans="1:12">
      <c r="A16" s="1249"/>
      <c r="B16" s="1250"/>
      <c r="C16" s="1250"/>
      <c r="D16" s="1250"/>
      <c r="E16" s="1250"/>
      <c r="F16" s="1250"/>
      <c r="G16" s="1250"/>
      <c r="H16" s="1250"/>
      <c r="I16" s="238"/>
      <c r="J16" s="250"/>
      <c r="K16" s="251"/>
      <c r="L16" s="241"/>
    </row>
    <row r="17" spans="1:12">
      <c r="A17" s="1249"/>
      <c r="B17" s="1250"/>
      <c r="C17" s="1250"/>
      <c r="D17" s="1250"/>
      <c r="E17" s="1250"/>
      <c r="F17" s="1250"/>
      <c r="G17" s="1250"/>
      <c r="H17" s="1250"/>
      <c r="I17" s="238"/>
      <c r="J17" s="250"/>
      <c r="K17" s="251"/>
      <c r="L17" s="241"/>
    </row>
    <row r="18" spans="1:12">
      <c r="A18" s="1249"/>
      <c r="B18" s="1250"/>
      <c r="C18" s="1250"/>
      <c r="D18" s="1250"/>
      <c r="E18" s="1250"/>
      <c r="F18" s="1250"/>
      <c r="G18" s="1250"/>
      <c r="H18" s="1250"/>
      <c r="I18" s="238"/>
      <c r="J18" s="238"/>
      <c r="K18" s="251"/>
      <c r="L18" s="241"/>
    </row>
    <row r="19" spans="1:12">
      <c r="A19" s="1253"/>
      <c r="B19" s="1254"/>
      <c r="C19" s="1254"/>
      <c r="D19" s="1254"/>
      <c r="E19" s="1254"/>
      <c r="F19" s="1254"/>
      <c r="G19" s="1254"/>
      <c r="H19" s="1255"/>
      <c r="I19" s="238"/>
      <c r="J19" s="238"/>
      <c r="K19" s="251"/>
      <c r="L19" s="241"/>
    </row>
    <row r="20" spans="1:12">
      <c r="A20" s="1253"/>
      <c r="B20" s="1254"/>
      <c r="C20" s="1254"/>
      <c r="D20" s="1254"/>
      <c r="E20" s="1254"/>
      <c r="F20" s="1254"/>
      <c r="G20" s="1254"/>
      <c r="H20" s="1255"/>
      <c r="I20" s="238"/>
      <c r="J20" s="238"/>
      <c r="K20" s="251"/>
      <c r="L20" s="241"/>
    </row>
    <row r="21" spans="1:12">
      <c r="A21" s="1253"/>
      <c r="B21" s="1254"/>
      <c r="C21" s="1254"/>
      <c r="D21" s="1254"/>
      <c r="E21" s="1254"/>
      <c r="F21" s="1254"/>
      <c r="G21" s="1254"/>
      <c r="H21" s="1255"/>
      <c r="I21" s="238"/>
      <c r="J21" s="238"/>
      <c r="K21" s="251"/>
      <c r="L21" s="241"/>
    </row>
    <row r="22" spans="1:12">
      <c r="A22" s="1253"/>
      <c r="B22" s="1254"/>
      <c r="C22" s="1254"/>
      <c r="D22" s="1254"/>
      <c r="E22" s="1254"/>
      <c r="F22" s="1254"/>
      <c r="G22" s="1254"/>
      <c r="H22" s="1255"/>
      <c r="I22" s="238"/>
      <c r="J22" s="238"/>
      <c r="K22" s="251"/>
      <c r="L22" s="241"/>
    </row>
    <row r="23" spans="1:12">
      <c r="A23" s="1253"/>
      <c r="B23" s="1254"/>
      <c r="C23" s="1254"/>
      <c r="D23" s="1254"/>
      <c r="E23" s="1254"/>
      <c r="F23" s="1254"/>
      <c r="G23" s="1254"/>
      <c r="H23" s="1255"/>
      <c r="I23" s="238"/>
      <c r="J23" s="238"/>
      <c r="K23" s="251"/>
      <c r="L23" s="241"/>
    </row>
    <row r="24" spans="1:12">
      <c r="A24" s="1253"/>
      <c r="B24" s="1254"/>
      <c r="C24" s="1254"/>
      <c r="D24" s="1254"/>
      <c r="E24" s="1254"/>
      <c r="F24" s="1254"/>
      <c r="G24" s="1254"/>
      <c r="H24" s="1255"/>
      <c r="I24" s="238"/>
      <c r="J24" s="238"/>
      <c r="K24" s="251"/>
      <c r="L24" s="241"/>
    </row>
    <row r="25" spans="1:12" ht="13.8" thickBot="1">
      <c r="A25" s="1253"/>
      <c r="B25" s="1254"/>
      <c r="C25" s="1254"/>
      <c r="D25" s="1254"/>
      <c r="E25" s="1254"/>
      <c r="F25" s="1254"/>
      <c r="G25" s="1254"/>
      <c r="H25" s="1255"/>
      <c r="I25" s="238"/>
      <c r="J25" s="238"/>
      <c r="K25" s="251"/>
      <c r="L25" s="241"/>
    </row>
    <row r="26" spans="1:12" ht="21" customHeight="1" thickBot="1">
      <c r="A26" s="1195" t="s">
        <v>246</v>
      </c>
      <c r="B26" s="1196"/>
      <c r="C26" s="1196"/>
      <c r="D26" s="1196"/>
      <c r="E26" s="1196"/>
      <c r="F26" s="1196"/>
      <c r="G26" s="1196"/>
      <c r="H26" s="1196"/>
      <c r="I26" s="1196"/>
      <c r="J26" s="1196"/>
      <c r="K26" s="1197"/>
      <c r="L26" s="247">
        <f>SUM(L11:L25)</f>
        <v>0</v>
      </c>
    </row>
  </sheetData>
  <mergeCells count="23">
    <mergeCell ref="A26:K26"/>
    <mergeCell ref="A24:H24"/>
    <mergeCell ref="A25:H25"/>
    <mergeCell ref="A23:H23"/>
    <mergeCell ref="A17:H17"/>
    <mergeCell ref="A18:H18"/>
    <mergeCell ref="A19:H19"/>
    <mergeCell ref="A20:H20"/>
    <mergeCell ref="A21:H21"/>
    <mergeCell ref="A22:H22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5">
    <tabColor rgb="FF0070C0"/>
    <pageSetUpPr fitToPage="1"/>
  </sheetPr>
  <dimension ref="A1:U83"/>
  <sheetViews>
    <sheetView showGridLines="0" workbookViewId="0">
      <selection activeCell="M43" sqref="M43"/>
    </sheetView>
  </sheetViews>
  <sheetFormatPr defaultRowHeight="13.2"/>
  <cols>
    <col min="1" max="1" width="6.6640625" style="2" customWidth="1"/>
    <col min="2" max="2" width="9.33203125" style="2" customWidth="1"/>
    <col min="3" max="3" width="8.5546875" style="2" customWidth="1"/>
    <col min="4" max="4" width="0.109375" style="2" customWidth="1"/>
    <col min="5" max="5" width="12.6640625" style="2" customWidth="1"/>
    <col min="6" max="6" width="15.44140625" style="2" customWidth="1"/>
    <col min="7" max="7" width="13.6640625" style="2" customWidth="1"/>
    <col min="8" max="8" width="6.6640625" style="2" customWidth="1"/>
    <col min="9" max="9" width="9.33203125" style="2" customWidth="1"/>
    <col min="10" max="10" width="6.6640625" style="2" customWidth="1"/>
    <col min="11" max="11" width="3.33203125" style="2" hidden="1" customWidth="1"/>
    <col min="12" max="12" width="12.6640625" style="2" customWidth="1"/>
    <col min="13" max="13" width="14.88671875" style="2" customWidth="1"/>
    <col min="14" max="14" width="13.6640625" style="2" customWidth="1"/>
    <col min="15" max="256" width="9.109375" style="2"/>
    <col min="257" max="257" width="6.6640625" style="2" customWidth="1"/>
    <col min="258" max="258" width="9.33203125" style="2" customWidth="1"/>
    <col min="259" max="260" width="6.6640625" style="2" customWidth="1"/>
    <col min="261" max="261" width="12.6640625" style="2" customWidth="1"/>
    <col min="262" max="262" width="15.44140625" style="2" customWidth="1"/>
    <col min="263" max="263" width="13.6640625" style="2" customWidth="1"/>
    <col min="264" max="264" width="6.6640625" style="2" customWidth="1"/>
    <col min="265" max="265" width="9.33203125" style="2" customWidth="1"/>
    <col min="266" max="266" width="6.6640625" style="2" customWidth="1"/>
    <col min="267" max="267" width="3.33203125" style="2" customWidth="1"/>
    <col min="268" max="268" width="12.6640625" style="2" customWidth="1"/>
    <col min="269" max="269" width="14.88671875" style="2" customWidth="1"/>
    <col min="270" max="270" width="13.6640625" style="2" customWidth="1"/>
    <col min="271" max="512" width="9.109375" style="2"/>
    <col min="513" max="513" width="6.6640625" style="2" customWidth="1"/>
    <col min="514" max="514" width="9.33203125" style="2" customWidth="1"/>
    <col min="515" max="516" width="6.6640625" style="2" customWidth="1"/>
    <col min="517" max="517" width="12.6640625" style="2" customWidth="1"/>
    <col min="518" max="518" width="15.44140625" style="2" customWidth="1"/>
    <col min="519" max="519" width="13.6640625" style="2" customWidth="1"/>
    <col min="520" max="520" width="6.6640625" style="2" customWidth="1"/>
    <col min="521" max="521" width="9.33203125" style="2" customWidth="1"/>
    <col min="522" max="522" width="6.6640625" style="2" customWidth="1"/>
    <col min="523" max="523" width="3.33203125" style="2" customWidth="1"/>
    <col min="524" max="524" width="12.6640625" style="2" customWidth="1"/>
    <col min="525" max="525" width="14.88671875" style="2" customWidth="1"/>
    <col min="526" max="526" width="13.6640625" style="2" customWidth="1"/>
    <col min="527" max="768" width="9.109375" style="2"/>
    <col min="769" max="769" width="6.6640625" style="2" customWidth="1"/>
    <col min="770" max="770" width="9.33203125" style="2" customWidth="1"/>
    <col min="771" max="772" width="6.6640625" style="2" customWidth="1"/>
    <col min="773" max="773" width="12.6640625" style="2" customWidth="1"/>
    <col min="774" max="774" width="15.44140625" style="2" customWidth="1"/>
    <col min="775" max="775" width="13.6640625" style="2" customWidth="1"/>
    <col min="776" max="776" width="6.6640625" style="2" customWidth="1"/>
    <col min="777" max="777" width="9.33203125" style="2" customWidth="1"/>
    <col min="778" max="778" width="6.6640625" style="2" customWidth="1"/>
    <col min="779" max="779" width="3.33203125" style="2" customWidth="1"/>
    <col min="780" max="780" width="12.6640625" style="2" customWidth="1"/>
    <col min="781" max="781" width="14.88671875" style="2" customWidth="1"/>
    <col min="782" max="782" width="13.6640625" style="2" customWidth="1"/>
    <col min="783" max="1024" width="9.109375" style="2"/>
    <col min="1025" max="1025" width="6.6640625" style="2" customWidth="1"/>
    <col min="1026" max="1026" width="9.33203125" style="2" customWidth="1"/>
    <col min="1027" max="1028" width="6.6640625" style="2" customWidth="1"/>
    <col min="1029" max="1029" width="12.6640625" style="2" customWidth="1"/>
    <col min="1030" max="1030" width="15.44140625" style="2" customWidth="1"/>
    <col min="1031" max="1031" width="13.6640625" style="2" customWidth="1"/>
    <col min="1032" max="1032" width="6.6640625" style="2" customWidth="1"/>
    <col min="1033" max="1033" width="9.33203125" style="2" customWidth="1"/>
    <col min="1034" max="1034" width="6.6640625" style="2" customWidth="1"/>
    <col min="1035" max="1035" width="3.33203125" style="2" customWidth="1"/>
    <col min="1036" max="1036" width="12.6640625" style="2" customWidth="1"/>
    <col min="1037" max="1037" width="14.88671875" style="2" customWidth="1"/>
    <col min="1038" max="1038" width="13.6640625" style="2" customWidth="1"/>
    <col min="1039" max="1280" width="9.109375" style="2"/>
    <col min="1281" max="1281" width="6.6640625" style="2" customWidth="1"/>
    <col min="1282" max="1282" width="9.33203125" style="2" customWidth="1"/>
    <col min="1283" max="1284" width="6.6640625" style="2" customWidth="1"/>
    <col min="1285" max="1285" width="12.6640625" style="2" customWidth="1"/>
    <col min="1286" max="1286" width="15.44140625" style="2" customWidth="1"/>
    <col min="1287" max="1287" width="13.6640625" style="2" customWidth="1"/>
    <col min="1288" max="1288" width="6.6640625" style="2" customWidth="1"/>
    <col min="1289" max="1289" width="9.33203125" style="2" customWidth="1"/>
    <col min="1290" max="1290" width="6.6640625" style="2" customWidth="1"/>
    <col min="1291" max="1291" width="3.33203125" style="2" customWidth="1"/>
    <col min="1292" max="1292" width="12.6640625" style="2" customWidth="1"/>
    <col min="1293" max="1293" width="14.88671875" style="2" customWidth="1"/>
    <col min="1294" max="1294" width="13.6640625" style="2" customWidth="1"/>
    <col min="1295" max="1536" width="9.109375" style="2"/>
    <col min="1537" max="1537" width="6.6640625" style="2" customWidth="1"/>
    <col min="1538" max="1538" width="9.33203125" style="2" customWidth="1"/>
    <col min="1539" max="1540" width="6.6640625" style="2" customWidth="1"/>
    <col min="1541" max="1541" width="12.6640625" style="2" customWidth="1"/>
    <col min="1542" max="1542" width="15.44140625" style="2" customWidth="1"/>
    <col min="1543" max="1543" width="13.6640625" style="2" customWidth="1"/>
    <col min="1544" max="1544" width="6.6640625" style="2" customWidth="1"/>
    <col min="1545" max="1545" width="9.33203125" style="2" customWidth="1"/>
    <col min="1546" max="1546" width="6.6640625" style="2" customWidth="1"/>
    <col min="1547" max="1547" width="3.33203125" style="2" customWidth="1"/>
    <col min="1548" max="1548" width="12.6640625" style="2" customWidth="1"/>
    <col min="1549" max="1549" width="14.88671875" style="2" customWidth="1"/>
    <col min="1550" max="1550" width="13.6640625" style="2" customWidth="1"/>
    <col min="1551" max="1792" width="9.109375" style="2"/>
    <col min="1793" max="1793" width="6.6640625" style="2" customWidth="1"/>
    <col min="1794" max="1794" width="9.33203125" style="2" customWidth="1"/>
    <col min="1795" max="1796" width="6.6640625" style="2" customWidth="1"/>
    <col min="1797" max="1797" width="12.6640625" style="2" customWidth="1"/>
    <col min="1798" max="1798" width="15.44140625" style="2" customWidth="1"/>
    <col min="1799" max="1799" width="13.6640625" style="2" customWidth="1"/>
    <col min="1800" max="1800" width="6.6640625" style="2" customWidth="1"/>
    <col min="1801" max="1801" width="9.33203125" style="2" customWidth="1"/>
    <col min="1802" max="1802" width="6.6640625" style="2" customWidth="1"/>
    <col min="1803" max="1803" width="3.33203125" style="2" customWidth="1"/>
    <col min="1804" max="1804" width="12.6640625" style="2" customWidth="1"/>
    <col min="1805" max="1805" width="14.88671875" style="2" customWidth="1"/>
    <col min="1806" max="1806" width="13.6640625" style="2" customWidth="1"/>
    <col min="1807" max="2048" width="9.109375" style="2"/>
    <col min="2049" max="2049" width="6.6640625" style="2" customWidth="1"/>
    <col min="2050" max="2050" width="9.33203125" style="2" customWidth="1"/>
    <col min="2051" max="2052" width="6.6640625" style="2" customWidth="1"/>
    <col min="2053" max="2053" width="12.6640625" style="2" customWidth="1"/>
    <col min="2054" max="2054" width="15.44140625" style="2" customWidth="1"/>
    <col min="2055" max="2055" width="13.6640625" style="2" customWidth="1"/>
    <col min="2056" max="2056" width="6.6640625" style="2" customWidth="1"/>
    <col min="2057" max="2057" width="9.33203125" style="2" customWidth="1"/>
    <col min="2058" max="2058" width="6.6640625" style="2" customWidth="1"/>
    <col min="2059" max="2059" width="3.33203125" style="2" customWidth="1"/>
    <col min="2060" max="2060" width="12.6640625" style="2" customWidth="1"/>
    <col min="2061" max="2061" width="14.88671875" style="2" customWidth="1"/>
    <col min="2062" max="2062" width="13.6640625" style="2" customWidth="1"/>
    <col min="2063" max="2304" width="9.109375" style="2"/>
    <col min="2305" max="2305" width="6.6640625" style="2" customWidth="1"/>
    <col min="2306" max="2306" width="9.33203125" style="2" customWidth="1"/>
    <col min="2307" max="2308" width="6.6640625" style="2" customWidth="1"/>
    <col min="2309" max="2309" width="12.6640625" style="2" customWidth="1"/>
    <col min="2310" max="2310" width="15.44140625" style="2" customWidth="1"/>
    <col min="2311" max="2311" width="13.6640625" style="2" customWidth="1"/>
    <col min="2312" max="2312" width="6.6640625" style="2" customWidth="1"/>
    <col min="2313" max="2313" width="9.33203125" style="2" customWidth="1"/>
    <col min="2314" max="2314" width="6.6640625" style="2" customWidth="1"/>
    <col min="2315" max="2315" width="3.33203125" style="2" customWidth="1"/>
    <col min="2316" max="2316" width="12.6640625" style="2" customWidth="1"/>
    <col min="2317" max="2317" width="14.88671875" style="2" customWidth="1"/>
    <col min="2318" max="2318" width="13.6640625" style="2" customWidth="1"/>
    <col min="2319" max="2560" width="9.109375" style="2"/>
    <col min="2561" max="2561" width="6.6640625" style="2" customWidth="1"/>
    <col min="2562" max="2562" width="9.33203125" style="2" customWidth="1"/>
    <col min="2563" max="2564" width="6.6640625" style="2" customWidth="1"/>
    <col min="2565" max="2565" width="12.6640625" style="2" customWidth="1"/>
    <col min="2566" max="2566" width="15.44140625" style="2" customWidth="1"/>
    <col min="2567" max="2567" width="13.6640625" style="2" customWidth="1"/>
    <col min="2568" max="2568" width="6.6640625" style="2" customWidth="1"/>
    <col min="2569" max="2569" width="9.33203125" style="2" customWidth="1"/>
    <col min="2570" max="2570" width="6.6640625" style="2" customWidth="1"/>
    <col min="2571" max="2571" width="3.33203125" style="2" customWidth="1"/>
    <col min="2572" max="2572" width="12.6640625" style="2" customWidth="1"/>
    <col min="2573" max="2573" width="14.88671875" style="2" customWidth="1"/>
    <col min="2574" max="2574" width="13.6640625" style="2" customWidth="1"/>
    <col min="2575" max="2816" width="9.109375" style="2"/>
    <col min="2817" max="2817" width="6.6640625" style="2" customWidth="1"/>
    <col min="2818" max="2818" width="9.33203125" style="2" customWidth="1"/>
    <col min="2819" max="2820" width="6.6640625" style="2" customWidth="1"/>
    <col min="2821" max="2821" width="12.6640625" style="2" customWidth="1"/>
    <col min="2822" max="2822" width="15.44140625" style="2" customWidth="1"/>
    <col min="2823" max="2823" width="13.6640625" style="2" customWidth="1"/>
    <col min="2824" max="2824" width="6.6640625" style="2" customWidth="1"/>
    <col min="2825" max="2825" width="9.33203125" style="2" customWidth="1"/>
    <col min="2826" max="2826" width="6.6640625" style="2" customWidth="1"/>
    <col min="2827" max="2827" width="3.33203125" style="2" customWidth="1"/>
    <col min="2828" max="2828" width="12.6640625" style="2" customWidth="1"/>
    <col min="2829" max="2829" width="14.88671875" style="2" customWidth="1"/>
    <col min="2830" max="2830" width="13.6640625" style="2" customWidth="1"/>
    <col min="2831" max="3072" width="9.109375" style="2"/>
    <col min="3073" max="3073" width="6.6640625" style="2" customWidth="1"/>
    <col min="3074" max="3074" width="9.33203125" style="2" customWidth="1"/>
    <col min="3075" max="3076" width="6.6640625" style="2" customWidth="1"/>
    <col min="3077" max="3077" width="12.6640625" style="2" customWidth="1"/>
    <col min="3078" max="3078" width="15.44140625" style="2" customWidth="1"/>
    <col min="3079" max="3079" width="13.6640625" style="2" customWidth="1"/>
    <col min="3080" max="3080" width="6.6640625" style="2" customWidth="1"/>
    <col min="3081" max="3081" width="9.33203125" style="2" customWidth="1"/>
    <col min="3082" max="3082" width="6.6640625" style="2" customWidth="1"/>
    <col min="3083" max="3083" width="3.33203125" style="2" customWidth="1"/>
    <col min="3084" max="3084" width="12.6640625" style="2" customWidth="1"/>
    <col min="3085" max="3085" width="14.88671875" style="2" customWidth="1"/>
    <col min="3086" max="3086" width="13.6640625" style="2" customWidth="1"/>
    <col min="3087" max="3328" width="9.109375" style="2"/>
    <col min="3329" max="3329" width="6.6640625" style="2" customWidth="1"/>
    <col min="3330" max="3330" width="9.33203125" style="2" customWidth="1"/>
    <col min="3331" max="3332" width="6.6640625" style="2" customWidth="1"/>
    <col min="3333" max="3333" width="12.6640625" style="2" customWidth="1"/>
    <col min="3334" max="3334" width="15.44140625" style="2" customWidth="1"/>
    <col min="3335" max="3335" width="13.6640625" style="2" customWidth="1"/>
    <col min="3336" max="3336" width="6.6640625" style="2" customWidth="1"/>
    <col min="3337" max="3337" width="9.33203125" style="2" customWidth="1"/>
    <col min="3338" max="3338" width="6.6640625" style="2" customWidth="1"/>
    <col min="3339" max="3339" width="3.33203125" style="2" customWidth="1"/>
    <col min="3340" max="3340" width="12.6640625" style="2" customWidth="1"/>
    <col min="3341" max="3341" width="14.88671875" style="2" customWidth="1"/>
    <col min="3342" max="3342" width="13.6640625" style="2" customWidth="1"/>
    <col min="3343" max="3584" width="9.109375" style="2"/>
    <col min="3585" max="3585" width="6.6640625" style="2" customWidth="1"/>
    <col min="3586" max="3586" width="9.33203125" style="2" customWidth="1"/>
    <col min="3587" max="3588" width="6.6640625" style="2" customWidth="1"/>
    <col min="3589" max="3589" width="12.6640625" style="2" customWidth="1"/>
    <col min="3590" max="3590" width="15.44140625" style="2" customWidth="1"/>
    <col min="3591" max="3591" width="13.6640625" style="2" customWidth="1"/>
    <col min="3592" max="3592" width="6.6640625" style="2" customWidth="1"/>
    <col min="3593" max="3593" width="9.33203125" style="2" customWidth="1"/>
    <col min="3594" max="3594" width="6.6640625" style="2" customWidth="1"/>
    <col min="3595" max="3595" width="3.33203125" style="2" customWidth="1"/>
    <col min="3596" max="3596" width="12.6640625" style="2" customWidth="1"/>
    <col min="3597" max="3597" width="14.88671875" style="2" customWidth="1"/>
    <col min="3598" max="3598" width="13.6640625" style="2" customWidth="1"/>
    <col min="3599" max="3840" width="9.109375" style="2"/>
    <col min="3841" max="3841" width="6.6640625" style="2" customWidth="1"/>
    <col min="3842" max="3842" width="9.33203125" style="2" customWidth="1"/>
    <col min="3843" max="3844" width="6.6640625" style="2" customWidth="1"/>
    <col min="3845" max="3845" width="12.6640625" style="2" customWidth="1"/>
    <col min="3846" max="3846" width="15.44140625" style="2" customWidth="1"/>
    <col min="3847" max="3847" width="13.6640625" style="2" customWidth="1"/>
    <col min="3848" max="3848" width="6.6640625" style="2" customWidth="1"/>
    <col min="3849" max="3849" width="9.33203125" style="2" customWidth="1"/>
    <col min="3850" max="3850" width="6.6640625" style="2" customWidth="1"/>
    <col min="3851" max="3851" width="3.33203125" style="2" customWidth="1"/>
    <col min="3852" max="3852" width="12.6640625" style="2" customWidth="1"/>
    <col min="3853" max="3853" width="14.88671875" style="2" customWidth="1"/>
    <col min="3854" max="3854" width="13.6640625" style="2" customWidth="1"/>
    <col min="3855" max="4096" width="9.109375" style="2"/>
    <col min="4097" max="4097" width="6.6640625" style="2" customWidth="1"/>
    <col min="4098" max="4098" width="9.33203125" style="2" customWidth="1"/>
    <col min="4099" max="4100" width="6.6640625" style="2" customWidth="1"/>
    <col min="4101" max="4101" width="12.6640625" style="2" customWidth="1"/>
    <col min="4102" max="4102" width="15.44140625" style="2" customWidth="1"/>
    <col min="4103" max="4103" width="13.6640625" style="2" customWidth="1"/>
    <col min="4104" max="4104" width="6.6640625" style="2" customWidth="1"/>
    <col min="4105" max="4105" width="9.33203125" style="2" customWidth="1"/>
    <col min="4106" max="4106" width="6.6640625" style="2" customWidth="1"/>
    <col min="4107" max="4107" width="3.33203125" style="2" customWidth="1"/>
    <col min="4108" max="4108" width="12.6640625" style="2" customWidth="1"/>
    <col min="4109" max="4109" width="14.88671875" style="2" customWidth="1"/>
    <col min="4110" max="4110" width="13.6640625" style="2" customWidth="1"/>
    <col min="4111" max="4352" width="9.109375" style="2"/>
    <col min="4353" max="4353" width="6.6640625" style="2" customWidth="1"/>
    <col min="4354" max="4354" width="9.33203125" style="2" customWidth="1"/>
    <col min="4355" max="4356" width="6.6640625" style="2" customWidth="1"/>
    <col min="4357" max="4357" width="12.6640625" style="2" customWidth="1"/>
    <col min="4358" max="4358" width="15.44140625" style="2" customWidth="1"/>
    <col min="4359" max="4359" width="13.6640625" style="2" customWidth="1"/>
    <col min="4360" max="4360" width="6.6640625" style="2" customWidth="1"/>
    <col min="4361" max="4361" width="9.33203125" style="2" customWidth="1"/>
    <col min="4362" max="4362" width="6.6640625" style="2" customWidth="1"/>
    <col min="4363" max="4363" width="3.33203125" style="2" customWidth="1"/>
    <col min="4364" max="4364" width="12.6640625" style="2" customWidth="1"/>
    <col min="4365" max="4365" width="14.88671875" style="2" customWidth="1"/>
    <col min="4366" max="4366" width="13.6640625" style="2" customWidth="1"/>
    <col min="4367" max="4608" width="9.109375" style="2"/>
    <col min="4609" max="4609" width="6.6640625" style="2" customWidth="1"/>
    <col min="4610" max="4610" width="9.33203125" style="2" customWidth="1"/>
    <col min="4611" max="4612" width="6.6640625" style="2" customWidth="1"/>
    <col min="4613" max="4613" width="12.6640625" style="2" customWidth="1"/>
    <col min="4614" max="4614" width="15.44140625" style="2" customWidth="1"/>
    <col min="4615" max="4615" width="13.6640625" style="2" customWidth="1"/>
    <col min="4616" max="4616" width="6.6640625" style="2" customWidth="1"/>
    <col min="4617" max="4617" width="9.33203125" style="2" customWidth="1"/>
    <col min="4618" max="4618" width="6.6640625" style="2" customWidth="1"/>
    <col min="4619" max="4619" width="3.33203125" style="2" customWidth="1"/>
    <col min="4620" max="4620" width="12.6640625" style="2" customWidth="1"/>
    <col min="4621" max="4621" width="14.88671875" style="2" customWidth="1"/>
    <col min="4622" max="4622" width="13.6640625" style="2" customWidth="1"/>
    <col min="4623" max="4864" width="9.109375" style="2"/>
    <col min="4865" max="4865" width="6.6640625" style="2" customWidth="1"/>
    <col min="4866" max="4866" width="9.33203125" style="2" customWidth="1"/>
    <col min="4867" max="4868" width="6.6640625" style="2" customWidth="1"/>
    <col min="4869" max="4869" width="12.6640625" style="2" customWidth="1"/>
    <col min="4870" max="4870" width="15.44140625" style="2" customWidth="1"/>
    <col min="4871" max="4871" width="13.6640625" style="2" customWidth="1"/>
    <col min="4872" max="4872" width="6.6640625" style="2" customWidth="1"/>
    <col min="4873" max="4873" width="9.33203125" style="2" customWidth="1"/>
    <col min="4874" max="4874" width="6.6640625" style="2" customWidth="1"/>
    <col min="4875" max="4875" width="3.33203125" style="2" customWidth="1"/>
    <col min="4876" max="4876" width="12.6640625" style="2" customWidth="1"/>
    <col min="4877" max="4877" width="14.88671875" style="2" customWidth="1"/>
    <col min="4878" max="4878" width="13.6640625" style="2" customWidth="1"/>
    <col min="4879" max="5120" width="9.109375" style="2"/>
    <col min="5121" max="5121" width="6.6640625" style="2" customWidth="1"/>
    <col min="5122" max="5122" width="9.33203125" style="2" customWidth="1"/>
    <col min="5123" max="5124" width="6.6640625" style="2" customWidth="1"/>
    <col min="5125" max="5125" width="12.6640625" style="2" customWidth="1"/>
    <col min="5126" max="5126" width="15.44140625" style="2" customWidth="1"/>
    <col min="5127" max="5127" width="13.6640625" style="2" customWidth="1"/>
    <col min="5128" max="5128" width="6.6640625" style="2" customWidth="1"/>
    <col min="5129" max="5129" width="9.33203125" style="2" customWidth="1"/>
    <col min="5130" max="5130" width="6.6640625" style="2" customWidth="1"/>
    <col min="5131" max="5131" width="3.33203125" style="2" customWidth="1"/>
    <col min="5132" max="5132" width="12.6640625" style="2" customWidth="1"/>
    <col min="5133" max="5133" width="14.88671875" style="2" customWidth="1"/>
    <col min="5134" max="5134" width="13.6640625" style="2" customWidth="1"/>
    <col min="5135" max="5376" width="9.109375" style="2"/>
    <col min="5377" max="5377" width="6.6640625" style="2" customWidth="1"/>
    <col min="5378" max="5378" width="9.33203125" style="2" customWidth="1"/>
    <col min="5379" max="5380" width="6.6640625" style="2" customWidth="1"/>
    <col min="5381" max="5381" width="12.6640625" style="2" customWidth="1"/>
    <col min="5382" max="5382" width="15.44140625" style="2" customWidth="1"/>
    <col min="5383" max="5383" width="13.6640625" style="2" customWidth="1"/>
    <col min="5384" max="5384" width="6.6640625" style="2" customWidth="1"/>
    <col min="5385" max="5385" width="9.33203125" style="2" customWidth="1"/>
    <col min="5386" max="5386" width="6.6640625" style="2" customWidth="1"/>
    <col min="5387" max="5387" width="3.33203125" style="2" customWidth="1"/>
    <col min="5388" max="5388" width="12.6640625" style="2" customWidth="1"/>
    <col min="5389" max="5389" width="14.88671875" style="2" customWidth="1"/>
    <col min="5390" max="5390" width="13.6640625" style="2" customWidth="1"/>
    <col min="5391" max="5632" width="9.109375" style="2"/>
    <col min="5633" max="5633" width="6.6640625" style="2" customWidth="1"/>
    <col min="5634" max="5634" width="9.33203125" style="2" customWidth="1"/>
    <col min="5635" max="5636" width="6.6640625" style="2" customWidth="1"/>
    <col min="5637" max="5637" width="12.6640625" style="2" customWidth="1"/>
    <col min="5638" max="5638" width="15.44140625" style="2" customWidth="1"/>
    <col min="5639" max="5639" width="13.6640625" style="2" customWidth="1"/>
    <col min="5640" max="5640" width="6.6640625" style="2" customWidth="1"/>
    <col min="5641" max="5641" width="9.33203125" style="2" customWidth="1"/>
    <col min="5642" max="5642" width="6.6640625" style="2" customWidth="1"/>
    <col min="5643" max="5643" width="3.33203125" style="2" customWidth="1"/>
    <col min="5644" max="5644" width="12.6640625" style="2" customWidth="1"/>
    <col min="5645" max="5645" width="14.88671875" style="2" customWidth="1"/>
    <col min="5646" max="5646" width="13.6640625" style="2" customWidth="1"/>
    <col min="5647" max="5888" width="9.109375" style="2"/>
    <col min="5889" max="5889" width="6.6640625" style="2" customWidth="1"/>
    <col min="5890" max="5890" width="9.33203125" style="2" customWidth="1"/>
    <col min="5891" max="5892" width="6.6640625" style="2" customWidth="1"/>
    <col min="5893" max="5893" width="12.6640625" style="2" customWidth="1"/>
    <col min="5894" max="5894" width="15.44140625" style="2" customWidth="1"/>
    <col min="5895" max="5895" width="13.6640625" style="2" customWidth="1"/>
    <col min="5896" max="5896" width="6.6640625" style="2" customWidth="1"/>
    <col min="5897" max="5897" width="9.33203125" style="2" customWidth="1"/>
    <col min="5898" max="5898" width="6.6640625" style="2" customWidth="1"/>
    <col min="5899" max="5899" width="3.33203125" style="2" customWidth="1"/>
    <col min="5900" max="5900" width="12.6640625" style="2" customWidth="1"/>
    <col min="5901" max="5901" width="14.88671875" style="2" customWidth="1"/>
    <col min="5902" max="5902" width="13.6640625" style="2" customWidth="1"/>
    <col min="5903" max="6144" width="9.109375" style="2"/>
    <col min="6145" max="6145" width="6.6640625" style="2" customWidth="1"/>
    <col min="6146" max="6146" width="9.33203125" style="2" customWidth="1"/>
    <col min="6147" max="6148" width="6.6640625" style="2" customWidth="1"/>
    <col min="6149" max="6149" width="12.6640625" style="2" customWidth="1"/>
    <col min="6150" max="6150" width="15.44140625" style="2" customWidth="1"/>
    <col min="6151" max="6151" width="13.6640625" style="2" customWidth="1"/>
    <col min="6152" max="6152" width="6.6640625" style="2" customWidth="1"/>
    <col min="6153" max="6153" width="9.33203125" style="2" customWidth="1"/>
    <col min="6154" max="6154" width="6.6640625" style="2" customWidth="1"/>
    <col min="6155" max="6155" width="3.33203125" style="2" customWidth="1"/>
    <col min="6156" max="6156" width="12.6640625" style="2" customWidth="1"/>
    <col min="6157" max="6157" width="14.88671875" style="2" customWidth="1"/>
    <col min="6158" max="6158" width="13.6640625" style="2" customWidth="1"/>
    <col min="6159" max="6400" width="9.109375" style="2"/>
    <col min="6401" max="6401" width="6.6640625" style="2" customWidth="1"/>
    <col min="6402" max="6402" width="9.33203125" style="2" customWidth="1"/>
    <col min="6403" max="6404" width="6.6640625" style="2" customWidth="1"/>
    <col min="6405" max="6405" width="12.6640625" style="2" customWidth="1"/>
    <col min="6406" max="6406" width="15.44140625" style="2" customWidth="1"/>
    <col min="6407" max="6407" width="13.6640625" style="2" customWidth="1"/>
    <col min="6408" max="6408" width="6.6640625" style="2" customWidth="1"/>
    <col min="6409" max="6409" width="9.33203125" style="2" customWidth="1"/>
    <col min="6410" max="6410" width="6.6640625" style="2" customWidth="1"/>
    <col min="6411" max="6411" width="3.33203125" style="2" customWidth="1"/>
    <col min="6412" max="6412" width="12.6640625" style="2" customWidth="1"/>
    <col min="6413" max="6413" width="14.88671875" style="2" customWidth="1"/>
    <col min="6414" max="6414" width="13.6640625" style="2" customWidth="1"/>
    <col min="6415" max="6656" width="9.109375" style="2"/>
    <col min="6657" max="6657" width="6.6640625" style="2" customWidth="1"/>
    <col min="6658" max="6658" width="9.33203125" style="2" customWidth="1"/>
    <col min="6659" max="6660" width="6.6640625" style="2" customWidth="1"/>
    <col min="6661" max="6661" width="12.6640625" style="2" customWidth="1"/>
    <col min="6662" max="6662" width="15.44140625" style="2" customWidth="1"/>
    <col min="6663" max="6663" width="13.6640625" style="2" customWidth="1"/>
    <col min="6664" max="6664" width="6.6640625" style="2" customWidth="1"/>
    <col min="6665" max="6665" width="9.33203125" style="2" customWidth="1"/>
    <col min="6666" max="6666" width="6.6640625" style="2" customWidth="1"/>
    <col min="6667" max="6667" width="3.33203125" style="2" customWidth="1"/>
    <col min="6668" max="6668" width="12.6640625" style="2" customWidth="1"/>
    <col min="6669" max="6669" width="14.88671875" style="2" customWidth="1"/>
    <col min="6670" max="6670" width="13.6640625" style="2" customWidth="1"/>
    <col min="6671" max="6912" width="9.109375" style="2"/>
    <col min="6913" max="6913" width="6.6640625" style="2" customWidth="1"/>
    <col min="6914" max="6914" width="9.33203125" style="2" customWidth="1"/>
    <col min="6915" max="6916" width="6.6640625" style="2" customWidth="1"/>
    <col min="6917" max="6917" width="12.6640625" style="2" customWidth="1"/>
    <col min="6918" max="6918" width="15.44140625" style="2" customWidth="1"/>
    <col min="6919" max="6919" width="13.6640625" style="2" customWidth="1"/>
    <col min="6920" max="6920" width="6.6640625" style="2" customWidth="1"/>
    <col min="6921" max="6921" width="9.33203125" style="2" customWidth="1"/>
    <col min="6922" max="6922" width="6.6640625" style="2" customWidth="1"/>
    <col min="6923" max="6923" width="3.33203125" style="2" customWidth="1"/>
    <col min="6924" max="6924" width="12.6640625" style="2" customWidth="1"/>
    <col min="6925" max="6925" width="14.88671875" style="2" customWidth="1"/>
    <col min="6926" max="6926" width="13.6640625" style="2" customWidth="1"/>
    <col min="6927" max="7168" width="9.109375" style="2"/>
    <col min="7169" max="7169" width="6.6640625" style="2" customWidth="1"/>
    <col min="7170" max="7170" width="9.33203125" style="2" customWidth="1"/>
    <col min="7171" max="7172" width="6.6640625" style="2" customWidth="1"/>
    <col min="7173" max="7173" width="12.6640625" style="2" customWidth="1"/>
    <col min="7174" max="7174" width="15.44140625" style="2" customWidth="1"/>
    <col min="7175" max="7175" width="13.6640625" style="2" customWidth="1"/>
    <col min="7176" max="7176" width="6.6640625" style="2" customWidth="1"/>
    <col min="7177" max="7177" width="9.33203125" style="2" customWidth="1"/>
    <col min="7178" max="7178" width="6.6640625" style="2" customWidth="1"/>
    <col min="7179" max="7179" width="3.33203125" style="2" customWidth="1"/>
    <col min="7180" max="7180" width="12.6640625" style="2" customWidth="1"/>
    <col min="7181" max="7181" width="14.88671875" style="2" customWidth="1"/>
    <col min="7182" max="7182" width="13.6640625" style="2" customWidth="1"/>
    <col min="7183" max="7424" width="9.109375" style="2"/>
    <col min="7425" max="7425" width="6.6640625" style="2" customWidth="1"/>
    <col min="7426" max="7426" width="9.33203125" style="2" customWidth="1"/>
    <col min="7427" max="7428" width="6.6640625" style="2" customWidth="1"/>
    <col min="7429" max="7429" width="12.6640625" style="2" customWidth="1"/>
    <col min="7430" max="7430" width="15.44140625" style="2" customWidth="1"/>
    <col min="7431" max="7431" width="13.6640625" style="2" customWidth="1"/>
    <col min="7432" max="7432" width="6.6640625" style="2" customWidth="1"/>
    <col min="7433" max="7433" width="9.33203125" style="2" customWidth="1"/>
    <col min="7434" max="7434" width="6.6640625" style="2" customWidth="1"/>
    <col min="7435" max="7435" width="3.33203125" style="2" customWidth="1"/>
    <col min="7436" max="7436" width="12.6640625" style="2" customWidth="1"/>
    <col min="7437" max="7437" width="14.88671875" style="2" customWidth="1"/>
    <col min="7438" max="7438" width="13.6640625" style="2" customWidth="1"/>
    <col min="7439" max="7680" width="9.109375" style="2"/>
    <col min="7681" max="7681" width="6.6640625" style="2" customWidth="1"/>
    <col min="7682" max="7682" width="9.33203125" style="2" customWidth="1"/>
    <col min="7683" max="7684" width="6.6640625" style="2" customWidth="1"/>
    <col min="7685" max="7685" width="12.6640625" style="2" customWidth="1"/>
    <col min="7686" max="7686" width="15.44140625" style="2" customWidth="1"/>
    <col min="7687" max="7687" width="13.6640625" style="2" customWidth="1"/>
    <col min="7688" max="7688" width="6.6640625" style="2" customWidth="1"/>
    <col min="7689" max="7689" width="9.33203125" style="2" customWidth="1"/>
    <col min="7690" max="7690" width="6.6640625" style="2" customWidth="1"/>
    <col min="7691" max="7691" width="3.33203125" style="2" customWidth="1"/>
    <col min="7692" max="7692" width="12.6640625" style="2" customWidth="1"/>
    <col min="7693" max="7693" width="14.88671875" style="2" customWidth="1"/>
    <col min="7694" max="7694" width="13.6640625" style="2" customWidth="1"/>
    <col min="7695" max="7936" width="9.109375" style="2"/>
    <col min="7937" max="7937" width="6.6640625" style="2" customWidth="1"/>
    <col min="7938" max="7938" width="9.33203125" style="2" customWidth="1"/>
    <col min="7939" max="7940" width="6.6640625" style="2" customWidth="1"/>
    <col min="7941" max="7941" width="12.6640625" style="2" customWidth="1"/>
    <col min="7942" max="7942" width="15.44140625" style="2" customWidth="1"/>
    <col min="7943" max="7943" width="13.6640625" style="2" customWidth="1"/>
    <col min="7944" max="7944" width="6.6640625" style="2" customWidth="1"/>
    <col min="7945" max="7945" width="9.33203125" style="2" customWidth="1"/>
    <col min="7946" max="7946" width="6.6640625" style="2" customWidth="1"/>
    <col min="7947" max="7947" width="3.33203125" style="2" customWidth="1"/>
    <col min="7948" max="7948" width="12.6640625" style="2" customWidth="1"/>
    <col min="7949" max="7949" width="14.88671875" style="2" customWidth="1"/>
    <col min="7950" max="7950" width="13.6640625" style="2" customWidth="1"/>
    <col min="7951" max="8192" width="9.109375" style="2"/>
    <col min="8193" max="8193" width="6.6640625" style="2" customWidth="1"/>
    <col min="8194" max="8194" width="9.33203125" style="2" customWidth="1"/>
    <col min="8195" max="8196" width="6.6640625" style="2" customWidth="1"/>
    <col min="8197" max="8197" width="12.6640625" style="2" customWidth="1"/>
    <col min="8198" max="8198" width="15.44140625" style="2" customWidth="1"/>
    <col min="8199" max="8199" width="13.6640625" style="2" customWidth="1"/>
    <col min="8200" max="8200" width="6.6640625" style="2" customWidth="1"/>
    <col min="8201" max="8201" width="9.33203125" style="2" customWidth="1"/>
    <col min="8202" max="8202" width="6.6640625" style="2" customWidth="1"/>
    <col min="8203" max="8203" width="3.33203125" style="2" customWidth="1"/>
    <col min="8204" max="8204" width="12.6640625" style="2" customWidth="1"/>
    <col min="8205" max="8205" width="14.88671875" style="2" customWidth="1"/>
    <col min="8206" max="8206" width="13.6640625" style="2" customWidth="1"/>
    <col min="8207" max="8448" width="9.109375" style="2"/>
    <col min="8449" max="8449" width="6.6640625" style="2" customWidth="1"/>
    <col min="8450" max="8450" width="9.33203125" style="2" customWidth="1"/>
    <col min="8451" max="8452" width="6.6640625" style="2" customWidth="1"/>
    <col min="8453" max="8453" width="12.6640625" style="2" customWidth="1"/>
    <col min="8454" max="8454" width="15.44140625" style="2" customWidth="1"/>
    <col min="8455" max="8455" width="13.6640625" style="2" customWidth="1"/>
    <col min="8456" max="8456" width="6.6640625" style="2" customWidth="1"/>
    <col min="8457" max="8457" width="9.33203125" style="2" customWidth="1"/>
    <col min="8458" max="8458" width="6.6640625" style="2" customWidth="1"/>
    <col min="8459" max="8459" width="3.33203125" style="2" customWidth="1"/>
    <col min="8460" max="8460" width="12.6640625" style="2" customWidth="1"/>
    <col min="8461" max="8461" width="14.88671875" style="2" customWidth="1"/>
    <col min="8462" max="8462" width="13.6640625" style="2" customWidth="1"/>
    <col min="8463" max="8704" width="9.109375" style="2"/>
    <col min="8705" max="8705" width="6.6640625" style="2" customWidth="1"/>
    <col min="8706" max="8706" width="9.33203125" style="2" customWidth="1"/>
    <col min="8707" max="8708" width="6.6640625" style="2" customWidth="1"/>
    <col min="8709" max="8709" width="12.6640625" style="2" customWidth="1"/>
    <col min="8710" max="8710" width="15.44140625" style="2" customWidth="1"/>
    <col min="8711" max="8711" width="13.6640625" style="2" customWidth="1"/>
    <col min="8712" max="8712" width="6.6640625" style="2" customWidth="1"/>
    <col min="8713" max="8713" width="9.33203125" style="2" customWidth="1"/>
    <col min="8714" max="8714" width="6.6640625" style="2" customWidth="1"/>
    <col min="8715" max="8715" width="3.33203125" style="2" customWidth="1"/>
    <col min="8716" max="8716" width="12.6640625" style="2" customWidth="1"/>
    <col min="8717" max="8717" width="14.88671875" style="2" customWidth="1"/>
    <col min="8718" max="8718" width="13.6640625" style="2" customWidth="1"/>
    <col min="8719" max="8960" width="9.109375" style="2"/>
    <col min="8961" max="8961" width="6.6640625" style="2" customWidth="1"/>
    <col min="8962" max="8962" width="9.33203125" style="2" customWidth="1"/>
    <col min="8963" max="8964" width="6.6640625" style="2" customWidth="1"/>
    <col min="8965" max="8965" width="12.6640625" style="2" customWidth="1"/>
    <col min="8966" max="8966" width="15.44140625" style="2" customWidth="1"/>
    <col min="8967" max="8967" width="13.6640625" style="2" customWidth="1"/>
    <col min="8968" max="8968" width="6.6640625" style="2" customWidth="1"/>
    <col min="8969" max="8969" width="9.33203125" style="2" customWidth="1"/>
    <col min="8970" max="8970" width="6.6640625" style="2" customWidth="1"/>
    <col min="8971" max="8971" width="3.33203125" style="2" customWidth="1"/>
    <col min="8972" max="8972" width="12.6640625" style="2" customWidth="1"/>
    <col min="8973" max="8973" width="14.88671875" style="2" customWidth="1"/>
    <col min="8974" max="8974" width="13.6640625" style="2" customWidth="1"/>
    <col min="8975" max="9216" width="9.109375" style="2"/>
    <col min="9217" max="9217" width="6.6640625" style="2" customWidth="1"/>
    <col min="9218" max="9218" width="9.33203125" style="2" customWidth="1"/>
    <col min="9219" max="9220" width="6.6640625" style="2" customWidth="1"/>
    <col min="9221" max="9221" width="12.6640625" style="2" customWidth="1"/>
    <col min="9222" max="9222" width="15.44140625" style="2" customWidth="1"/>
    <col min="9223" max="9223" width="13.6640625" style="2" customWidth="1"/>
    <col min="9224" max="9224" width="6.6640625" style="2" customWidth="1"/>
    <col min="9225" max="9225" width="9.33203125" style="2" customWidth="1"/>
    <col min="9226" max="9226" width="6.6640625" style="2" customWidth="1"/>
    <col min="9227" max="9227" width="3.33203125" style="2" customWidth="1"/>
    <col min="9228" max="9228" width="12.6640625" style="2" customWidth="1"/>
    <col min="9229" max="9229" width="14.88671875" style="2" customWidth="1"/>
    <col min="9230" max="9230" width="13.6640625" style="2" customWidth="1"/>
    <col min="9231" max="9472" width="9.109375" style="2"/>
    <col min="9473" max="9473" width="6.6640625" style="2" customWidth="1"/>
    <col min="9474" max="9474" width="9.33203125" style="2" customWidth="1"/>
    <col min="9475" max="9476" width="6.6640625" style="2" customWidth="1"/>
    <col min="9477" max="9477" width="12.6640625" style="2" customWidth="1"/>
    <col min="9478" max="9478" width="15.44140625" style="2" customWidth="1"/>
    <col min="9479" max="9479" width="13.6640625" style="2" customWidth="1"/>
    <col min="9480" max="9480" width="6.6640625" style="2" customWidth="1"/>
    <col min="9481" max="9481" width="9.33203125" style="2" customWidth="1"/>
    <col min="9482" max="9482" width="6.6640625" style="2" customWidth="1"/>
    <col min="9483" max="9483" width="3.33203125" style="2" customWidth="1"/>
    <col min="9484" max="9484" width="12.6640625" style="2" customWidth="1"/>
    <col min="9485" max="9485" width="14.88671875" style="2" customWidth="1"/>
    <col min="9486" max="9486" width="13.6640625" style="2" customWidth="1"/>
    <col min="9487" max="9728" width="9.109375" style="2"/>
    <col min="9729" max="9729" width="6.6640625" style="2" customWidth="1"/>
    <col min="9730" max="9730" width="9.33203125" style="2" customWidth="1"/>
    <col min="9731" max="9732" width="6.6640625" style="2" customWidth="1"/>
    <col min="9733" max="9733" width="12.6640625" style="2" customWidth="1"/>
    <col min="9734" max="9734" width="15.44140625" style="2" customWidth="1"/>
    <col min="9735" max="9735" width="13.6640625" style="2" customWidth="1"/>
    <col min="9736" max="9736" width="6.6640625" style="2" customWidth="1"/>
    <col min="9737" max="9737" width="9.33203125" style="2" customWidth="1"/>
    <col min="9738" max="9738" width="6.6640625" style="2" customWidth="1"/>
    <col min="9739" max="9739" width="3.33203125" style="2" customWidth="1"/>
    <col min="9740" max="9740" width="12.6640625" style="2" customWidth="1"/>
    <col min="9741" max="9741" width="14.88671875" style="2" customWidth="1"/>
    <col min="9742" max="9742" width="13.6640625" style="2" customWidth="1"/>
    <col min="9743" max="9984" width="9.109375" style="2"/>
    <col min="9985" max="9985" width="6.6640625" style="2" customWidth="1"/>
    <col min="9986" max="9986" width="9.33203125" style="2" customWidth="1"/>
    <col min="9987" max="9988" width="6.6640625" style="2" customWidth="1"/>
    <col min="9989" max="9989" width="12.6640625" style="2" customWidth="1"/>
    <col min="9990" max="9990" width="15.44140625" style="2" customWidth="1"/>
    <col min="9991" max="9991" width="13.6640625" style="2" customWidth="1"/>
    <col min="9992" max="9992" width="6.6640625" style="2" customWidth="1"/>
    <col min="9993" max="9993" width="9.33203125" style="2" customWidth="1"/>
    <col min="9994" max="9994" width="6.6640625" style="2" customWidth="1"/>
    <col min="9995" max="9995" width="3.33203125" style="2" customWidth="1"/>
    <col min="9996" max="9996" width="12.6640625" style="2" customWidth="1"/>
    <col min="9997" max="9997" width="14.88671875" style="2" customWidth="1"/>
    <col min="9998" max="9998" width="13.6640625" style="2" customWidth="1"/>
    <col min="9999" max="10240" width="9.109375" style="2"/>
    <col min="10241" max="10241" width="6.6640625" style="2" customWidth="1"/>
    <col min="10242" max="10242" width="9.33203125" style="2" customWidth="1"/>
    <col min="10243" max="10244" width="6.6640625" style="2" customWidth="1"/>
    <col min="10245" max="10245" width="12.6640625" style="2" customWidth="1"/>
    <col min="10246" max="10246" width="15.44140625" style="2" customWidth="1"/>
    <col min="10247" max="10247" width="13.6640625" style="2" customWidth="1"/>
    <col min="10248" max="10248" width="6.6640625" style="2" customWidth="1"/>
    <col min="10249" max="10249" width="9.33203125" style="2" customWidth="1"/>
    <col min="10250" max="10250" width="6.6640625" style="2" customWidth="1"/>
    <col min="10251" max="10251" width="3.33203125" style="2" customWidth="1"/>
    <col min="10252" max="10252" width="12.6640625" style="2" customWidth="1"/>
    <col min="10253" max="10253" width="14.88671875" style="2" customWidth="1"/>
    <col min="10254" max="10254" width="13.6640625" style="2" customWidth="1"/>
    <col min="10255" max="10496" width="9.109375" style="2"/>
    <col min="10497" max="10497" width="6.6640625" style="2" customWidth="1"/>
    <col min="10498" max="10498" width="9.33203125" style="2" customWidth="1"/>
    <col min="10499" max="10500" width="6.6640625" style="2" customWidth="1"/>
    <col min="10501" max="10501" width="12.6640625" style="2" customWidth="1"/>
    <col min="10502" max="10502" width="15.44140625" style="2" customWidth="1"/>
    <col min="10503" max="10503" width="13.6640625" style="2" customWidth="1"/>
    <col min="10504" max="10504" width="6.6640625" style="2" customWidth="1"/>
    <col min="10505" max="10505" width="9.33203125" style="2" customWidth="1"/>
    <col min="10506" max="10506" width="6.6640625" style="2" customWidth="1"/>
    <col min="10507" max="10507" width="3.33203125" style="2" customWidth="1"/>
    <col min="10508" max="10508" width="12.6640625" style="2" customWidth="1"/>
    <col min="10509" max="10509" width="14.88671875" style="2" customWidth="1"/>
    <col min="10510" max="10510" width="13.6640625" style="2" customWidth="1"/>
    <col min="10511" max="10752" width="9.109375" style="2"/>
    <col min="10753" max="10753" width="6.6640625" style="2" customWidth="1"/>
    <col min="10754" max="10754" width="9.33203125" style="2" customWidth="1"/>
    <col min="10755" max="10756" width="6.6640625" style="2" customWidth="1"/>
    <col min="10757" max="10757" width="12.6640625" style="2" customWidth="1"/>
    <col min="10758" max="10758" width="15.44140625" style="2" customWidth="1"/>
    <col min="10759" max="10759" width="13.6640625" style="2" customWidth="1"/>
    <col min="10760" max="10760" width="6.6640625" style="2" customWidth="1"/>
    <col min="10761" max="10761" width="9.33203125" style="2" customWidth="1"/>
    <col min="10762" max="10762" width="6.6640625" style="2" customWidth="1"/>
    <col min="10763" max="10763" width="3.33203125" style="2" customWidth="1"/>
    <col min="10764" max="10764" width="12.6640625" style="2" customWidth="1"/>
    <col min="10765" max="10765" width="14.88671875" style="2" customWidth="1"/>
    <col min="10766" max="10766" width="13.6640625" style="2" customWidth="1"/>
    <col min="10767" max="11008" width="9.109375" style="2"/>
    <col min="11009" max="11009" width="6.6640625" style="2" customWidth="1"/>
    <col min="11010" max="11010" width="9.33203125" style="2" customWidth="1"/>
    <col min="11011" max="11012" width="6.6640625" style="2" customWidth="1"/>
    <col min="11013" max="11013" width="12.6640625" style="2" customWidth="1"/>
    <col min="11014" max="11014" width="15.44140625" style="2" customWidth="1"/>
    <col min="11015" max="11015" width="13.6640625" style="2" customWidth="1"/>
    <col min="11016" max="11016" width="6.6640625" style="2" customWidth="1"/>
    <col min="11017" max="11017" width="9.33203125" style="2" customWidth="1"/>
    <col min="11018" max="11018" width="6.6640625" style="2" customWidth="1"/>
    <col min="11019" max="11019" width="3.33203125" style="2" customWidth="1"/>
    <col min="11020" max="11020" width="12.6640625" style="2" customWidth="1"/>
    <col min="11021" max="11021" width="14.88671875" style="2" customWidth="1"/>
    <col min="11022" max="11022" width="13.6640625" style="2" customWidth="1"/>
    <col min="11023" max="11264" width="9.109375" style="2"/>
    <col min="11265" max="11265" width="6.6640625" style="2" customWidth="1"/>
    <col min="11266" max="11266" width="9.33203125" style="2" customWidth="1"/>
    <col min="11267" max="11268" width="6.6640625" style="2" customWidth="1"/>
    <col min="11269" max="11269" width="12.6640625" style="2" customWidth="1"/>
    <col min="11270" max="11270" width="15.44140625" style="2" customWidth="1"/>
    <col min="11271" max="11271" width="13.6640625" style="2" customWidth="1"/>
    <col min="11272" max="11272" width="6.6640625" style="2" customWidth="1"/>
    <col min="11273" max="11273" width="9.33203125" style="2" customWidth="1"/>
    <col min="11274" max="11274" width="6.6640625" style="2" customWidth="1"/>
    <col min="11275" max="11275" width="3.33203125" style="2" customWidth="1"/>
    <col min="11276" max="11276" width="12.6640625" style="2" customWidth="1"/>
    <col min="11277" max="11277" width="14.88671875" style="2" customWidth="1"/>
    <col min="11278" max="11278" width="13.6640625" style="2" customWidth="1"/>
    <col min="11279" max="11520" width="9.109375" style="2"/>
    <col min="11521" max="11521" width="6.6640625" style="2" customWidth="1"/>
    <col min="11522" max="11522" width="9.33203125" style="2" customWidth="1"/>
    <col min="11523" max="11524" width="6.6640625" style="2" customWidth="1"/>
    <col min="11525" max="11525" width="12.6640625" style="2" customWidth="1"/>
    <col min="11526" max="11526" width="15.44140625" style="2" customWidth="1"/>
    <col min="11527" max="11527" width="13.6640625" style="2" customWidth="1"/>
    <col min="11528" max="11528" width="6.6640625" style="2" customWidth="1"/>
    <col min="11529" max="11529" width="9.33203125" style="2" customWidth="1"/>
    <col min="11530" max="11530" width="6.6640625" style="2" customWidth="1"/>
    <col min="11531" max="11531" width="3.33203125" style="2" customWidth="1"/>
    <col min="11532" max="11532" width="12.6640625" style="2" customWidth="1"/>
    <col min="11533" max="11533" width="14.88671875" style="2" customWidth="1"/>
    <col min="11534" max="11534" width="13.6640625" style="2" customWidth="1"/>
    <col min="11535" max="11776" width="9.109375" style="2"/>
    <col min="11777" max="11777" width="6.6640625" style="2" customWidth="1"/>
    <col min="11778" max="11778" width="9.33203125" style="2" customWidth="1"/>
    <col min="11779" max="11780" width="6.6640625" style="2" customWidth="1"/>
    <col min="11781" max="11781" width="12.6640625" style="2" customWidth="1"/>
    <col min="11782" max="11782" width="15.44140625" style="2" customWidth="1"/>
    <col min="11783" max="11783" width="13.6640625" style="2" customWidth="1"/>
    <col min="11784" max="11784" width="6.6640625" style="2" customWidth="1"/>
    <col min="11785" max="11785" width="9.33203125" style="2" customWidth="1"/>
    <col min="11786" max="11786" width="6.6640625" style="2" customWidth="1"/>
    <col min="11787" max="11787" width="3.33203125" style="2" customWidth="1"/>
    <col min="11788" max="11788" width="12.6640625" style="2" customWidth="1"/>
    <col min="11789" max="11789" width="14.88671875" style="2" customWidth="1"/>
    <col min="11790" max="11790" width="13.6640625" style="2" customWidth="1"/>
    <col min="11791" max="12032" width="9.109375" style="2"/>
    <col min="12033" max="12033" width="6.6640625" style="2" customWidth="1"/>
    <col min="12034" max="12034" width="9.33203125" style="2" customWidth="1"/>
    <col min="12035" max="12036" width="6.6640625" style="2" customWidth="1"/>
    <col min="12037" max="12037" width="12.6640625" style="2" customWidth="1"/>
    <col min="12038" max="12038" width="15.44140625" style="2" customWidth="1"/>
    <col min="12039" max="12039" width="13.6640625" style="2" customWidth="1"/>
    <col min="12040" max="12040" width="6.6640625" style="2" customWidth="1"/>
    <col min="12041" max="12041" width="9.33203125" style="2" customWidth="1"/>
    <col min="12042" max="12042" width="6.6640625" style="2" customWidth="1"/>
    <col min="12043" max="12043" width="3.33203125" style="2" customWidth="1"/>
    <col min="12044" max="12044" width="12.6640625" style="2" customWidth="1"/>
    <col min="12045" max="12045" width="14.88671875" style="2" customWidth="1"/>
    <col min="12046" max="12046" width="13.6640625" style="2" customWidth="1"/>
    <col min="12047" max="12288" width="9.109375" style="2"/>
    <col min="12289" max="12289" width="6.6640625" style="2" customWidth="1"/>
    <col min="12290" max="12290" width="9.33203125" style="2" customWidth="1"/>
    <col min="12291" max="12292" width="6.6640625" style="2" customWidth="1"/>
    <col min="12293" max="12293" width="12.6640625" style="2" customWidth="1"/>
    <col min="12294" max="12294" width="15.44140625" style="2" customWidth="1"/>
    <col min="12295" max="12295" width="13.6640625" style="2" customWidth="1"/>
    <col min="12296" max="12296" width="6.6640625" style="2" customWidth="1"/>
    <col min="12297" max="12297" width="9.33203125" style="2" customWidth="1"/>
    <col min="12298" max="12298" width="6.6640625" style="2" customWidth="1"/>
    <col min="12299" max="12299" width="3.33203125" style="2" customWidth="1"/>
    <col min="12300" max="12300" width="12.6640625" style="2" customWidth="1"/>
    <col min="12301" max="12301" width="14.88671875" style="2" customWidth="1"/>
    <col min="12302" max="12302" width="13.6640625" style="2" customWidth="1"/>
    <col min="12303" max="12544" width="9.109375" style="2"/>
    <col min="12545" max="12545" width="6.6640625" style="2" customWidth="1"/>
    <col min="12546" max="12546" width="9.33203125" style="2" customWidth="1"/>
    <col min="12547" max="12548" width="6.6640625" style="2" customWidth="1"/>
    <col min="12549" max="12549" width="12.6640625" style="2" customWidth="1"/>
    <col min="12550" max="12550" width="15.44140625" style="2" customWidth="1"/>
    <col min="12551" max="12551" width="13.6640625" style="2" customWidth="1"/>
    <col min="12552" max="12552" width="6.6640625" style="2" customWidth="1"/>
    <col min="12553" max="12553" width="9.33203125" style="2" customWidth="1"/>
    <col min="12554" max="12554" width="6.6640625" style="2" customWidth="1"/>
    <col min="12555" max="12555" width="3.33203125" style="2" customWidth="1"/>
    <col min="12556" max="12556" width="12.6640625" style="2" customWidth="1"/>
    <col min="12557" max="12557" width="14.88671875" style="2" customWidth="1"/>
    <col min="12558" max="12558" width="13.6640625" style="2" customWidth="1"/>
    <col min="12559" max="12800" width="9.109375" style="2"/>
    <col min="12801" max="12801" width="6.6640625" style="2" customWidth="1"/>
    <col min="12802" max="12802" width="9.33203125" style="2" customWidth="1"/>
    <col min="12803" max="12804" width="6.6640625" style="2" customWidth="1"/>
    <col min="12805" max="12805" width="12.6640625" style="2" customWidth="1"/>
    <col min="12806" max="12806" width="15.44140625" style="2" customWidth="1"/>
    <col min="12807" max="12807" width="13.6640625" style="2" customWidth="1"/>
    <col min="12808" max="12808" width="6.6640625" style="2" customWidth="1"/>
    <col min="12809" max="12809" width="9.33203125" style="2" customWidth="1"/>
    <col min="12810" max="12810" width="6.6640625" style="2" customWidth="1"/>
    <col min="12811" max="12811" width="3.33203125" style="2" customWidth="1"/>
    <col min="12812" max="12812" width="12.6640625" style="2" customWidth="1"/>
    <col min="12813" max="12813" width="14.88671875" style="2" customWidth="1"/>
    <col min="12814" max="12814" width="13.6640625" style="2" customWidth="1"/>
    <col min="12815" max="13056" width="9.109375" style="2"/>
    <col min="13057" max="13057" width="6.6640625" style="2" customWidth="1"/>
    <col min="13058" max="13058" width="9.33203125" style="2" customWidth="1"/>
    <col min="13059" max="13060" width="6.6640625" style="2" customWidth="1"/>
    <col min="13061" max="13061" width="12.6640625" style="2" customWidth="1"/>
    <col min="13062" max="13062" width="15.44140625" style="2" customWidth="1"/>
    <col min="13063" max="13063" width="13.6640625" style="2" customWidth="1"/>
    <col min="13064" max="13064" width="6.6640625" style="2" customWidth="1"/>
    <col min="13065" max="13065" width="9.33203125" style="2" customWidth="1"/>
    <col min="13066" max="13066" width="6.6640625" style="2" customWidth="1"/>
    <col min="13067" max="13067" width="3.33203125" style="2" customWidth="1"/>
    <col min="13068" max="13068" width="12.6640625" style="2" customWidth="1"/>
    <col min="13069" max="13069" width="14.88671875" style="2" customWidth="1"/>
    <col min="13070" max="13070" width="13.6640625" style="2" customWidth="1"/>
    <col min="13071" max="13312" width="9.109375" style="2"/>
    <col min="13313" max="13313" width="6.6640625" style="2" customWidth="1"/>
    <col min="13314" max="13314" width="9.33203125" style="2" customWidth="1"/>
    <col min="13315" max="13316" width="6.6640625" style="2" customWidth="1"/>
    <col min="13317" max="13317" width="12.6640625" style="2" customWidth="1"/>
    <col min="13318" max="13318" width="15.44140625" style="2" customWidth="1"/>
    <col min="13319" max="13319" width="13.6640625" style="2" customWidth="1"/>
    <col min="13320" max="13320" width="6.6640625" style="2" customWidth="1"/>
    <col min="13321" max="13321" width="9.33203125" style="2" customWidth="1"/>
    <col min="13322" max="13322" width="6.6640625" style="2" customWidth="1"/>
    <col min="13323" max="13323" width="3.33203125" style="2" customWidth="1"/>
    <col min="13324" max="13324" width="12.6640625" style="2" customWidth="1"/>
    <col min="13325" max="13325" width="14.88671875" style="2" customWidth="1"/>
    <col min="13326" max="13326" width="13.6640625" style="2" customWidth="1"/>
    <col min="13327" max="13568" width="9.109375" style="2"/>
    <col min="13569" max="13569" width="6.6640625" style="2" customWidth="1"/>
    <col min="13570" max="13570" width="9.33203125" style="2" customWidth="1"/>
    <col min="13571" max="13572" width="6.6640625" style="2" customWidth="1"/>
    <col min="13573" max="13573" width="12.6640625" style="2" customWidth="1"/>
    <col min="13574" max="13574" width="15.44140625" style="2" customWidth="1"/>
    <col min="13575" max="13575" width="13.6640625" style="2" customWidth="1"/>
    <col min="13576" max="13576" width="6.6640625" style="2" customWidth="1"/>
    <col min="13577" max="13577" width="9.33203125" style="2" customWidth="1"/>
    <col min="13578" max="13578" width="6.6640625" style="2" customWidth="1"/>
    <col min="13579" max="13579" width="3.33203125" style="2" customWidth="1"/>
    <col min="13580" max="13580" width="12.6640625" style="2" customWidth="1"/>
    <col min="13581" max="13581" width="14.88671875" style="2" customWidth="1"/>
    <col min="13582" max="13582" width="13.6640625" style="2" customWidth="1"/>
    <col min="13583" max="13824" width="9.109375" style="2"/>
    <col min="13825" max="13825" width="6.6640625" style="2" customWidth="1"/>
    <col min="13826" max="13826" width="9.33203125" style="2" customWidth="1"/>
    <col min="13827" max="13828" width="6.6640625" style="2" customWidth="1"/>
    <col min="13829" max="13829" width="12.6640625" style="2" customWidth="1"/>
    <col min="13830" max="13830" width="15.44140625" style="2" customWidth="1"/>
    <col min="13831" max="13831" width="13.6640625" style="2" customWidth="1"/>
    <col min="13832" max="13832" width="6.6640625" style="2" customWidth="1"/>
    <col min="13833" max="13833" width="9.33203125" style="2" customWidth="1"/>
    <col min="13834" max="13834" width="6.6640625" style="2" customWidth="1"/>
    <col min="13835" max="13835" width="3.33203125" style="2" customWidth="1"/>
    <col min="13836" max="13836" width="12.6640625" style="2" customWidth="1"/>
    <col min="13837" max="13837" width="14.88671875" style="2" customWidth="1"/>
    <col min="13838" max="13838" width="13.6640625" style="2" customWidth="1"/>
    <col min="13839" max="14080" width="9.109375" style="2"/>
    <col min="14081" max="14081" width="6.6640625" style="2" customWidth="1"/>
    <col min="14082" max="14082" width="9.33203125" style="2" customWidth="1"/>
    <col min="14083" max="14084" width="6.6640625" style="2" customWidth="1"/>
    <col min="14085" max="14085" width="12.6640625" style="2" customWidth="1"/>
    <col min="14086" max="14086" width="15.44140625" style="2" customWidth="1"/>
    <col min="14087" max="14087" width="13.6640625" style="2" customWidth="1"/>
    <col min="14088" max="14088" width="6.6640625" style="2" customWidth="1"/>
    <col min="14089" max="14089" width="9.33203125" style="2" customWidth="1"/>
    <col min="14090" max="14090" width="6.6640625" style="2" customWidth="1"/>
    <col min="14091" max="14091" width="3.33203125" style="2" customWidth="1"/>
    <col min="14092" max="14092" width="12.6640625" style="2" customWidth="1"/>
    <col min="14093" max="14093" width="14.88671875" style="2" customWidth="1"/>
    <col min="14094" max="14094" width="13.6640625" style="2" customWidth="1"/>
    <col min="14095" max="14336" width="9.109375" style="2"/>
    <col min="14337" max="14337" width="6.6640625" style="2" customWidth="1"/>
    <col min="14338" max="14338" width="9.33203125" style="2" customWidth="1"/>
    <col min="14339" max="14340" width="6.6640625" style="2" customWidth="1"/>
    <col min="14341" max="14341" width="12.6640625" style="2" customWidth="1"/>
    <col min="14342" max="14342" width="15.44140625" style="2" customWidth="1"/>
    <col min="14343" max="14343" width="13.6640625" style="2" customWidth="1"/>
    <col min="14344" max="14344" width="6.6640625" style="2" customWidth="1"/>
    <col min="14345" max="14345" width="9.33203125" style="2" customWidth="1"/>
    <col min="14346" max="14346" width="6.6640625" style="2" customWidth="1"/>
    <col min="14347" max="14347" width="3.33203125" style="2" customWidth="1"/>
    <col min="14348" max="14348" width="12.6640625" style="2" customWidth="1"/>
    <col min="14349" max="14349" width="14.88671875" style="2" customWidth="1"/>
    <col min="14350" max="14350" width="13.6640625" style="2" customWidth="1"/>
    <col min="14351" max="14592" width="9.109375" style="2"/>
    <col min="14593" max="14593" width="6.6640625" style="2" customWidth="1"/>
    <col min="14594" max="14594" width="9.33203125" style="2" customWidth="1"/>
    <col min="14595" max="14596" width="6.6640625" style="2" customWidth="1"/>
    <col min="14597" max="14597" width="12.6640625" style="2" customWidth="1"/>
    <col min="14598" max="14598" width="15.44140625" style="2" customWidth="1"/>
    <col min="14599" max="14599" width="13.6640625" style="2" customWidth="1"/>
    <col min="14600" max="14600" width="6.6640625" style="2" customWidth="1"/>
    <col min="14601" max="14601" width="9.33203125" style="2" customWidth="1"/>
    <col min="14602" max="14602" width="6.6640625" style="2" customWidth="1"/>
    <col min="14603" max="14603" width="3.33203125" style="2" customWidth="1"/>
    <col min="14604" max="14604" width="12.6640625" style="2" customWidth="1"/>
    <col min="14605" max="14605" width="14.88671875" style="2" customWidth="1"/>
    <col min="14606" max="14606" width="13.6640625" style="2" customWidth="1"/>
    <col min="14607" max="14848" width="9.109375" style="2"/>
    <col min="14849" max="14849" width="6.6640625" style="2" customWidth="1"/>
    <col min="14850" max="14850" width="9.33203125" style="2" customWidth="1"/>
    <col min="14851" max="14852" width="6.6640625" style="2" customWidth="1"/>
    <col min="14853" max="14853" width="12.6640625" style="2" customWidth="1"/>
    <col min="14854" max="14854" width="15.44140625" style="2" customWidth="1"/>
    <col min="14855" max="14855" width="13.6640625" style="2" customWidth="1"/>
    <col min="14856" max="14856" width="6.6640625" style="2" customWidth="1"/>
    <col min="14857" max="14857" width="9.33203125" style="2" customWidth="1"/>
    <col min="14858" max="14858" width="6.6640625" style="2" customWidth="1"/>
    <col min="14859" max="14859" width="3.33203125" style="2" customWidth="1"/>
    <col min="14860" max="14860" width="12.6640625" style="2" customWidth="1"/>
    <col min="14861" max="14861" width="14.88671875" style="2" customWidth="1"/>
    <col min="14862" max="14862" width="13.6640625" style="2" customWidth="1"/>
    <col min="14863" max="15104" width="9.109375" style="2"/>
    <col min="15105" max="15105" width="6.6640625" style="2" customWidth="1"/>
    <col min="15106" max="15106" width="9.33203125" style="2" customWidth="1"/>
    <col min="15107" max="15108" width="6.6640625" style="2" customWidth="1"/>
    <col min="15109" max="15109" width="12.6640625" style="2" customWidth="1"/>
    <col min="15110" max="15110" width="15.44140625" style="2" customWidth="1"/>
    <col min="15111" max="15111" width="13.6640625" style="2" customWidth="1"/>
    <col min="15112" max="15112" width="6.6640625" style="2" customWidth="1"/>
    <col min="15113" max="15113" width="9.33203125" style="2" customWidth="1"/>
    <col min="15114" max="15114" width="6.6640625" style="2" customWidth="1"/>
    <col min="15115" max="15115" width="3.33203125" style="2" customWidth="1"/>
    <col min="15116" max="15116" width="12.6640625" style="2" customWidth="1"/>
    <col min="15117" max="15117" width="14.88671875" style="2" customWidth="1"/>
    <col min="15118" max="15118" width="13.6640625" style="2" customWidth="1"/>
    <col min="15119" max="15360" width="9.109375" style="2"/>
    <col min="15361" max="15361" width="6.6640625" style="2" customWidth="1"/>
    <col min="15362" max="15362" width="9.33203125" style="2" customWidth="1"/>
    <col min="15363" max="15364" width="6.6640625" style="2" customWidth="1"/>
    <col min="15365" max="15365" width="12.6640625" style="2" customWidth="1"/>
    <col min="15366" max="15366" width="15.44140625" style="2" customWidth="1"/>
    <col min="15367" max="15367" width="13.6640625" style="2" customWidth="1"/>
    <col min="15368" max="15368" width="6.6640625" style="2" customWidth="1"/>
    <col min="15369" max="15369" width="9.33203125" style="2" customWidth="1"/>
    <col min="15370" max="15370" width="6.6640625" style="2" customWidth="1"/>
    <col min="15371" max="15371" width="3.33203125" style="2" customWidth="1"/>
    <col min="15372" max="15372" width="12.6640625" style="2" customWidth="1"/>
    <col min="15373" max="15373" width="14.88671875" style="2" customWidth="1"/>
    <col min="15374" max="15374" width="13.6640625" style="2" customWidth="1"/>
    <col min="15375" max="15616" width="9.109375" style="2"/>
    <col min="15617" max="15617" width="6.6640625" style="2" customWidth="1"/>
    <col min="15618" max="15618" width="9.33203125" style="2" customWidth="1"/>
    <col min="15619" max="15620" width="6.6640625" style="2" customWidth="1"/>
    <col min="15621" max="15621" width="12.6640625" style="2" customWidth="1"/>
    <col min="15622" max="15622" width="15.44140625" style="2" customWidth="1"/>
    <col min="15623" max="15623" width="13.6640625" style="2" customWidth="1"/>
    <col min="15624" max="15624" width="6.6640625" style="2" customWidth="1"/>
    <col min="15625" max="15625" width="9.33203125" style="2" customWidth="1"/>
    <col min="15626" max="15626" width="6.6640625" style="2" customWidth="1"/>
    <col min="15627" max="15627" width="3.33203125" style="2" customWidth="1"/>
    <col min="15628" max="15628" width="12.6640625" style="2" customWidth="1"/>
    <col min="15629" max="15629" width="14.88671875" style="2" customWidth="1"/>
    <col min="15630" max="15630" width="13.6640625" style="2" customWidth="1"/>
    <col min="15631" max="15872" width="9.109375" style="2"/>
    <col min="15873" max="15873" width="6.6640625" style="2" customWidth="1"/>
    <col min="15874" max="15874" width="9.33203125" style="2" customWidth="1"/>
    <col min="15875" max="15876" width="6.6640625" style="2" customWidth="1"/>
    <col min="15877" max="15877" width="12.6640625" style="2" customWidth="1"/>
    <col min="15878" max="15878" width="15.44140625" style="2" customWidth="1"/>
    <col min="15879" max="15879" width="13.6640625" style="2" customWidth="1"/>
    <col min="15880" max="15880" width="6.6640625" style="2" customWidth="1"/>
    <col min="15881" max="15881" width="9.33203125" style="2" customWidth="1"/>
    <col min="15882" max="15882" width="6.6640625" style="2" customWidth="1"/>
    <col min="15883" max="15883" width="3.33203125" style="2" customWidth="1"/>
    <col min="15884" max="15884" width="12.6640625" style="2" customWidth="1"/>
    <col min="15885" max="15885" width="14.88671875" style="2" customWidth="1"/>
    <col min="15886" max="15886" width="13.6640625" style="2" customWidth="1"/>
    <col min="15887" max="16128" width="9.109375" style="2"/>
    <col min="16129" max="16129" width="6.6640625" style="2" customWidth="1"/>
    <col min="16130" max="16130" width="9.33203125" style="2" customWidth="1"/>
    <col min="16131" max="16132" width="6.6640625" style="2" customWidth="1"/>
    <col min="16133" max="16133" width="12.6640625" style="2" customWidth="1"/>
    <col min="16134" max="16134" width="15.44140625" style="2" customWidth="1"/>
    <col min="16135" max="16135" width="13.6640625" style="2" customWidth="1"/>
    <col min="16136" max="16136" width="6.6640625" style="2" customWidth="1"/>
    <col min="16137" max="16137" width="9.33203125" style="2" customWidth="1"/>
    <col min="16138" max="16138" width="6.6640625" style="2" customWidth="1"/>
    <col min="16139" max="16139" width="3.33203125" style="2" customWidth="1"/>
    <col min="16140" max="16140" width="12.6640625" style="2" customWidth="1"/>
    <col min="16141" max="16141" width="14.88671875" style="2" customWidth="1"/>
    <col min="16142" max="16142" width="13.6640625" style="2" customWidth="1"/>
    <col min="16143" max="16384" width="9.109375" style="2"/>
  </cols>
  <sheetData>
    <row r="1" spans="1:21" ht="15.6">
      <c r="N1" s="229" t="s">
        <v>247</v>
      </c>
    </row>
    <row r="2" spans="1:21" ht="8.25" customHeight="1">
      <c r="N2" s="95"/>
    </row>
    <row r="3" spans="1:21" ht="15.75" customHeight="1">
      <c r="A3" s="86" t="str">
        <f>'Pg 8 Penalties'!A3</f>
        <v>GP2026/001/68120/2004</v>
      </c>
      <c r="B3" s="87"/>
      <c r="C3" s="87"/>
      <c r="D3" s="252"/>
      <c r="E3" s="1120"/>
      <c r="F3" s="1120"/>
      <c r="G3" s="1167">
        <f>'F1  Cover'!L8</f>
        <v>46006</v>
      </c>
      <c r="H3" s="1167"/>
      <c r="I3" s="1199" t="s">
        <v>193</v>
      </c>
      <c r="J3" s="1199"/>
      <c r="K3" s="1199"/>
      <c r="L3" s="1199"/>
      <c r="M3" s="1122">
        <f>'F1  Cover'!K8</f>
        <v>1</v>
      </c>
      <c r="N3" s="1123"/>
    </row>
    <row r="4" spans="1:21" ht="15.75" customHeight="1" thickBot="1">
      <c r="A4" s="1256"/>
      <c r="B4" s="1256"/>
    </row>
    <row r="5" spans="1:21" ht="15.75" customHeight="1">
      <c r="A5" s="253"/>
      <c r="B5" s="254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231"/>
    </row>
    <row r="6" spans="1:21" ht="15.75" customHeight="1">
      <c r="A6" s="1124" t="s">
        <v>248</v>
      </c>
      <c r="B6" s="1125"/>
      <c r="C6" s="1125"/>
      <c r="D6" s="1125"/>
      <c r="E6" s="1125"/>
      <c r="F6" s="1125"/>
      <c r="G6" s="1125"/>
      <c r="H6" s="1125"/>
      <c r="I6" s="1125"/>
      <c r="J6" s="1125"/>
      <c r="K6" s="1125"/>
      <c r="L6" s="1125"/>
      <c r="M6" s="1125"/>
      <c r="N6" s="1126"/>
    </row>
    <row r="7" spans="1:21" ht="15.75" customHeight="1" thickBot="1">
      <c r="A7" s="232"/>
      <c r="N7" s="233"/>
    </row>
    <row r="8" spans="1:21" ht="15.75" customHeight="1">
      <c r="A8" s="184"/>
      <c r="B8" s="255" t="s">
        <v>249</v>
      </c>
      <c r="C8" s="256"/>
      <c r="D8" s="256"/>
      <c r="E8" s="185"/>
      <c r="F8" s="185"/>
      <c r="G8" s="231"/>
      <c r="H8" s="1265" t="s">
        <v>250</v>
      </c>
      <c r="I8" s="1265"/>
      <c r="J8" s="1266">
        <f>'SERVICE PROVIDER INPUT DATA'!D11-28</f>
        <v>46204</v>
      </c>
      <c r="K8" s="1266"/>
      <c r="L8" s="1266"/>
      <c r="M8" s="185"/>
      <c r="N8" s="231"/>
      <c r="R8" s="257"/>
      <c r="S8" s="83"/>
    </row>
    <row r="9" spans="1:21" ht="15.75" customHeight="1">
      <c r="A9" s="232"/>
      <c r="B9" s="258" t="s">
        <v>251</v>
      </c>
      <c r="C9" s="257"/>
      <c r="D9" s="257"/>
      <c r="F9" s="259" t="s">
        <v>252</v>
      </c>
      <c r="G9" s="233"/>
      <c r="H9" s="1256" t="s">
        <v>253</v>
      </c>
      <c r="I9" s="1256"/>
      <c r="J9" s="1267"/>
      <c r="K9" s="1267"/>
      <c r="L9" s="1267"/>
      <c r="M9" s="1267"/>
      <c r="N9" s="163"/>
      <c r="R9" s="257"/>
      <c r="S9" s="257"/>
      <c r="U9" s="83"/>
    </row>
    <row r="10" spans="1:21" ht="15.75" customHeight="1">
      <c r="A10" s="232"/>
      <c r="B10" s="258" t="s">
        <v>254</v>
      </c>
      <c r="C10" s="83"/>
      <c r="D10" s="83"/>
      <c r="F10" s="258" t="s">
        <v>255</v>
      </c>
      <c r="G10" s="233"/>
      <c r="H10" s="1268" t="s">
        <v>256</v>
      </c>
      <c r="I10" s="1268"/>
      <c r="J10" s="3">
        <v>0</v>
      </c>
      <c r="K10" s="3"/>
      <c r="L10" s="3"/>
      <c r="N10" s="233"/>
      <c r="R10" s="257"/>
      <c r="S10" s="83"/>
      <c r="U10" s="257"/>
    </row>
    <row r="11" spans="1:21" ht="15.75" customHeight="1" thickBot="1">
      <c r="A11" s="192"/>
      <c r="B11" s="193"/>
      <c r="C11" s="193"/>
      <c r="D11" s="193"/>
      <c r="E11" s="193"/>
      <c r="F11" s="193"/>
      <c r="G11" s="260"/>
      <c r="H11" s="1269" t="s">
        <v>257</v>
      </c>
      <c r="I11" s="1269"/>
      <c r="J11" s="261">
        <v>1</v>
      </c>
      <c r="K11" s="261"/>
      <c r="L11" s="261"/>
      <c r="M11" s="193" t="s">
        <v>258</v>
      </c>
      <c r="N11" s="260"/>
      <c r="R11" s="257"/>
      <c r="S11" s="83"/>
      <c r="U11" s="257"/>
    </row>
    <row r="12" spans="1:21" ht="15.75" customHeight="1" thickBot="1">
      <c r="A12" s="262" t="s">
        <v>259</v>
      </c>
      <c r="B12" s="244" t="s">
        <v>260</v>
      </c>
      <c r="C12" s="263" t="s">
        <v>261</v>
      </c>
      <c r="D12" s="264"/>
      <c r="E12" s="244" t="s">
        <v>262</v>
      </c>
      <c r="F12" s="244" t="s">
        <v>263</v>
      </c>
      <c r="G12" s="245" t="s">
        <v>264</v>
      </c>
      <c r="H12" s="264" t="s">
        <v>259</v>
      </c>
      <c r="I12" s="244" t="s">
        <v>260</v>
      </c>
      <c r="J12" s="263" t="s">
        <v>261</v>
      </c>
      <c r="K12" s="264"/>
      <c r="L12" s="244" t="s">
        <v>262</v>
      </c>
      <c r="M12" s="244" t="s">
        <v>263</v>
      </c>
      <c r="N12" s="245" t="s">
        <v>264</v>
      </c>
    </row>
    <row r="13" spans="1:21" ht="12.75" customHeight="1">
      <c r="A13" s="265"/>
      <c r="B13" s="266">
        <v>45920</v>
      </c>
      <c r="C13" s="491"/>
      <c r="D13" s="268"/>
      <c r="E13" s="269" t="s">
        <v>265</v>
      </c>
      <c r="F13" s="270"/>
      <c r="G13" s="271"/>
      <c r="H13" s="272"/>
      <c r="I13" s="272"/>
      <c r="J13" s="272"/>
      <c r="K13" s="272"/>
      <c r="L13" s="272"/>
      <c r="M13" s="272"/>
      <c r="N13" s="273"/>
    </row>
    <row r="14" spans="1:21" ht="12.75" customHeight="1">
      <c r="A14" s="654" t="s">
        <v>266</v>
      </c>
      <c r="B14" s="655"/>
      <c r="C14" s="656"/>
      <c r="D14" s="657"/>
      <c r="E14" s="658"/>
      <c r="F14" s="270"/>
      <c r="G14" s="273"/>
      <c r="H14" s="272"/>
      <c r="I14" s="272"/>
      <c r="J14" s="272"/>
      <c r="K14" s="272"/>
      <c r="L14" s="272"/>
      <c r="M14" s="272"/>
      <c r="N14" s="273"/>
    </row>
    <row r="15" spans="1:21">
      <c r="A15" s="647">
        <v>8</v>
      </c>
      <c r="B15" s="648"/>
      <c r="C15" s="649"/>
      <c r="D15" s="650"/>
      <c r="E15" s="651" t="e">
        <f t="shared" ref="E15:E26" si="0">ROUND((1-$J$10)*(($J$11*C15/C$13)-1),4)</f>
        <v>#DIV/0!</v>
      </c>
      <c r="F15" s="652"/>
      <c r="G15" s="653" t="e">
        <f t="shared" ref="G15:G47" si="1">ROUND((E15*F15),2)</f>
        <v>#DIV/0!</v>
      </c>
      <c r="H15" s="280">
        <v>19</v>
      </c>
      <c r="I15" s="721">
        <v>46538</v>
      </c>
      <c r="J15" s="276"/>
      <c r="K15" s="281"/>
      <c r="L15" s="227" t="e">
        <f t="shared" ref="L15:L45" si="2">ROUND((1-$J$10)*(($J$11*J15/C$13)-1),4)</f>
        <v>#DIV/0!</v>
      </c>
      <c r="M15" s="758"/>
      <c r="N15" s="279" t="e">
        <f t="shared" ref="N15:N46" si="3">ROUND((L15*M15),2)</f>
        <v>#DIV/0!</v>
      </c>
    </row>
    <row r="16" spans="1:21">
      <c r="A16" s="647">
        <v>9</v>
      </c>
      <c r="B16" s="648"/>
      <c r="C16" s="649"/>
      <c r="D16" s="650"/>
      <c r="E16" s="651" t="e">
        <f t="shared" si="0"/>
        <v>#DIV/0!</v>
      </c>
      <c r="F16" s="652"/>
      <c r="G16" s="653" t="e">
        <f t="shared" si="1"/>
        <v>#DIV/0!</v>
      </c>
      <c r="H16" s="280">
        <v>20</v>
      </c>
      <c r="I16" s="721">
        <v>46568</v>
      </c>
      <c r="J16" s="276"/>
      <c r="K16" s="281"/>
      <c r="L16" s="227" t="e">
        <f t="shared" si="2"/>
        <v>#DIV/0!</v>
      </c>
      <c r="M16" s="758"/>
      <c r="N16" s="279" t="e">
        <f t="shared" si="3"/>
        <v>#DIV/0!</v>
      </c>
    </row>
    <row r="17" spans="1:14">
      <c r="A17" s="647">
        <v>10</v>
      </c>
      <c r="B17" s="648"/>
      <c r="C17" s="649"/>
      <c r="D17" s="650"/>
      <c r="E17" s="651" t="e">
        <f t="shared" si="0"/>
        <v>#DIV/0!</v>
      </c>
      <c r="F17" s="652"/>
      <c r="G17" s="653" t="e">
        <f t="shared" si="1"/>
        <v>#DIV/0!</v>
      </c>
      <c r="H17" s="275">
        <v>21</v>
      </c>
      <c r="I17" s="721">
        <v>46599</v>
      </c>
      <c r="J17" s="276"/>
      <c r="K17" s="281"/>
      <c r="L17" s="227" t="e">
        <f t="shared" si="2"/>
        <v>#DIV/0!</v>
      </c>
      <c r="M17" s="758"/>
      <c r="N17" s="279" t="e">
        <f t="shared" si="3"/>
        <v>#DIV/0!</v>
      </c>
    </row>
    <row r="18" spans="1:14">
      <c r="A18" s="647">
        <v>11</v>
      </c>
      <c r="B18" s="648"/>
      <c r="C18" s="649"/>
      <c r="D18" s="650"/>
      <c r="E18" s="651" t="e">
        <f t="shared" si="0"/>
        <v>#DIV/0!</v>
      </c>
      <c r="F18" s="652"/>
      <c r="G18" s="653" t="e">
        <f t="shared" si="1"/>
        <v>#DIV/0!</v>
      </c>
      <c r="H18" s="275">
        <v>22</v>
      </c>
      <c r="I18" s="721">
        <v>46630</v>
      </c>
      <c r="J18" s="276"/>
      <c r="K18" s="281"/>
      <c r="L18" s="227" t="e">
        <f t="shared" si="2"/>
        <v>#DIV/0!</v>
      </c>
      <c r="M18" s="758"/>
      <c r="N18" s="279" t="e">
        <f t="shared" si="3"/>
        <v>#DIV/0!</v>
      </c>
    </row>
    <row r="19" spans="1:14">
      <c r="A19" s="647">
        <v>12</v>
      </c>
      <c r="B19" s="648"/>
      <c r="C19" s="649"/>
      <c r="D19" s="650"/>
      <c r="E19" s="651" t="e">
        <f t="shared" si="0"/>
        <v>#DIV/0!</v>
      </c>
      <c r="F19" s="652"/>
      <c r="G19" s="653" t="e">
        <f t="shared" si="1"/>
        <v>#DIV/0!</v>
      </c>
      <c r="H19" s="275">
        <v>23</v>
      </c>
      <c r="I19" s="721">
        <v>46660</v>
      </c>
      <c r="J19" s="276"/>
      <c r="K19" s="281"/>
      <c r="L19" s="227" t="e">
        <f t="shared" si="2"/>
        <v>#DIV/0!</v>
      </c>
      <c r="M19" s="758"/>
      <c r="N19" s="279" t="e">
        <f t="shared" si="3"/>
        <v>#DIV/0!</v>
      </c>
    </row>
    <row r="20" spans="1:14">
      <c r="A20" s="647">
        <v>13</v>
      </c>
      <c r="B20" s="648"/>
      <c r="C20" s="649"/>
      <c r="D20" s="650"/>
      <c r="E20" s="651" t="e">
        <f t="shared" si="0"/>
        <v>#DIV/0!</v>
      </c>
      <c r="F20" s="652"/>
      <c r="G20" s="653" t="e">
        <f t="shared" si="1"/>
        <v>#DIV/0!</v>
      </c>
      <c r="H20" s="275">
        <v>24</v>
      </c>
      <c r="I20" s="721">
        <v>46691</v>
      </c>
      <c r="J20" s="276"/>
      <c r="K20" s="281"/>
      <c r="L20" s="227" t="e">
        <f t="shared" si="2"/>
        <v>#DIV/0!</v>
      </c>
      <c r="M20" s="758"/>
      <c r="N20" s="279" t="e">
        <f t="shared" si="3"/>
        <v>#DIV/0!</v>
      </c>
    </row>
    <row r="21" spans="1:14">
      <c r="A21" s="647">
        <v>14</v>
      </c>
      <c r="B21" s="648"/>
      <c r="C21" s="649"/>
      <c r="D21" s="650"/>
      <c r="E21" s="651" t="e">
        <f t="shared" si="0"/>
        <v>#DIV/0!</v>
      </c>
      <c r="F21" s="652"/>
      <c r="G21" s="653" t="e">
        <f t="shared" si="1"/>
        <v>#DIV/0!</v>
      </c>
      <c r="H21" s="275">
        <v>25</v>
      </c>
      <c r="I21" s="721">
        <v>46721</v>
      </c>
      <c r="J21" s="276"/>
      <c r="K21" s="281"/>
      <c r="L21" s="227" t="e">
        <f t="shared" si="2"/>
        <v>#DIV/0!</v>
      </c>
      <c r="M21" s="758"/>
      <c r="N21" s="279" t="e">
        <f t="shared" si="3"/>
        <v>#DIV/0!</v>
      </c>
    </row>
    <row r="22" spans="1:14">
      <c r="A22" s="647">
        <v>15</v>
      </c>
      <c r="B22" s="648"/>
      <c r="C22" s="649"/>
      <c r="D22" s="650"/>
      <c r="E22" s="651" t="e">
        <f t="shared" si="0"/>
        <v>#DIV/0!</v>
      </c>
      <c r="F22" s="652"/>
      <c r="G22" s="653" t="e">
        <f t="shared" si="1"/>
        <v>#DIV/0!</v>
      </c>
      <c r="H22" s="275">
        <v>26</v>
      </c>
      <c r="I22" s="721">
        <v>46752</v>
      </c>
      <c r="J22" s="276"/>
      <c r="K22" s="281"/>
      <c r="L22" s="227" t="e">
        <f t="shared" si="2"/>
        <v>#DIV/0!</v>
      </c>
      <c r="M22" s="758"/>
      <c r="N22" s="279" t="e">
        <f t="shared" si="3"/>
        <v>#DIV/0!</v>
      </c>
    </row>
    <row r="23" spans="1:14">
      <c r="A23" s="647">
        <v>16</v>
      </c>
      <c r="B23" s="648"/>
      <c r="C23" s="649"/>
      <c r="D23" s="650"/>
      <c r="E23" s="651" t="e">
        <f t="shared" si="0"/>
        <v>#DIV/0!</v>
      </c>
      <c r="F23" s="652"/>
      <c r="G23" s="653" t="e">
        <f t="shared" si="1"/>
        <v>#DIV/0!</v>
      </c>
      <c r="H23" s="280">
        <v>27</v>
      </c>
      <c r="I23" s="721">
        <v>46783</v>
      </c>
      <c r="J23" s="276"/>
      <c r="K23" s="281"/>
      <c r="L23" s="227" t="e">
        <f t="shared" si="2"/>
        <v>#DIV/0!</v>
      </c>
      <c r="M23" s="758"/>
      <c r="N23" s="279" t="e">
        <f t="shared" si="3"/>
        <v>#DIV/0!</v>
      </c>
    </row>
    <row r="24" spans="1:14">
      <c r="A24" s="647">
        <v>17</v>
      </c>
      <c r="B24" s="648"/>
      <c r="C24" s="649"/>
      <c r="D24" s="650"/>
      <c r="E24" s="651" t="e">
        <f t="shared" si="0"/>
        <v>#DIV/0!</v>
      </c>
      <c r="F24" s="652"/>
      <c r="G24" s="653" t="e">
        <f t="shared" si="1"/>
        <v>#DIV/0!</v>
      </c>
      <c r="H24" s="280">
        <v>28</v>
      </c>
      <c r="I24" s="721">
        <v>46812</v>
      </c>
      <c r="J24" s="276"/>
      <c r="K24" s="281"/>
      <c r="L24" s="227" t="e">
        <f t="shared" si="2"/>
        <v>#DIV/0!</v>
      </c>
      <c r="M24" s="758"/>
      <c r="N24" s="279" t="e">
        <f t="shared" si="3"/>
        <v>#DIV/0!</v>
      </c>
    </row>
    <row r="25" spans="1:14">
      <c r="A25" s="647">
        <v>18</v>
      </c>
      <c r="B25" s="648"/>
      <c r="C25" s="649"/>
      <c r="D25" s="650"/>
      <c r="E25" s="651" t="e">
        <f t="shared" si="0"/>
        <v>#DIV/0!</v>
      </c>
      <c r="F25" s="652"/>
      <c r="G25" s="653" t="e">
        <f t="shared" si="1"/>
        <v>#DIV/0!</v>
      </c>
      <c r="H25" s="280">
        <v>29</v>
      </c>
      <c r="I25" s="721">
        <v>46843</v>
      </c>
      <c r="J25" s="276"/>
      <c r="K25" s="281"/>
      <c r="L25" s="227" t="e">
        <f t="shared" si="2"/>
        <v>#DIV/0!</v>
      </c>
      <c r="M25" s="758"/>
      <c r="N25" s="279" t="e">
        <f t="shared" si="3"/>
        <v>#DIV/0!</v>
      </c>
    </row>
    <row r="26" spans="1:14">
      <c r="A26" s="647">
        <v>19</v>
      </c>
      <c r="B26" s="648"/>
      <c r="C26" s="649"/>
      <c r="D26" s="650"/>
      <c r="E26" s="651" t="e">
        <f t="shared" si="0"/>
        <v>#DIV/0!</v>
      </c>
      <c r="F26" s="652"/>
      <c r="G26" s="653" t="e">
        <f t="shared" si="1"/>
        <v>#DIV/0!</v>
      </c>
      <c r="H26" s="280">
        <v>30</v>
      </c>
      <c r="I26" s="721">
        <v>46873</v>
      </c>
      <c r="J26" s="276"/>
      <c r="K26" s="281"/>
      <c r="L26" s="227" t="e">
        <f t="shared" si="2"/>
        <v>#DIV/0!</v>
      </c>
      <c r="M26" s="758"/>
      <c r="N26" s="279" t="e">
        <f t="shared" si="3"/>
        <v>#DIV/0!</v>
      </c>
    </row>
    <row r="27" spans="1:14" ht="13.8" thickBot="1">
      <c r="A27" s="659"/>
      <c r="B27" s="660"/>
      <c r="C27" s="661"/>
      <c r="D27" s="662"/>
      <c r="E27" s="663"/>
      <c r="F27" s="664"/>
      <c r="G27" s="665"/>
      <c r="H27" s="280">
        <v>31</v>
      </c>
      <c r="I27" s="721">
        <v>46904</v>
      </c>
      <c r="J27" s="276"/>
      <c r="K27" s="281"/>
      <c r="L27" s="227" t="e">
        <f t="shared" si="2"/>
        <v>#DIV/0!</v>
      </c>
      <c r="M27" s="278"/>
      <c r="N27" s="279" t="e">
        <f t="shared" si="3"/>
        <v>#DIV/0!</v>
      </c>
    </row>
    <row r="28" spans="1:14" ht="13.8" thickBot="1">
      <c r="A28" s="1257" t="s">
        <v>268</v>
      </c>
      <c r="B28" s="1258"/>
      <c r="C28" s="1258"/>
      <c r="D28" s="1258"/>
      <c r="E28" s="1259"/>
      <c r="F28" s="666">
        <f>SUM(F15:F26)</f>
        <v>0</v>
      </c>
      <c r="G28" s="667">
        <f>IF(F28=0,0,(SUM(G15:G26)))</f>
        <v>0</v>
      </c>
      <c r="H28" s="280">
        <v>32</v>
      </c>
      <c r="I28" s="721">
        <v>46934</v>
      </c>
      <c r="J28" s="276"/>
      <c r="K28" s="281"/>
      <c r="L28" s="227" t="e">
        <f t="shared" si="2"/>
        <v>#DIV/0!</v>
      </c>
      <c r="M28" s="278"/>
      <c r="N28" s="279" t="e">
        <f t="shared" si="3"/>
        <v>#DIV/0!</v>
      </c>
    </row>
    <row r="29" spans="1:14">
      <c r="A29" s="274" t="s">
        <v>588</v>
      </c>
      <c r="B29" s="266"/>
      <c r="C29" s="267"/>
      <c r="D29" s="268"/>
      <c r="E29" s="269"/>
      <c r="F29" s="270"/>
      <c r="G29" s="273"/>
      <c r="H29" s="280">
        <v>33</v>
      </c>
      <c r="I29" s="721">
        <v>46965</v>
      </c>
      <c r="J29" s="276"/>
      <c r="K29" s="281"/>
      <c r="L29" s="227" t="e">
        <f t="shared" si="2"/>
        <v>#DIV/0!</v>
      </c>
      <c r="M29" s="278"/>
      <c r="N29" s="279" t="e">
        <f t="shared" si="3"/>
        <v>#DIV/0!</v>
      </c>
    </row>
    <row r="30" spans="1:14">
      <c r="A30" s="275">
        <v>1</v>
      </c>
      <c r="B30" s="721">
        <v>45991</v>
      </c>
      <c r="C30" s="720"/>
      <c r="D30" s="277" t="s">
        <v>267</v>
      </c>
      <c r="E30" s="227" t="e">
        <f>ROUND((1-$J$10)*(($J$11*C30/C$13)-1),4)</f>
        <v>#DIV/0!</v>
      </c>
      <c r="F30" s="278"/>
      <c r="G30" s="279" t="e">
        <f t="shared" si="1"/>
        <v>#DIV/0!</v>
      </c>
      <c r="H30" s="280">
        <v>34</v>
      </c>
      <c r="I30" s="721">
        <v>46996</v>
      </c>
      <c r="J30" s="276"/>
      <c r="K30" s="281"/>
      <c r="L30" s="227" t="e">
        <f t="shared" si="2"/>
        <v>#DIV/0!</v>
      </c>
      <c r="M30" s="278"/>
      <c r="N30" s="279" t="e">
        <f t="shared" si="3"/>
        <v>#DIV/0!</v>
      </c>
    </row>
    <row r="31" spans="1:14">
      <c r="A31" s="275">
        <v>2</v>
      </c>
      <c r="B31" s="721">
        <v>46022</v>
      </c>
      <c r="C31" s="720"/>
      <c r="D31" s="277"/>
      <c r="E31" s="227" t="e">
        <f>ROUND((1-$J$10)*(($J$11*C31/C$13)-1),4)</f>
        <v>#DIV/0!</v>
      </c>
      <c r="F31" s="278"/>
      <c r="G31" s="279" t="e">
        <f t="shared" si="1"/>
        <v>#DIV/0!</v>
      </c>
      <c r="H31" s="280">
        <v>35</v>
      </c>
      <c r="I31" s="721">
        <v>47026</v>
      </c>
      <c r="J31" s="276"/>
      <c r="K31" s="281"/>
      <c r="L31" s="227" t="e">
        <f t="shared" si="2"/>
        <v>#DIV/0!</v>
      </c>
      <c r="M31" s="278"/>
      <c r="N31" s="279" t="e">
        <f t="shared" si="3"/>
        <v>#DIV/0!</v>
      </c>
    </row>
    <row r="32" spans="1:14">
      <c r="A32" s="275">
        <v>3</v>
      </c>
      <c r="B32" s="721">
        <v>46053</v>
      </c>
      <c r="C32" s="720"/>
      <c r="D32" s="277"/>
      <c r="E32" s="227" t="e">
        <f>ROUND((1-$J$10)*(($J$11*C32/C$13)-1),4)</f>
        <v>#DIV/0!</v>
      </c>
      <c r="F32" s="278"/>
      <c r="G32" s="279" t="e">
        <f t="shared" si="1"/>
        <v>#DIV/0!</v>
      </c>
      <c r="H32" s="280">
        <v>36</v>
      </c>
      <c r="I32" s="721">
        <v>47057</v>
      </c>
      <c r="J32" s="276"/>
      <c r="K32" s="281"/>
      <c r="L32" s="227" t="e">
        <f t="shared" si="2"/>
        <v>#DIV/0!</v>
      </c>
      <c r="M32" s="278"/>
      <c r="N32" s="279" t="e">
        <f t="shared" si="3"/>
        <v>#DIV/0!</v>
      </c>
    </row>
    <row r="33" spans="1:14">
      <c r="A33" s="275">
        <v>4</v>
      </c>
      <c r="B33" s="721">
        <v>46081</v>
      </c>
      <c r="C33" s="720"/>
      <c r="D33" s="277"/>
      <c r="E33" s="227" t="e">
        <f t="shared" ref="E33:E47" si="4">ROUND((1-$J$10)*(($J$11*C33/C$13)-1),4)</f>
        <v>#DIV/0!</v>
      </c>
      <c r="F33" s="278"/>
      <c r="G33" s="279" t="e">
        <f t="shared" si="1"/>
        <v>#DIV/0!</v>
      </c>
      <c r="H33" s="280">
        <v>37</v>
      </c>
      <c r="I33" s="721">
        <v>47087</v>
      </c>
      <c r="J33" s="276"/>
      <c r="K33" s="281"/>
      <c r="L33" s="227" t="e">
        <f t="shared" si="2"/>
        <v>#DIV/0!</v>
      </c>
      <c r="M33" s="278"/>
      <c r="N33" s="279" t="e">
        <f t="shared" si="3"/>
        <v>#DIV/0!</v>
      </c>
    </row>
    <row r="34" spans="1:14">
      <c r="A34" s="275">
        <v>5</v>
      </c>
      <c r="B34" s="721">
        <v>46112</v>
      </c>
      <c r="C34" s="720"/>
      <c r="D34" s="277"/>
      <c r="E34" s="227" t="e">
        <f t="shared" si="4"/>
        <v>#DIV/0!</v>
      </c>
      <c r="F34" s="278"/>
      <c r="G34" s="279" t="e">
        <f t="shared" si="1"/>
        <v>#DIV/0!</v>
      </c>
      <c r="H34" s="280">
        <v>38</v>
      </c>
      <c r="I34" s="721">
        <v>47118</v>
      </c>
      <c r="J34" s="276"/>
      <c r="K34" s="281"/>
      <c r="L34" s="227" t="e">
        <f t="shared" si="2"/>
        <v>#DIV/0!</v>
      </c>
      <c r="M34" s="278"/>
      <c r="N34" s="279" t="e">
        <f t="shared" si="3"/>
        <v>#DIV/0!</v>
      </c>
    </row>
    <row r="35" spans="1:14">
      <c r="A35" s="275">
        <v>6</v>
      </c>
      <c r="B35" s="721">
        <v>46142</v>
      </c>
      <c r="C35" s="720"/>
      <c r="D35" s="277"/>
      <c r="E35" s="227" t="e">
        <f t="shared" si="4"/>
        <v>#DIV/0!</v>
      </c>
      <c r="F35" s="278"/>
      <c r="G35" s="279" t="e">
        <f t="shared" si="1"/>
        <v>#DIV/0!</v>
      </c>
      <c r="H35" s="280">
        <v>39</v>
      </c>
      <c r="I35" s="721">
        <v>47149</v>
      </c>
      <c r="J35" s="276"/>
      <c r="K35" s="281"/>
      <c r="L35" s="227" t="e">
        <f t="shared" si="2"/>
        <v>#DIV/0!</v>
      </c>
      <c r="M35" s="278"/>
      <c r="N35" s="279" t="e">
        <f t="shared" si="3"/>
        <v>#DIV/0!</v>
      </c>
    </row>
    <row r="36" spans="1:14">
      <c r="A36" s="275">
        <v>7</v>
      </c>
      <c r="B36" s="721">
        <v>46173</v>
      </c>
      <c r="C36" s="720"/>
      <c r="D36" s="277"/>
      <c r="E36" s="227" t="e">
        <f t="shared" si="4"/>
        <v>#DIV/0!</v>
      </c>
      <c r="F36" s="278"/>
      <c r="G36" s="279" t="e">
        <f t="shared" si="1"/>
        <v>#DIV/0!</v>
      </c>
      <c r="H36" s="280">
        <v>40</v>
      </c>
      <c r="I36" s="721">
        <v>47177</v>
      </c>
      <c r="J36" s="276"/>
      <c r="K36" s="281"/>
      <c r="L36" s="227" t="e">
        <f t="shared" si="2"/>
        <v>#DIV/0!</v>
      </c>
      <c r="M36" s="278"/>
      <c r="N36" s="279" t="e">
        <f t="shared" si="3"/>
        <v>#DIV/0!</v>
      </c>
    </row>
    <row r="37" spans="1:14">
      <c r="A37" s="275">
        <v>8</v>
      </c>
      <c r="B37" s="721">
        <v>46203</v>
      </c>
      <c r="C37" s="720"/>
      <c r="D37" s="277"/>
      <c r="E37" s="227" t="e">
        <f t="shared" si="4"/>
        <v>#DIV/0!</v>
      </c>
      <c r="F37" s="278"/>
      <c r="G37" s="279" t="e">
        <f t="shared" si="1"/>
        <v>#DIV/0!</v>
      </c>
      <c r="H37" s="280">
        <v>41</v>
      </c>
      <c r="I37" s="721">
        <v>47208</v>
      </c>
      <c r="J37" s="276"/>
      <c r="K37" s="281"/>
      <c r="L37" s="227" t="e">
        <f t="shared" si="2"/>
        <v>#DIV/0!</v>
      </c>
      <c r="M37" s="278"/>
      <c r="N37" s="279" t="e">
        <f t="shared" si="3"/>
        <v>#DIV/0!</v>
      </c>
    </row>
    <row r="38" spans="1:14">
      <c r="A38" s="275">
        <v>9</v>
      </c>
      <c r="B38" s="721">
        <v>46234</v>
      </c>
      <c r="C38" s="720"/>
      <c r="D38" s="277"/>
      <c r="E38" s="227" t="e">
        <f t="shared" si="4"/>
        <v>#DIV/0!</v>
      </c>
      <c r="F38" s="278"/>
      <c r="G38" s="279" t="e">
        <f t="shared" si="1"/>
        <v>#DIV/0!</v>
      </c>
      <c r="H38" s="280">
        <v>42</v>
      </c>
      <c r="I38" s="721">
        <v>47238</v>
      </c>
      <c r="J38" s="276"/>
      <c r="K38" s="281"/>
      <c r="L38" s="227" t="e">
        <f t="shared" si="2"/>
        <v>#DIV/0!</v>
      </c>
      <c r="M38" s="278"/>
      <c r="N38" s="279" t="e">
        <f t="shared" si="3"/>
        <v>#DIV/0!</v>
      </c>
    </row>
    <row r="39" spans="1:14" ht="13.8" thickBot="1">
      <c r="A39" s="722">
        <v>10</v>
      </c>
      <c r="B39" s="766">
        <v>46265</v>
      </c>
      <c r="C39" s="720"/>
      <c r="D39" s="288"/>
      <c r="E39" s="289" t="e">
        <f t="shared" si="4"/>
        <v>#DIV/0!</v>
      </c>
      <c r="F39" s="286"/>
      <c r="G39" s="287" t="e">
        <f t="shared" si="1"/>
        <v>#DIV/0!</v>
      </c>
      <c r="H39" s="280">
        <v>43</v>
      </c>
      <c r="I39" s="721">
        <v>47269</v>
      </c>
      <c r="J39" s="276"/>
      <c r="K39" s="281"/>
      <c r="L39" s="227" t="e">
        <f t="shared" si="2"/>
        <v>#DIV/0!</v>
      </c>
      <c r="M39" s="278"/>
      <c r="N39" s="279" t="e">
        <f t="shared" si="3"/>
        <v>#DIV/0!</v>
      </c>
    </row>
    <row r="40" spans="1:14" ht="13.8" thickTop="1">
      <c r="A40" s="723">
        <v>11</v>
      </c>
      <c r="B40" s="721">
        <v>46295</v>
      </c>
      <c r="C40" s="724"/>
      <c r="D40" s="725"/>
      <c r="E40" s="726" t="e">
        <f t="shared" si="4"/>
        <v>#DIV/0!</v>
      </c>
      <c r="F40" s="727"/>
      <c r="G40" s="728" t="e">
        <f>ROUND((E40*F40),2)</f>
        <v>#DIV/0!</v>
      </c>
      <c r="H40" s="280">
        <v>44</v>
      </c>
      <c r="I40" s="721">
        <v>47299</v>
      </c>
      <c r="J40" s="276"/>
      <c r="K40" s="281"/>
      <c r="L40" s="227" t="e">
        <f t="shared" si="2"/>
        <v>#DIV/0!</v>
      </c>
      <c r="M40" s="278"/>
      <c r="N40" s="279" t="e">
        <f t="shared" si="3"/>
        <v>#DIV/0!</v>
      </c>
    </row>
    <row r="41" spans="1:14">
      <c r="A41" s="275">
        <v>12</v>
      </c>
      <c r="B41" s="721">
        <v>46326</v>
      </c>
      <c r="C41" s="759"/>
      <c r="D41" s="277"/>
      <c r="E41" s="227" t="e">
        <f t="shared" si="4"/>
        <v>#DIV/0!</v>
      </c>
      <c r="F41" s="278"/>
      <c r="G41" s="279" t="e">
        <f t="shared" si="1"/>
        <v>#DIV/0!</v>
      </c>
      <c r="H41" s="280">
        <v>45</v>
      </c>
      <c r="I41" s="721">
        <v>47330</v>
      </c>
      <c r="J41" s="276"/>
      <c r="K41" s="281"/>
      <c r="L41" s="227" t="e">
        <f t="shared" si="2"/>
        <v>#DIV/0!</v>
      </c>
      <c r="M41" s="278"/>
      <c r="N41" s="279" t="e">
        <f t="shared" si="3"/>
        <v>#DIV/0!</v>
      </c>
    </row>
    <row r="42" spans="1:14">
      <c r="A42" s="275">
        <v>13</v>
      </c>
      <c r="B42" s="721">
        <v>46356</v>
      </c>
      <c r="C42" s="759"/>
      <c r="D42" s="277"/>
      <c r="E42" s="227" t="e">
        <f t="shared" si="4"/>
        <v>#DIV/0!</v>
      </c>
      <c r="F42" s="278"/>
      <c r="G42" s="279" t="e">
        <f t="shared" si="1"/>
        <v>#DIV/0!</v>
      </c>
      <c r="H42" s="280">
        <v>46</v>
      </c>
      <c r="I42" s="721">
        <v>47361</v>
      </c>
      <c r="J42" s="276"/>
      <c r="K42" s="281"/>
      <c r="L42" s="227" t="e">
        <f t="shared" si="2"/>
        <v>#DIV/0!</v>
      </c>
      <c r="M42" s="278"/>
      <c r="N42" s="279" t="e">
        <f t="shared" si="3"/>
        <v>#DIV/0!</v>
      </c>
    </row>
    <row r="43" spans="1:14">
      <c r="A43" s="275">
        <v>14</v>
      </c>
      <c r="B43" s="721">
        <v>46387</v>
      </c>
      <c r="C43" s="759"/>
      <c r="D43" s="277"/>
      <c r="E43" s="227" t="e">
        <f t="shared" si="4"/>
        <v>#DIV/0!</v>
      </c>
      <c r="F43" s="278"/>
      <c r="G43" s="279" t="e">
        <f t="shared" si="1"/>
        <v>#DIV/0!</v>
      </c>
      <c r="H43" s="280">
        <v>47</v>
      </c>
      <c r="I43" s="721">
        <v>47391</v>
      </c>
      <c r="J43" s="284"/>
      <c r="K43" s="285"/>
      <c r="L43" s="227" t="e">
        <f t="shared" si="2"/>
        <v>#DIV/0!</v>
      </c>
      <c r="M43" s="286"/>
      <c r="N43" s="287" t="e">
        <f t="shared" si="3"/>
        <v>#DIV/0!</v>
      </c>
    </row>
    <row r="44" spans="1:14">
      <c r="A44" s="275">
        <v>15</v>
      </c>
      <c r="B44" s="721">
        <v>46418</v>
      </c>
      <c r="C44" s="759"/>
      <c r="D44" s="277"/>
      <c r="E44" s="227" t="e">
        <f t="shared" si="4"/>
        <v>#DIV/0!</v>
      </c>
      <c r="F44" s="278"/>
      <c r="G44" s="279" t="e">
        <f t="shared" si="1"/>
        <v>#DIV/0!</v>
      </c>
      <c r="H44" s="280">
        <v>48</v>
      </c>
      <c r="I44" s="721">
        <v>47422</v>
      </c>
      <c r="J44" s="276"/>
      <c r="K44" s="281"/>
      <c r="L44" s="227" t="e">
        <f>ROUND((1-$J$10)*(($J$11*J44/C$13)-1),4)</f>
        <v>#DIV/0!</v>
      </c>
      <c r="M44" s="278"/>
      <c r="N44" s="287" t="e">
        <f t="shared" si="3"/>
        <v>#DIV/0!</v>
      </c>
    </row>
    <row r="45" spans="1:14">
      <c r="A45" s="275">
        <v>16</v>
      </c>
      <c r="B45" s="721">
        <v>46446</v>
      </c>
      <c r="C45" s="759"/>
      <c r="D45" s="288"/>
      <c r="E45" s="227" t="e">
        <f t="shared" si="4"/>
        <v>#DIV/0!</v>
      </c>
      <c r="F45" s="286"/>
      <c r="G45" s="287" t="e">
        <f t="shared" si="1"/>
        <v>#DIV/0!</v>
      </c>
      <c r="H45" s="280">
        <v>49</v>
      </c>
      <c r="I45" s="721">
        <v>47452</v>
      </c>
      <c r="J45" s="284"/>
      <c r="K45" s="285"/>
      <c r="L45" s="227" t="e">
        <f t="shared" si="2"/>
        <v>#DIV/0!</v>
      </c>
      <c r="M45" s="286"/>
      <c r="N45" s="287" t="e">
        <f t="shared" si="3"/>
        <v>#DIV/0!</v>
      </c>
    </row>
    <row r="46" spans="1:14">
      <c r="A46" s="275">
        <v>17</v>
      </c>
      <c r="B46" s="721">
        <v>46477</v>
      </c>
      <c r="C46" s="759"/>
      <c r="D46" s="288"/>
      <c r="E46" s="227" t="e">
        <f t="shared" si="4"/>
        <v>#DIV/0!</v>
      </c>
      <c r="F46" s="286"/>
      <c r="G46" s="287" t="e">
        <f t="shared" si="1"/>
        <v>#DIV/0!</v>
      </c>
      <c r="H46" s="280">
        <v>50</v>
      </c>
      <c r="I46" s="721">
        <v>47483</v>
      </c>
      <c r="J46" s="284"/>
      <c r="K46" s="285"/>
      <c r="L46" s="227" t="e">
        <f>ROUND((1-$J$10)*(($J$11*J46/C$13)-1),4)</f>
        <v>#DIV/0!</v>
      </c>
      <c r="M46" s="286"/>
      <c r="N46" s="287" t="e">
        <f t="shared" si="3"/>
        <v>#DIV/0!</v>
      </c>
    </row>
    <row r="47" spans="1:14" ht="13.8" thickBot="1">
      <c r="A47" s="275">
        <v>18</v>
      </c>
      <c r="B47" s="721">
        <v>46507</v>
      </c>
      <c r="C47" s="760"/>
      <c r="D47" s="288"/>
      <c r="E47" s="227" t="e">
        <f t="shared" si="4"/>
        <v>#DIV/0!</v>
      </c>
      <c r="F47" s="286"/>
      <c r="G47" s="287" t="e">
        <f t="shared" si="1"/>
        <v>#DIV/0!</v>
      </c>
      <c r="H47" s="280">
        <v>51</v>
      </c>
      <c r="I47" s="721">
        <v>47514</v>
      </c>
      <c r="J47" s="284"/>
      <c r="K47" s="285"/>
      <c r="L47" s="227" t="e">
        <f>ROUND((1-$J$10)*(($J$11*J47/C$13)-1),4)</f>
        <v>#DIV/0!</v>
      </c>
      <c r="M47" s="286"/>
      <c r="N47" s="287" t="e">
        <f>ROUND((L47*M47),2)</f>
        <v>#DIV/0!</v>
      </c>
    </row>
    <row r="48" spans="1:14" ht="13.8" thickBot="1">
      <c r="A48" s="1260" t="s">
        <v>590</v>
      </c>
      <c r="B48" s="1261"/>
      <c r="C48" s="1261"/>
      <c r="D48" s="1261"/>
      <c r="E48" s="1262"/>
      <c r="F48" s="282">
        <f>SUM(F30:F47)</f>
        <v>0</v>
      </c>
      <c r="G48" s="290">
        <f>IF(F48=0,0,SUM(G30:G47))</f>
        <v>0</v>
      </c>
      <c r="H48" s="1263" t="s">
        <v>589</v>
      </c>
      <c r="I48" s="1263"/>
      <c r="J48" s="1263"/>
      <c r="K48" s="1263"/>
      <c r="L48" s="1264"/>
      <c r="M48" s="282">
        <f>SUM(M15:M47)+F48</f>
        <v>0</v>
      </c>
      <c r="N48" s="283">
        <f>IF(M48=0,G48,(SUM(N15:N47)+G48))</f>
        <v>0</v>
      </c>
    </row>
    <row r="49" spans="6:7">
      <c r="F49" s="291"/>
      <c r="G49" s="291"/>
    </row>
    <row r="50" spans="6:7">
      <c r="F50" s="291"/>
      <c r="G50" s="291"/>
    </row>
    <row r="51" spans="6:7">
      <c r="F51" s="291"/>
      <c r="G51" s="291"/>
    </row>
    <row r="52" spans="6:7">
      <c r="F52" s="292"/>
    </row>
    <row r="53" spans="6:7">
      <c r="F53" s="292"/>
    </row>
    <row r="54" spans="6:7">
      <c r="F54" s="292"/>
    </row>
    <row r="55" spans="6:7">
      <c r="F55" s="292"/>
    </row>
    <row r="56" spans="6:7">
      <c r="F56" s="292"/>
    </row>
    <row r="57" spans="6:7">
      <c r="F57" s="292"/>
    </row>
    <row r="58" spans="6:7">
      <c r="F58" s="292"/>
    </row>
    <row r="59" spans="6:7">
      <c r="F59" s="292"/>
    </row>
    <row r="60" spans="6:7">
      <c r="F60" s="292"/>
    </row>
    <row r="61" spans="6:7">
      <c r="F61" s="292"/>
    </row>
    <row r="62" spans="6:7">
      <c r="F62" s="292"/>
    </row>
    <row r="63" spans="6:7">
      <c r="F63" s="292"/>
    </row>
    <row r="64" spans="6:7">
      <c r="F64" s="292"/>
    </row>
    <row r="65" spans="6:6">
      <c r="F65" s="292"/>
    </row>
    <row r="66" spans="6:6">
      <c r="F66" s="292"/>
    </row>
    <row r="67" spans="6:6">
      <c r="F67" s="292"/>
    </row>
    <row r="68" spans="6:6">
      <c r="F68" s="292"/>
    </row>
    <row r="69" spans="6:6">
      <c r="F69" s="292"/>
    </row>
    <row r="70" spans="6:6">
      <c r="F70" s="292"/>
    </row>
    <row r="71" spans="6:6">
      <c r="F71" s="292"/>
    </row>
    <row r="72" spans="6:6">
      <c r="F72" s="292"/>
    </row>
    <row r="73" spans="6:6">
      <c r="F73" s="292"/>
    </row>
    <row r="74" spans="6:6">
      <c r="F74" s="292"/>
    </row>
    <row r="75" spans="6:6">
      <c r="F75" s="292"/>
    </row>
    <row r="76" spans="6:6">
      <c r="F76" s="292"/>
    </row>
    <row r="77" spans="6:6">
      <c r="F77" s="292"/>
    </row>
    <row r="78" spans="6:6">
      <c r="F78" s="292"/>
    </row>
    <row r="79" spans="6:6">
      <c r="F79" s="292"/>
    </row>
    <row r="80" spans="6:6">
      <c r="F80" s="292"/>
    </row>
    <row r="81" spans="6:6">
      <c r="F81" s="292"/>
    </row>
    <row r="82" spans="6:6">
      <c r="F82" s="292"/>
    </row>
    <row r="83" spans="6:6">
      <c r="F83" s="292"/>
    </row>
  </sheetData>
  <mergeCells count="15">
    <mergeCell ref="A28:E28"/>
    <mergeCell ref="A48:E48"/>
    <mergeCell ref="H48:L48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7">
    <tabColor rgb="FF0070C0"/>
    <pageSetUpPr fitToPage="1"/>
  </sheetPr>
  <dimension ref="A1:P16"/>
  <sheetViews>
    <sheetView zoomScale="98" zoomScaleNormal="98" workbookViewId="0">
      <selection activeCell="M43" sqref="M43"/>
    </sheetView>
  </sheetViews>
  <sheetFormatPr defaultRowHeight="13.2"/>
  <cols>
    <col min="1" max="1" width="9.109375" style="2"/>
    <col min="2" max="2" width="36.88671875" style="2" customWidth="1"/>
    <col min="3" max="3" width="12.33203125" style="2" customWidth="1"/>
    <col min="4" max="8" width="11.6640625" style="2" customWidth="1"/>
    <col min="9" max="9" width="11.6640625" style="2" bestFit="1" customWidth="1"/>
    <col min="10" max="10" width="15.5546875" style="2" customWidth="1"/>
    <col min="11" max="11" width="13.6640625" style="2" customWidth="1"/>
    <col min="12" max="12" width="15" style="2" customWidth="1"/>
    <col min="13" max="13" width="13.33203125" style="2" customWidth="1"/>
    <col min="14" max="14" width="15.6640625" style="2" customWidth="1"/>
    <col min="15" max="15" width="9.109375" style="2"/>
    <col min="16" max="16" width="12.109375" style="2" bestFit="1" customWidth="1"/>
    <col min="17" max="257" width="9.109375" style="2"/>
    <col min="258" max="258" width="36.88671875" style="2" customWidth="1"/>
    <col min="259" max="259" width="9.109375" style="2"/>
    <col min="260" max="260" width="10.109375" style="2" bestFit="1" customWidth="1"/>
    <col min="261" max="261" width="10.6640625" style="2" bestFit="1" customWidth="1"/>
    <col min="262" max="262" width="11.44140625" style="2" bestFit="1" customWidth="1"/>
    <col min="263" max="263" width="12.6640625" style="2" bestFit="1" customWidth="1"/>
    <col min="264" max="264" width="12.44140625" style="2" bestFit="1" customWidth="1"/>
    <col min="265" max="265" width="10.6640625" style="2" bestFit="1" customWidth="1"/>
    <col min="266" max="266" width="19.109375" style="2" bestFit="1" customWidth="1"/>
    <col min="267" max="267" width="17.5546875" style="2" bestFit="1" customWidth="1"/>
    <col min="268" max="268" width="15" style="2" customWidth="1"/>
    <col min="269" max="269" width="16.44140625" style="2" bestFit="1" customWidth="1"/>
    <col min="270" max="270" width="18" style="2" customWidth="1"/>
    <col min="271" max="513" width="9.109375" style="2"/>
    <col min="514" max="514" width="36.88671875" style="2" customWidth="1"/>
    <col min="515" max="515" width="9.109375" style="2"/>
    <col min="516" max="516" width="10.109375" style="2" bestFit="1" customWidth="1"/>
    <col min="517" max="517" width="10.6640625" style="2" bestFit="1" customWidth="1"/>
    <col min="518" max="518" width="11.44140625" style="2" bestFit="1" customWidth="1"/>
    <col min="519" max="519" width="12.6640625" style="2" bestFit="1" customWidth="1"/>
    <col min="520" max="520" width="12.44140625" style="2" bestFit="1" customWidth="1"/>
    <col min="521" max="521" width="10.6640625" style="2" bestFit="1" customWidth="1"/>
    <col min="522" max="522" width="19.109375" style="2" bestFit="1" customWidth="1"/>
    <col min="523" max="523" width="17.5546875" style="2" bestFit="1" customWidth="1"/>
    <col min="524" max="524" width="15" style="2" customWidth="1"/>
    <col min="525" max="525" width="16.44140625" style="2" bestFit="1" customWidth="1"/>
    <col min="526" max="526" width="18" style="2" customWidth="1"/>
    <col min="527" max="769" width="9.109375" style="2"/>
    <col min="770" max="770" width="36.88671875" style="2" customWidth="1"/>
    <col min="771" max="771" width="9.109375" style="2"/>
    <col min="772" max="772" width="10.109375" style="2" bestFit="1" customWidth="1"/>
    <col min="773" max="773" width="10.6640625" style="2" bestFit="1" customWidth="1"/>
    <col min="774" max="774" width="11.44140625" style="2" bestFit="1" customWidth="1"/>
    <col min="775" max="775" width="12.6640625" style="2" bestFit="1" customWidth="1"/>
    <col min="776" max="776" width="12.44140625" style="2" bestFit="1" customWidth="1"/>
    <col min="777" max="777" width="10.6640625" style="2" bestFit="1" customWidth="1"/>
    <col min="778" max="778" width="19.109375" style="2" bestFit="1" customWidth="1"/>
    <col min="779" max="779" width="17.5546875" style="2" bestFit="1" customWidth="1"/>
    <col min="780" max="780" width="15" style="2" customWidth="1"/>
    <col min="781" max="781" width="16.44140625" style="2" bestFit="1" customWidth="1"/>
    <col min="782" max="782" width="18" style="2" customWidth="1"/>
    <col min="783" max="1025" width="9.109375" style="2"/>
    <col min="1026" max="1026" width="36.88671875" style="2" customWidth="1"/>
    <col min="1027" max="1027" width="9.109375" style="2"/>
    <col min="1028" max="1028" width="10.109375" style="2" bestFit="1" customWidth="1"/>
    <col min="1029" max="1029" width="10.6640625" style="2" bestFit="1" customWidth="1"/>
    <col min="1030" max="1030" width="11.44140625" style="2" bestFit="1" customWidth="1"/>
    <col min="1031" max="1031" width="12.6640625" style="2" bestFit="1" customWidth="1"/>
    <col min="1032" max="1032" width="12.44140625" style="2" bestFit="1" customWidth="1"/>
    <col min="1033" max="1033" width="10.6640625" style="2" bestFit="1" customWidth="1"/>
    <col min="1034" max="1034" width="19.109375" style="2" bestFit="1" customWidth="1"/>
    <col min="1035" max="1035" width="17.5546875" style="2" bestFit="1" customWidth="1"/>
    <col min="1036" max="1036" width="15" style="2" customWidth="1"/>
    <col min="1037" max="1037" width="16.44140625" style="2" bestFit="1" customWidth="1"/>
    <col min="1038" max="1038" width="18" style="2" customWidth="1"/>
    <col min="1039" max="1281" width="9.109375" style="2"/>
    <col min="1282" max="1282" width="36.88671875" style="2" customWidth="1"/>
    <col min="1283" max="1283" width="9.109375" style="2"/>
    <col min="1284" max="1284" width="10.109375" style="2" bestFit="1" customWidth="1"/>
    <col min="1285" max="1285" width="10.6640625" style="2" bestFit="1" customWidth="1"/>
    <col min="1286" max="1286" width="11.44140625" style="2" bestFit="1" customWidth="1"/>
    <col min="1287" max="1287" width="12.6640625" style="2" bestFit="1" customWidth="1"/>
    <col min="1288" max="1288" width="12.44140625" style="2" bestFit="1" customWidth="1"/>
    <col min="1289" max="1289" width="10.6640625" style="2" bestFit="1" customWidth="1"/>
    <col min="1290" max="1290" width="19.109375" style="2" bestFit="1" customWidth="1"/>
    <col min="1291" max="1291" width="17.5546875" style="2" bestFit="1" customWidth="1"/>
    <col min="1292" max="1292" width="15" style="2" customWidth="1"/>
    <col min="1293" max="1293" width="16.44140625" style="2" bestFit="1" customWidth="1"/>
    <col min="1294" max="1294" width="18" style="2" customWidth="1"/>
    <col min="1295" max="1537" width="9.109375" style="2"/>
    <col min="1538" max="1538" width="36.88671875" style="2" customWidth="1"/>
    <col min="1539" max="1539" width="9.109375" style="2"/>
    <col min="1540" max="1540" width="10.109375" style="2" bestFit="1" customWidth="1"/>
    <col min="1541" max="1541" width="10.6640625" style="2" bestFit="1" customWidth="1"/>
    <col min="1542" max="1542" width="11.44140625" style="2" bestFit="1" customWidth="1"/>
    <col min="1543" max="1543" width="12.6640625" style="2" bestFit="1" customWidth="1"/>
    <col min="1544" max="1544" width="12.44140625" style="2" bestFit="1" customWidth="1"/>
    <col min="1545" max="1545" width="10.6640625" style="2" bestFit="1" customWidth="1"/>
    <col min="1546" max="1546" width="19.109375" style="2" bestFit="1" customWidth="1"/>
    <col min="1547" max="1547" width="17.5546875" style="2" bestFit="1" customWidth="1"/>
    <col min="1548" max="1548" width="15" style="2" customWidth="1"/>
    <col min="1549" max="1549" width="16.44140625" style="2" bestFit="1" customWidth="1"/>
    <col min="1550" max="1550" width="18" style="2" customWidth="1"/>
    <col min="1551" max="1793" width="9.109375" style="2"/>
    <col min="1794" max="1794" width="36.88671875" style="2" customWidth="1"/>
    <col min="1795" max="1795" width="9.109375" style="2"/>
    <col min="1796" max="1796" width="10.109375" style="2" bestFit="1" customWidth="1"/>
    <col min="1797" max="1797" width="10.6640625" style="2" bestFit="1" customWidth="1"/>
    <col min="1798" max="1798" width="11.44140625" style="2" bestFit="1" customWidth="1"/>
    <col min="1799" max="1799" width="12.6640625" style="2" bestFit="1" customWidth="1"/>
    <col min="1800" max="1800" width="12.44140625" style="2" bestFit="1" customWidth="1"/>
    <col min="1801" max="1801" width="10.6640625" style="2" bestFit="1" customWidth="1"/>
    <col min="1802" max="1802" width="19.109375" style="2" bestFit="1" customWidth="1"/>
    <col min="1803" max="1803" width="17.5546875" style="2" bestFit="1" customWidth="1"/>
    <col min="1804" max="1804" width="15" style="2" customWidth="1"/>
    <col min="1805" max="1805" width="16.44140625" style="2" bestFit="1" customWidth="1"/>
    <col min="1806" max="1806" width="18" style="2" customWidth="1"/>
    <col min="1807" max="2049" width="9.109375" style="2"/>
    <col min="2050" max="2050" width="36.88671875" style="2" customWidth="1"/>
    <col min="2051" max="2051" width="9.109375" style="2"/>
    <col min="2052" max="2052" width="10.109375" style="2" bestFit="1" customWidth="1"/>
    <col min="2053" max="2053" width="10.6640625" style="2" bestFit="1" customWidth="1"/>
    <col min="2054" max="2054" width="11.44140625" style="2" bestFit="1" customWidth="1"/>
    <col min="2055" max="2055" width="12.6640625" style="2" bestFit="1" customWidth="1"/>
    <col min="2056" max="2056" width="12.44140625" style="2" bestFit="1" customWidth="1"/>
    <col min="2057" max="2057" width="10.6640625" style="2" bestFit="1" customWidth="1"/>
    <col min="2058" max="2058" width="19.109375" style="2" bestFit="1" customWidth="1"/>
    <col min="2059" max="2059" width="17.5546875" style="2" bestFit="1" customWidth="1"/>
    <col min="2060" max="2060" width="15" style="2" customWidth="1"/>
    <col min="2061" max="2061" width="16.44140625" style="2" bestFit="1" customWidth="1"/>
    <col min="2062" max="2062" width="18" style="2" customWidth="1"/>
    <col min="2063" max="2305" width="9.109375" style="2"/>
    <col min="2306" max="2306" width="36.88671875" style="2" customWidth="1"/>
    <col min="2307" max="2307" width="9.109375" style="2"/>
    <col min="2308" max="2308" width="10.109375" style="2" bestFit="1" customWidth="1"/>
    <col min="2309" max="2309" width="10.6640625" style="2" bestFit="1" customWidth="1"/>
    <col min="2310" max="2310" width="11.44140625" style="2" bestFit="1" customWidth="1"/>
    <col min="2311" max="2311" width="12.6640625" style="2" bestFit="1" customWidth="1"/>
    <col min="2312" max="2312" width="12.44140625" style="2" bestFit="1" customWidth="1"/>
    <col min="2313" max="2313" width="10.6640625" style="2" bestFit="1" customWidth="1"/>
    <col min="2314" max="2314" width="19.109375" style="2" bestFit="1" customWidth="1"/>
    <col min="2315" max="2315" width="17.5546875" style="2" bestFit="1" customWidth="1"/>
    <col min="2316" max="2316" width="15" style="2" customWidth="1"/>
    <col min="2317" max="2317" width="16.44140625" style="2" bestFit="1" customWidth="1"/>
    <col min="2318" max="2318" width="18" style="2" customWidth="1"/>
    <col min="2319" max="2561" width="9.109375" style="2"/>
    <col min="2562" max="2562" width="36.88671875" style="2" customWidth="1"/>
    <col min="2563" max="2563" width="9.109375" style="2"/>
    <col min="2564" max="2564" width="10.109375" style="2" bestFit="1" customWidth="1"/>
    <col min="2565" max="2565" width="10.6640625" style="2" bestFit="1" customWidth="1"/>
    <col min="2566" max="2566" width="11.44140625" style="2" bestFit="1" customWidth="1"/>
    <col min="2567" max="2567" width="12.6640625" style="2" bestFit="1" customWidth="1"/>
    <col min="2568" max="2568" width="12.44140625" style="2" bestFit="1" customWidth="1"/>
    <col min="2569" max="2569" width="10.6640625" style="2" bestFit="1" customWidth="1"/>
    <col min="2570" max="2570" width="19.109375" style="2" bestFit="1" customWidth="1"/>
    <col min="2571" max="2571" width="17.5546875" style="2" bestFit="1" customWidth="1"/>
    <col min="2572" max="2572" width="15" style="2" customWidth="1"/>
    <col min="2573" max="2573" width="16.44140625" style="2" bestFit="1" customWidth="1"/>
    <col min="2574" max="2574" width="18" style="2" customWidth="1"/>
    <col min="2575" max="2817" width="9.109375" style="2"/>
    <col min="2818" max="2818" width="36.88671875" style="2" customWidth="1"/>
    <col min="2819" max="2819" width="9.109375" style="2"/>
    <col min="2820" max="2820" width="10.109375" style="2" bestFit="1" customWidth="1"/>
    <col min="2821" max="2821" width="10.6640625" style="2" bestFit="1" customWidth="1"/>
    <col min="2822" max="2822" width="11.44140625" style="2" bestFit="1" customWidth="1"/>
    <col min="2823" max="2823" width="12.6640625" style="2" bestFit="1" customWidth="1"/>
    <col min="2824" max="2824" width="12.44140625" style="2" bestFit="1" customWidth="1"/>
    <col min="2825" max="2825" width="10.6640625" style="2" bestFit="1" customWidth="1"/>
    <col min="2826" max="2826" width="19.109375" style="2" bestFit="1" customWidth="1"/>
    <col min="2827" max="2827" width="17.5546875" style="2" bestFit="1" customWidth="1"/>
    <col min="2828" max="2828" width="15" style="2" customWidth="1"/>
    <col min="2829" max="2829" width="16.44140625" style="2" bestFit="1" customWidth="1"/>
    <col min="2830" max="2830" width="18" style="2" customWidth="1"/>
    <col min="2831" max="3073" width="9.109375" style="2"/>
    <col min="3074" max="3074" width="36.88671875" style="2" customWidth="1"/>
    <col min="3075" max="3075" width="9.109375" style="2"/>
    <col min="3076" max="3076" width="10.109375" style="2" bestFit="1" customWidth="1"/>
    <col min="3077" max="3077" width="10.6640625" style="2" bestFit="1" customWidth="1"/>
    <col min="3078" max="3078" width="11.44140625" style="2" bestFit="1" customWidth="1"/>
    <col min="3079" max="3079" width="12.6640625" style="2" bestFit="1" customWidth="1"/>
    <col min="3080" max="3080" width="12.44140625" style="2" bestFit="1" customWidth="1"/>
    <col min="3081" max="3081" width="10.6640625" style="2" bestFit="1" customWidth="1"/>
    <col min="3082" max="3082" width="19.109375" style="2" bestFit="1" customWidth="1"/>
    <col min="3083" max="3083" width="17.5546875" style="2" bestFit="1" customWidth="1"/>
    <col min="3084" max="3084" width="15" style="2" customWidth="1"/>
    <col min="3085" max="3085" width="16.44140625" style="2" bestFit="1" customWidth="1"/>
    <col min="3086" max="3086" width="18" style="2" customWidth="1"/>
    <col min="3087" max="3329" width="9.109375" style="2"/>
    <col min="3330" max="3330" width="36.88671875" style="2" customWidth="1"/>
    <col min="3331" max="3331" width="9.109375" style="2"/>
    <col min="3332" max="3332" width="10.109375" style="2" bestFit="1" customWidth="1"/>
    <col min="3333" max="3333" width="10.6640625" style="2" bestFit="1" customWidth="1"/>
    <col min="3334" max="3334" width="11.44140625" style="2" bestFit="1" customWidth="1"/>
    <col min="3335" max="3335" width="12.6640625" style="2" bestFit="1" customWidth="1"/>
    <col min="3336" max="3336" width="12.44140625" style="2" bestFit="1" customWidth="1"/>
    <col min="3337" max="3337" width="10.6640625" style="2" bestFit="1" customWidth="1"/>
    <col min="3338" max="3338" width="19.109375" style="2" bestFit="1" customWidth="1"/>
    <col min="3339" max="3339" width="17.5546875" style="2" bestFit="1" customWidth="1"/>
    <col min="3340" max="3340" width="15" style="2" customWidth="1"/>
    <col min="3341" max="3341" width="16.44140625" style="2" bestFit="1" customWidth="1"/>
    <col min="3342" max="3342" width="18" style="2" customWidth="1"/>
    <col min="3343" max="3585" width="9.109375" style="2"/>
    <col min="3586" max="3586" width="36.88671875" style="2" customWidth="1"/>
    <col min="3587" max="3587" width="9.109375" style="2"/>
    <col min="3588" max="3588" width="10.109375" style="2" bestFit="1" customWidth="1"/>
    <col min="3589" max="3589" width="10.6640625" style="2" bestFit="1" customWidth="1"/>
    <col min="3590" max="3590" width="11.44140625" style="2" bestFit="1" customWidth="1"/>
    <col min="3591" max="3591" width="12.6640625" style="2" bestFit="1" customWidth="1"/>
    <col min="3592" max="3592" width="12.44140625" style="2" bestFit="1" customWidth="1"/>
    <col min="3593" max="3593" width="10.6640625" style="2" bestFit="1" customWidth="1"/>
    <col min="3594" max="3594" width="19.109375" style="2" bestFit="1" customWidth="1"/>
    <col min="3595" max="3595" width="17.5546875" style="2" bestFit="1" customWidth="1"/>
    <col min="3596" max="3596" width="15" style="2" customWidth="1"/>
    <col min="3597" max="3597" width="16.44140625" style="2" bestFit="1" customWidth="1"/>
    <col min="3598" max="3598" width="18" style="2" customWidth="1"/>
    <col min="3599" max="3841" width="9.109375" style="2"/>
    <col min="3842" max="3842" width="36.88671875" style="2" customWidth="1"/>
    <col min="3843" max="3843" width="9.109375" style="2"/>
    <col min="3844" max="3844" width="10.109375" style="2" bestFit="1" customWidth="1"/>
    <col min="3845" max="3845" width="10.6640625" style="2" bestFit="1" customWidth="1"/>
    <col min="3846" max="3846" width="11.44140625" style="2" bestFit="1" customWidth="1"/>
    <col min="3847" max="3847" width="12.6640625" style="2" bestFit="1" customWidth="1"/>
    <col min="3848" max="3848" width="12.44140625" style="2" bestFit="1" customWidth="1"/>
    <col min="3849" max="3849" width="10.6640625" style="2" bestFit="1" customWidth="1"/>
    <col min="3850" max="3850" width="19.109375" style="2" bestFit="1" customWidth="1"/>
    <col min="3851" max="3851" width="17.5546875" style="2" bestFit="1" customWidth="1"/>
    <col min="3852" max="3852" width="15" style="2" customWidth="1"/>
    <col min="3853" max="3853" width="16.44140625" style="2" bestFit="1" customWidth="1"/>
    <col min="3854" max="3854" width="18" style="2" customWidth="1"/>
    <col min="3855" max="4097" width="9.109375" style="2"/>
    <col min="4098" max="4098" width="36.88671875" style="2" customWidth="1"/>
    <col min="4099" max="4099" width="9.109375" style="2"/>
    <col min="4100" max="4100" width="10.109375" style="2" bestFit="1" customWidth="1"/>
    <col min="4101" max="4101" width="10.6640625" style="2" bestFit="1" customWidth="1"/>
    <col min="4102" max="4102" width="11.44140625" style="2" bestFit="1" customWidth="1"/>
    <col min="4103" max="4103" width="12.6640625" style="2" bestFit="1" customWidth="1"/>
    <col min="4104" max="4104" width="12.44140625" style="2" bestFit="1" customWidth="1"/>
    <col min="4105" max="4105" width="10.6640625" style="2" bestFit="1" customWidth="1"/>
    <col min="4106" max="4106" width="19.109375" style="2" bestFit="1" customWidth="1"/>
    <col min="4107" max="4107" width="17.5546875" style="2" bestFit="1" customWidth="1"/>
    <col min="4108" max="4108" width="15" style="2" customWidth="1"/>
    <col min="4109" max="4109" width="16.44140625" style="2" bestFit="1" customWidth="1"/>
    <col min="4110" max="4110" width="18" style="2" customWidth="1"/>
    <col min="4111" max="4353" width="9.109375" style="2"/>
    <col min="4354" max="4354" width="36.88671875" style="2" customWidth="1"/>
    <col min="4355" max="4355" width="9.109375" style="2"/>
    <col min="4356" max="4356" width="10.109375" style="2" bestFit="1" customWidth="1"/>
    <col min="4357" max="4357" width="10.6640625" style="2" bestFit="1" customWidth="1"/>
    <col min="4358" max="4358" width="11.44140625" style="2" bestFit="1" customWidth="1"/>
    <col min="4359" max="4359" width="12.6640625" style="2" bestFit="1" customWidth="1"/>
    <col min="4360" max="4360" width="12.44140625" style="2" bestFit="1" customWidth="1"/>
    <col min="4361" max="4361" width="10.6640625" style="2" bestFit="1" customWidth="1"/>
    <col min="4362" max="4362" width="19.109375" style="2" bestFit="1" customWidth="1"/>
    <col min="4363" max="4363" width="17.5546875" style="2" bestFit="1" customWidth="1"/>
    <col min="4364" max="4364" width="15" style="2" customWidth="1"/>
    <col min="4365" max="4365" width="16.44140625" style="2" bestFit="1" customWidth="1"/>
    <col min="4366" max="4366" width="18" style="2" customWidth="1"/>
    <col min="4367" max="4609" width="9.109375" style="2"/>
    <col min="4610" max="4610" width="36.88671875" style="2" customWidth="1"/>
    <col min="4611" max="4611" width="9.109375" style="2"/>
    <col min="4612" max="4612" width="10.109375" style="2" bestFit="1" customWidth="1"/>
    <col min="4613" max="4613" width="10.6640625" style="2" bestFit="1" customWidth="1"/>
    <col min="4614" max="4614" width="11.44140625" style="2" bestFit="1" customWidth="1"/>
    <col min="4615" max="4615" width="12.6640625" style="2" bestFit="1" customWidth="1"/>
    <col min="4616" max="4616" width="12.44140625" style="2" bestFit="1" customWidth="1"/>
    <col min="4617" max="4617" width="10.6640625" style="2" bestFit="1" customWidth="1"/>
    <col min="4618" max="4618" width="19.109375" style="2" bestFit="1" customWidth="1"/>
    <col min="4619" max="4619" width="17.5546875" style="2" bestFit="1" customWidth="1"/>
    <col min="4620" max="4620" width="15" style="2" customWidth="1"/>
    <col min="4621" max="4621" width="16.44140625" style="2" bestFit="1" customWidth="1"/>
    <col min="4622" max="4622" width="18" style="2" customWidth="1"/>
    <col min="4623" max="4865" width="9.109375" style="2"/>
    <col min="4866" max="4866" width="36.88671875" style="2" customWidth="1"/>
    <col min="4867" max="4867" width="9.109375" style="2"/>
    <col min="4868" max="4868" width="10.109375" style="2" bestFit="1" customWidth="1"/>
    <col min="4869" max="4869" width="10.6640625" style="2" bestFit="1" customWidth="1"/>
    <col min="4870" max="4870" width="11.44140625" style="2" bestFit="1" customWidth="1"/>
    <col min="4871" max="4871" width="12.6640625" style="2" bestFit="1" customWidth="1"/>
    <col min="4872" max="4872" width="12.44140625" style="2" bestFit="1" customWidth="1"/>
    <col min="4873" max="4873" width="10.6640625" style="2" bestFit="1" customWidth="1"/>
    <col min="4874" max="4874" width="19.109375" style="2" bestFit="1" customWidth="1"/>
    <col min="4875" max="4875" width="17.5546875" style="2" bestFit="1" customWidth="1"/>
    <col min="4876" max="4876" width="15" style="2" customWidth="1"/>
    <col min="4877" max="4877" width="16.44140625" style="2" bestFit="1" customWidth="1"/>
    <col min="4878" max="4878" width="18" style="2" customWidth="1"/>
    <col min="4879" max="5121" width="9.109375" style="2"/>
    <col min="5122" max="5122" width="36.88671875" style="2" customWidth="1"/>
    <col min="5123" max="5123" width="9.109375" style="2"/>
    <col min="5124" max="5124" width="10.109375" style="2" bestFit="1" customWidth="1"/>
    <col min="5125" max="5125" width="10.6640625" style="2" bestFit="1" customWidth="1"/>
    <col min="5126" max="5126" width="11.44140625" style="2" bestFit="1" customWidth="1"/>
    <col min="5127" max="5127" width="12.6640625" style="2" bestFit="1" customWidth="1"/>
    <col min="5128" max="5128" width="12.44140625" style="2" bestFit="1" customWidth="1"/>
    <col min="5129" max="5129" width="10.6640625" style="2" bestFit="1" customWidth="1"/>
    <col min="5130" max="5130" width="19.109375" style="2" bestFit="1" customWidth="1"/>
    <col min="5131" max="5131" width="17.5546875" style="2" bestFit="1" customWidth="1"/>
    <col min="5132" max="5132" width="15" style="2" customWidth="1"/>
    <col min="5133" max="5133" width="16.44140625" style="2" bestFit="1" customWidth="1"/>
    <col min="5134" max="5134" width="18" style="2" customWidth="1"/>
    <col min="5135" max="5377" width="9.109375" style="2"/>
    <col min="5378" max="5378" width="36.88671875" style="2" customWidth="1"/>
    <col min="5379" max="5379" width="9.109375" style="2"/>
    <col min="5380" max="5380" width="10.109375" style="2" bestFit="1" customWidth="1"/>
    <col min="5381" max="5381" width="10.6640625" style="2" bestFit="1" customWidth="1"/>
    <col min="5382" max="5382" width="11.44140625" style="2" bestFit="1" customWidth="1"/>
    <col min="5383" max="5383" width="12.6640625" style="2" bestFit="1" customWidth="1"/>
    <col min="5384" max="5384" width="12.44140625" style="2" bestFit="1" customWidth="1"/>
    <col min="5385" max="5385" width="10.6640625" style="2" bestFit="1" customWidth="1"/>
    <col min="5386" max="5386" width="19.109375" style="2" bestFit="1" customWidth="1"/>
    <col min="5387" max="5387" width="17.5546875" style="2" bestFit="1" customWidth="1"/>
    <col min="5388" max="5388" width="15" style="2" customWidth="1"/>
    <col min="5389" max="5389" width="16.44140625" style="2" bestFit="1" customWidth="1"/>
    <col min="5390" max="5390" width="18" style="2" customWidth="1"/>
    <col min="5391" max="5633" width="9.109375" style="2"/>
    <col min="5634" max="5634" width="36.88671875" style="2" customWidth="1"/>
    <col min="5635" max="5635" width="9.109375" style="2"/>
    <col min="5636" max="5636" width="10.109375" style="2" bestFit="1" customWidth="1"/>
    <col min="5637" max="5637" width="10.6640625" style="2" bestFit="1" customWidth="1"/>
    <col min="5638" max="5638" width="11.44140625" style="2" bestFit="1" customWidth="1"/>
    <col min="5639" max="5639" width="12.6640625" style="2" bestFit="1" customWidth="1"/>
    <col min="5640" max="5640" width="12.44140625" style="2" bestFit="1" customWidth="1"/>
    <col min="5641" max="5641" width="10.6640625" style="2" bestFit="1" customWidth="1"/>
    <col min="5642" max="5642" width="19.109375" style="2" bestFit="1" customWidth="1"/>
    <col min="5643" max="5643" width="17.5546875" style="2" bestFit="1" customWidth="1"/>
    <col min="5644" max="5644" width="15" style="2" customWidth="1"/>
    <col min="5645" max="5645" width="16.44140625" style="2" bestFit="1" customWidth="1"/>
    <col min="5646" max="5646" width="18" style="2" customWidth="1"/>
    <col min="5647" max="5889" width="9.109375" style="2"/>
    <col min="5890" max="5890" width="36.88671875" style="2" customWidth="1"/>
    <col min="5891" max="5891" width="9.109375" style="2"/>
    <col min="5892" max="5892" width="10.109375" style="2" bestFit="1" customWidth="1"/>
    <col min="5893" max="5893" width="10.6640625" style="2" bestFit="1" customWidth="1"/>
    <col min="5894" max="5894" width="11.44140625" style="2" bestFit="1" customWidth="1"/>
    <col min="5895" max="5895" width="12.6640625" style="2" bestFit="1" customWidth="1"/>
    <col min="5896" max="5896" width="12.44140625" style="2" bestFit="1" customWidth="1"/>
    <col min="5897" max="5897" width="10.6640625" style="2" bestFit="1" customWidth="1"/>
    <col min="5898" max="5898" width="19.109375" style="2" bestFit="1" customWidth="1"/>
    <col min="5899" max="5899" width="17.5546875" style="2" bestFit="1" customWidth="1"/>
    <col min="5900" max="5900" width="15" style="2" customWidth="1"/>
    <col min="5901" max="5901" width="16.44140625" style="2" bestFit="1" customWidth="1"/>
    <col min="5902" max="5902" width="18" style="2" customWidth="1"/>
    <col min="5903" max="6145" width="9.109375" style="2"/>
    <col min="6146" max="6146" width="36.88671875" style="2" customWidth="1"/>
    <col min="6147" max="6147" width="9.109375" style="2"/>
    <col min="6148" max="6148" width="10.109375" style="2" bestFit="1" customWidth="1"/>
    <col min="6149" max="6149" width="10.6640625" style="2" bestFit="1" customWidth="1"/>
    <col min="6150" max="6150" width="11.44140625" style="2" bestFit="1" customWidth="1"/>
    <col min="6151" max="6151" width="12.6640625" style="2" bestFit="1" customWidth="1"/>
    <col min="6152" max="6152" width="12.44140625" style="2" bestFit="1" customWidth="1"/>
    <col min="6153" max="6153" width="10.6640625" style="2" bestFit="1" customWidth="1"/>
    <col min="6154" max="6154" width="19.109375" style="2" bestFit="1" customWidth="1"/>
    <col min="6155" max="6155" width="17.5546875" style="2" bestFit="1" customWidth="1"/>
    <col min="6156" max="6156" width="15" style="2" customWidth="1"/>
    <col min="6157" max="6157" width="16.44140625" style="2" bestFit="1" customWidth="1"/>
    <col min="6158" max="6158" width="18" style="2" customWidth="1"/>
    <col min="6159" max="6401" width="9.109375" style="2"/>
    <col min="6402" max="6402" width="36.88671875" style="2" customWidth="1"/>
    <col min="6403" max="6403" width="9.109375" style="2"/>
    <col min="6404" max="6404" width="10.109375" style="2" bestFit="1" customWidth="1"/>
    <col min="6405" max="6405" width="10.6640625" style="2" bestFit="1" customWidth="1"/>
    <col min="6406" max="6406" width="11.44140625" style="2" bestFit="1" customWidth="1"/>
    <col min="6407" max="6407" width="12.6640625" style="2" bestFit="1" customWidth="1"/>
    <col min="6408" max="6408" width="12.44140625" style="2" bestFit="1" customWidth="1"/>
    <col min="6409" max="6409" width="10.6640625" style="2" bestFit="1" customWidth="1"/>
    <col min="6410" max="6410" width="19.109375" style="2" bestFit="1" customWidth="1"/>
    <col min="6411" max="6411" width="17.5546875" style="2" bestFit="1" customWidth="1"/>
    <col min="6412" max="6412" width="15" style="2" customWidth="1"/>
    <col min="6413" max="6413" width="16.44140625" style="2" bestFit="1" customWidth="1"/>
    <col min="6414" max="6414" width="18" style="2" customWidth="1"/>
    <col min="6415" max="6657" width="9.109375" style="2"/>
    <col min="6658" max="6658" width="36.88671875" style="2" customWidth="1"/>
    <col min="6659" max="6659" width="9.109375" style="2"/>
    <col min="6660" max="6660" width="10.109375" style="2" bestFit="1" customWidth="1"/>
    <col min="6661" max="6661" width="10.6640625" style="2" bestFit="1" customWidth="1"/>
    <col min="6662" max="6662" width="11.44140625" style="2" bestFit="1" customWidth="1"/>
    <col min="6663" max="6663" width="12.6640625" style="2" bestFit="1" customWidth="1"/>
    <col min="6664" max="6664" width="12.44140625" style="2" bestFit="1" customWidth="1"/>
    <col min="6665" max="6665" width="10.6640625" style="2" bestFit="1" customWidth="1"/>
    <col min="6666" max="6666" width="19.109375" style="2" bestFit="1" customWidth="1"/>
    <col min="6667" max="6667" width="17.5546875" style="2" bestFit="1" customWidth="1"/>
    <col min="6668" max="6668" width="15" style="2" customWidth="1"/>
    <col min="6669" max="6669" width="16.44140625" style="2" bestFit="1" customWidth="1"/>
    <col min="6670" max="6670" width="18" style="2" customWidth="1"/>
    <col min="6671" max="6913" width="9.109375" style="2"/>
    <col min="6914" max="6914" width="36.88671875" style="2" customWidth="1"/>
    <col min="6915" max="6915" width="9.109375" style="2"/>
    <col min="6916" max="6916" width="10.109375" style="2" bestFit="1" customWidth="1"/>
    <col min="6917" max="6917" width="10.6640625" style="2" bestFit="1" customWidth="1"/>
    <col min="6918" max="6918" width="11.44140625" style="2" bestFit="1" customWidth="1"/>
    <col min="6919" max="6919" width="12.6640625" style="2" bestFit="1" customWidth="1"/>
    <col min="6920" max="6920" width="12.44140625" style="2" bestFit="1" customWidth="1"/>
    <col min="6921" max="6921" width="10.6640625" style="2" bestFit="1" customWidth="1"/>
    <col min="6922" max="6922" width="19.109375" style="2" bestFit="1" customWidth="1"/>
    <col min="6923" max="6923" width="17.5546875" style="2" bestFit="1" customWidth="1"/>
    <col min="6924" max="6924" width="15" style="2" customWidth="1"/>
    <col min="6925" max="6925" width="16.44140625" style="2" bestFit="1" customWidth="1"/>
    <col min="6926" max="6926" width="18" style="2" customWidth="1"/>
    <col min="6927" max="7169" width="9.109375" style="2"/>
    <col min="7170" max="7170" width="36.88671875" style="2" customWidth="1"/>
    <col min="7171" max="7171" width="9.109375" style="2"/>
    <col min="7172" max="7172" width="10.109375" style="2" bestFit="1" customWidth="1"/>
    <col min="7173" max="7173" width="10.6640625" style="2" bestFit="1" customWidth="1"/>
    <col min="7174" max="7174" width="11.44140625" style="2" bestFit="1" customWidth="1"/>
    <col min="7175" max="7175" width="12.6640625" style="2" bestFit="1" customWidth="1"/>
    <col min="7176" max="7176" width="12.44140625" style="2" bestFit="1" customWidth="1"/>
    <col min="7177" max="7177" width="10.6640625" style="2" bestFit="1" customWidth="1"/>
    <col min="7178" max="7178" width="19.109375" style="2" bestFit="1" customWidth="1"/>
    <col min="7179" max="7179" width="17.5546875" style="2" bestFit="1" customWidth="1"/>
    <col min="7180" max="7180" width="15" style="2" customWidth="1"/>
    <col min="7181" max="7181" width="16.44140625" style="2" bestFit="1" customWidth="1"/>
    <col min="7182" max="7182" width="18" style="2" customWidth="1"/>
    <col min="7183" max="7425" width="9.109375" style="2"/>
    <col min="7426" max="7426" width="36.88671875" style="2" customWidth="1"/>
    <col min="7427" max="7427" width="9.109375" style="2"/>
    <col min="7428" max="7428" width="10.109375" style="2" bestFit="1" customWidth="1"/>
    <col min="7429" max="7429" width="10.6640625" style="2" bestFit="1" customWidth="1"/>
    <col min="7430" max="7430" width="11.44140625" style="2" bestFit="1" customWidth="1"/>
    <col min="7431" max="7431" width="12.6640625" style="2" bestFit="1" customWidth="1"/>
    <col min="7432" max="7432" width="12.44140625" style="2" bestFit="1" customWidth="1"/>
    <col min="7433" max="7433" width="10.6640625" style="2" bestFit="1" customWidth="1"/>
    <col min="7434" max="7434" width="19.109375" style="2" bestFit="1" customWidth="1"/>
    <col min="7435" max="7435" width="17.5546875" style="2" bestFit="1" customWidth="1"/>
    <col min="7436" max="7436" width="15" style="2" customWidth="1"/>
    <col min="7437" max="7437" width="16.44140625" style="2" bestFit="1" customWidth="1"/>
    <col min="7438" max="7438" width="18" style="2" customWidth="1"/>
    <col min="7439" max="7681" width="9.109375" style="2"/>
    <col min="7682" max="7682" width="36.88671875" style="2" customWidth="1"/>
    <col min="7683" max="7683" width="9.109375" style="2"/>
    <col min="7684" max="7684" width="10.109375" style="2" bestFit="1" customWidth="1"/>
    <col min="7685" max="7685" width="10.6640625" style="2" bestFit="1" customWidth="1"/>
    <col min="7686" max="7686" width="11.44140625" style="2" bestFit="1" customWidth="1"/>
    <col min="7687" max="7687" width="12.6640625" style="2" bestFit="1" customWidth="1"/>
    <col min="7688" max="7688" width="12.44140625" style="2" bestFit="1" customWidth="1"/>
    <col min="7689" max="7689" width="10.6640625" style="2" bestFit="1" customWidth="1"/>
    <col min="7690" max="7690" width="19.109375" style="2" bestFit="1" customWidth="1"/>
    <col min="7691" max="7691" width="17.5546875" style="2" bestFit="1" customWidth="1"/>
    <col min="7692" max="7692" width="15" style="2" customWidth="1"/>
    <col min="7693" max="7693" width="16.44140625" style="2" bestFit="1" customWidth="1"/>
    <col min="7694" max="7694" width="18" style="2" customWidth="1"/>
    <col min="7695" max="7937" width="9.109375" style="2"/>
    <col min="7938" max="7938" width="36.88671875" style="2" customWidth="1"/>
    <col min="7939" max="7939" width="9.109375" style="2"/>
    <col min="7940" max="7940" width="10.109375" style="2" bestFit="1" customWidth="1"/>
    <col min="7941" max="7941" width="10.6640625" style="2" bestFit="1" customWidth="1"/>
    <col min="7942" max="7942" width="11.44140625" style="2" bestFit="1" customWidth="1"/>
    <col min="7943" max="7943" width="12.6640625" style="2" bestFit="1" customWidth="1"/>
    <col min="7944" max="7944" width="12.44140625" style="2" bestFit="1" customWidth="1"/>
    <col min="7945" max="7945" width="10.6640625" style="2" bestFit="1" customWidth="1"/>
    <col min="7946" max="7946" width="19.109375" style="2" bestFit="1" customWidth="1"/>
    <col min="7947" max="7947" width="17.5546875" style="2" bestFit="1" customWidth="1"/>
    <col min="7948" max="7948" width="15" style="2" customWidth="1"/>
    <col min="7949" max="7949" width="16.44140625" style="2" bestFit="1" customWidth="1"/>
    <col min="7950" max="7950" width="18" style="2" customWidth="1"/>
    <col min="7951" max="8193" width="9.109375" style="2"/>
    <col min="8194" max="8194" width="36.88671875" style="2" customWidth="1"/>
    <col min="8195" max="8195" width="9.109375" style="2"/>
    <col min="8196" max="8196" width="10.109375" style="2" bestFit="1" customWidth="1"/>
    <col min="8197" max="8197" width="10.6640625" style="2" bestFit="1" customWidth="1"/>
    <col min="8198" max="8198" width="11.44140625" style="2" bestFit="1" customWidth="1"/>
    <col min="8199" max="8199" width="12.6640625" style="2" bestFit="1" customWidth="1"/>
    <col min="8200" max="8200" width="12.44140625" style="2" bestFit="1" customWidth="1"/>
    <col min="8201" max="8201" width="10.6640625" style="2" bestFit="1" customWidth="1"/>
    <col min="8202" max="8202" width="19.109375" style="2" bestFit="1" customWidth="1"/>
    <col min="8203" max="8203" width="17.5546875" style="2" bestFit="1" customWidth="1"/>
    <col min="8204" max="8204" width="15" style="2" customWidth="1"/>
    <col min="8205" max="8205" width="16.44140625" style="2" bestFit="1" customWidth="1"/>
    <col min="8206" max="8206" width="18" style="2" customWidth="1"/>
    <col min="8207" max="8449" width="9.109375" style="2"/>
    <col min="8450" max="8450" width="36.88671875" style="2" customWidth="1"/>
    <col min="8451" max="8451" width="9.109375" style="2"/>
    <col min="8452" max="8452" width="10.109375" style="2" bestFit="1" customWidth="1"/>
    <col min="8453" max="8453" width="10.6640625" style="2" bestFit="1" customWidth="1"/>
    <col min="8454" max="8454" width="11.44140625" style="2" bestFit="1" customWidth="1"/>
    <col min="8455" max="8455" width="12.6640625" style="2" bestFit="1" customWidth="1"/>
    <col min="8456" max="8456" width="12.44140625" style="2" bestFit="1" customWidth="1"/>
    <col min="8457" max="8457" width="10.6640625" style="2" bestFit="1" customWidth="1"/>
    <col min="8458" max="8458" width="19.109375" style="2" bestFit="1" customWidth="1"/>
    <col min="8459" max="8459" width="17.5546875" style="2" bestFit="1" customWidth="1"/>
    <col min="8460" max="8460" width="15" style="2" customWidth="1"/>
    <col min="8461" max="8461" width="16.44140625" style="2" bestFit="1" customWidth="1"/>
    <col min="8462" max="8462" width="18" style="2" customWidth="1"/>
    <col min="8463" max="8705" width="9.109375" style="2"/>
    <col min="8706" max="8706" width="36.88671875" style="2" customWidth="1"/>
    <col min="8707" max="8707" width="9.109375" style="2"/>
    <col min="8708" max="8708" width="10.109375" style="2" bestFit="1" customWidth="1"/>
    <col min="8709" max="8709" width="10.6640625" style="2" bestFit="1" customWidth="1"/>
    <col min="8710" max="8710" width="11.44140625" style="2" bestFit="1" customWidth="1"/>
    <col min="8711" max="8711" width="12.6640625" style="2" bestFit="1" customWidth="1"/>
    <col min="8712" max="8712" width="12.44140625" style="2" bestFit="1" customWidth="1"/>
    <col min="8713" max="8713" width="10.6640625" style="2" bestFit="1" customWidth="1"/>
    <col min="8714" max="8714" width="19.109375" style="2" bestFit="1" customWidth="1"/>
    <col min="8715" max="8715" width="17.5546875" style="2" bestFit="1" customWidth="1"/>
    <col min="8716" max="8716" width="15" style="2" customWidth="1"/>
    <col min="8717" max="8717" width="16.44140625" style="2" bestFit="1" customWidth="1"/>
    <col min="8718" max="8718" width="18" style="2" customWidth="1"/>
    <col min="8719" max="8961" width="9.109375" style="2"/>
    <col min="8962" max="8962" width="36.88671875" style="2" customWidth="1"/>
    <col min="8963" max="8963" width="9.109375" style="2"/>
    <col min="8964" max="8964" width="10.109375" style="2" bestFit="1" customWidth="1"/>
    <col min="8965" max="8965" width="10.6640625" style="2" bestFit="1" customWidth="1"/>
    <col min="8966" max="8966" width="11.44140625" style="2" bestFit="1" customWidth="1"/>
    <col min="8967" max="8967" width="12.6640625" style="2" bestFit="1" customWidth="1"/>
    <col min="8968" max="8968" width="12.44140625" style="2" bestFit="1" customWidth="1"/>
    <col min="8969" max="8969" width="10.6640625" style="2" bestFit="1" customWidth="1"/>
    <col min="8970" max="8970" width="19.109375" style="2" bestFit="1" customWidth="1"/>
    <col min="8971" max="8971" width="17.5546875" style="2" bestFit="1" customWidth="1"/>
    <col min="8972" max="8972" width="15" style="2" customWidth="1"/>
    <col min="8973" max="8973" width="16.44140625" style="2" bestFit="1" customWidth="1"/>
    <col min="8974" max="8974" width="18" style="2" customWidth="1"/>
    <col min="8975" max="9217" width="9.109375" style="2"/>
    <col min="9218" max="9218" width="36.88671875" style="2" customWidth="1"/>
    <col min="9219" max="9219" width="9.109375" style="2"/>
    <col min="9220" max="9220" width="10.109375" style="2" bestFit="1" customWidth="1"/>
    <col min="9221" max="9221" width="10.6640625" style="2" bestFit="1" customWidth="1"/>
    <col min="9222" max="9222" width="11.44140625" style="2" bestFit="1" customWidth="1"/>
    <col min="9223" max="9223" width="12.6640625" style="2" bestFit="1" customWidth="1"/>
    <col min="9224" max="9224" width="12.44140625" style="2" bestFit="1" customWidth="1"/>
    <col min="9225" max="9225" width="10.6640625" style="2" bestFit="1" customWidth="1"/>
    <col min="9226" max="9226" width="19.109375" style="2" bestFit="1" customWidth="1"/>
    <col min="9227" max="9227" width="17.5546875" style="2" bestFit="1" customWidth="1"/>
    <col min="9228" max="9228" width="15" style="2" customWidth="1"/>
    <col min="9229" max="9229" width="16.44140625" style="2" bestFit="1" customWidth="1"/>
    <col min="9230" max="9230" width="18" style="2" customWidth="1"/>
    <col min="9231" max="9473" width="9.109375" style="2"/>
    <col min="9474" max="9474" width="36.88671875" style="2" customWidth="1"/>
    <col min="9475" max="9475" width="9.109375" style="2"/>
    <col min="9476" max="9476" width="10.109375" style="2" bestFit="1" customWidth="1"/>
    <col min="9477" max="9477" width="10.6640625" style="2" bestFit="1" customWidth="1"/>
    <col min="9478" max="9478" width="11.44140625" style="2" bestFit="1" customWidth="1"/>
    <col min="9479" max="9479" width="12.6640625" style="2" bestFit="1" customWidth="1"/>
    <col min="9480" max="9480" width="12.44140625" style="2" bestFit="1" customWidth="1"/>
    <col min="9481" max="9481" width="10.6640625" style="2" bestFit="1" customWidth="1"/>
    <col min="9482" max="9482" width="19.109375" style="2" bestFit="1" customWidth="1"/>
    <col min="9483" max="9483" width="17.5546875" style="2" bestFit="1" customWidth="1"/>
    <col min="9484" max="9484" width="15" style="2" customWidth="1"/>
    <col min="9485" max="9485" width="16.44140625" style="2" bestFit="1" customWidth="1"/>
    <col min="9486" max="9486" width="18" style="2" customWidth="1"/>
    <col min="9487" max="9729" width="9.109375" style="2"/>
    <col min="9730" max="9730" width="36.88671875" style="2" customWidth="1"/>
    <col min="9731" max="9731" width="9.109375" style="2"/>
    <col min="9732" max="9732" width="10.109375" style="2" bestFit="1" customWidth="1"/>
    <col min="9733" max="9733" width="10.6640625" style="2" bestFit="1" customWidth="1"/>
    <col min="9734" max="9734" width="11.44140625" style="2" bestFit="1" customWidth="1"/>
    <col min="9735" max="9735" width="12.6640625" style="2" bestFit="1" customWidth="1"/>
    <col min="9736" max="9736" width="12.44140625" style="2" bestFit="1" customWidth="1"/>
    <col min="9737" max="9737" width="10.6640625" style="2" bestFit="1" customWidth="1"/>
    <col min="9738" max="9738" width="19.109375" style="2" bestFit="1" customWidth="1"/>
    <col min="9739" max="9739" width="17.5546875" style="2" bestFit="1" customWidth="1"/>
    <col min="9740" max="9740" width="15" style="2" customWidth="1"/>
    <col min="9741" max="9741" width="16.44140625" style="2" bestFit="1" customWidth="1"/>
    <col min="9742" max="9742" width="18" style="2" customWidth="1"/>
    <col min="9743" max="9985" width="9.109375" style="2"/>
    <col min="9986" max="9986" width="36.88671875" style="2" customWidth="1"/>
    <col min="9987" max="9987" width="9.109375" style="2"/>
    <col min="9988" max="9988" width="10.109375" style="2" bestFit="1" customWidth="1"/>
    <col min="9989" max="9989" width="10.6640625" style="2" bestFit="1" customWidth="1"/>
    <col min="9990" max="9990" width="11.44140625" style="2" bestFit="1" customWidth="1"/>
    <col min="9991" max="9991" width="12.6640625" style="2" bestFit="1" customWidth="1"/>
    <col min="9992" max="9992" width="12.44140625" style="2" bestFit="1" customWidth="1"/>
    <col min="9993" max="9993" width="10.6640625" style="2" bestFit="1" customWidth="1"/>
    <col min="9994" max="9994" width="19.109375" style="2" bestFit="1" customWidth="1"/>
    <col min="9995" max="9995" width="17.5546875" style="2" bestFit="1" customWidth="1"/>
    <col min="9996" max="9996" width="15" style="2" customWidth="1"/>
    <col min="9997" max="9997" width="16.44140625" style="2" bestFit="1" customWidth="1"/>
    <col min="9998" max="9998" width="18" style="2" customWidth="1"/>
    <col min="9999" max="10241" width="9.109375" style="2"/>
    <col min="10242" max="10242" width="36.88671875" style="2" customWidth="1"/>
    <col min="10243" max="10243" width="9.109375" style="2"/>
    <col min="10244" max="10244" width="10.109375" style="2" bestFit="1" customWidth="1"/>
    <col min="10245" max="10245" width="10.6640625" style="2" bestFit="1" customWidth="1"/>
    <col min="10246" max="10246" width="11.44140625" style="2" bestFit="1" customWidth="1"/>
    <col min="10247" max="10247" width="12.6640625" style="2" bestFit="1" customWidth="1"/>
    <col min="10248" max="10248" width="12.44140625" style="2" bestFit="1" customWidth="1"/>
    <col min="10249" max="10249" width="10.6640625" style="2" bestFit="1" customWidth="1"/>
    <col min="10250" max="10250" width="19.109375" style="2" bestFit="1" customWidth="1"/>
    <col min="10251" max="10251" width="17.5546875" style="2" bestFit="1" customWidth="1"/>
    <col min="10252" max="10252" width="15" style="2" customWidth="1"/>
    <col min="10253" max="10253" width="16.44140625" style="2" bestFit="1" customWidth="1"/>
    <col min="10254" max="10254" width="18" style="2" customWidth="1"/>
    <col min="10255" max="10497" width="9.109375" style="2"/>
    <col min="10498" max="10498" width="36.88671875" style="2" customWidth="1"/>
    <col min="10499" max="10499" width="9.109375" style="2"/>
    <col min="10500" max="10500" width="10.109375" style="2" bestFit="1" customWidth="1"/>
    <col min="10501" max="10501" width="10.6640625" style="2" bestFit="1" customWidth="1"/>
    <col min="10502" max="10502" width="11.44140625" style="2" bestFit="1" customWidth="1"/>
    <col min="10503" max="10503" width="12.6640625" style="2" bestFit="1" customWidth="1"/>
    <col min="10504" max="10504" width="12.44140625" style="2" bestFit="1" customWidth="1"/>
    <col min="10505" max="10505" width="10.6640625" style="2" bestFit="1" customWidth="1"/>
    <col min="10506" max="10506" width="19.109375" style="2" bestFit="1" customWidth="1"/>
    <col min="10507" max="10507" width="17.5546875" style="2" bestFit="1" customWidth="1"/>
    <col min="10508" max="10508" width="15" style="2" customWidth="1"/>
    <col min="10509" max="10509" width="16.44140625" style="2" bestFit="1" customWidth="1"/>
    <col min="10510" max="10510" width="18" style="2" customWidth="1"/>
    <col min="10511" max="10753" width="9.109375" style="2"/>
    <col min="10754" max="10754" width="36.88671875" style="2" customWidth="1"/>
    <col min="10755" max="10755" width="9.109375" style="2"/>
    <col min="10756" max="10756" width="10.109375" style="2" bestFit="1" customWidth="1"/>
    <col min="10757" max="10757" width="10.6640625" style="2" bestFit="1" customWidth="1"/>
    <col min="10758" max="10758" width="11.44140625" style="2" bestFit="1" customWidth="1"/>
    <col min="10759" max="10759" width="12.6640625" style="2" bestFit="1" customWidth="1"/>
    <col min="10760" max="10760" width="12.44140625" style="2" bestFit="1" customWidth="1"/>
    <col min="10761" max="10761" width="10.6640625" style="2" bestFit="1" customWidth="1"/>
    <col min="10762" max="10762" width="19.109375" style="2" bestFit="1" customWidth="1"/>
    <col min="10763" max="10763" width="17.5546875" style="2" bestFit="1" customWidth="1"/>
    <col min="10764" max="10764" width="15" style="2" customWidth="1"/>
    <col min="10765" max="10765" width="16.44140625" style="2" bestFit="1" customWidth="1"/>
    <col min="10766" max="10766" width="18" style="2" customWidth="1"/>
    <col min="10767" max="11009" width="9.109375" style="2"/>
    <col min="11010" max="11010" width="36.88671875" style="2" customWidth="1"/>
    <col min="11011" max="11011" width="9.109375" style="2"/>
    <col min="11012" max="11012" width="10.109375" style="2" bestFit="1" customWidth="1"/>
    <col min="11013" max="11013" width="10.6640625" style="2" bestFit="1" customWidth="1"/>
    <col min="11014" max="11014" width="11.44140625" style="2" bestFit="1" customWidth="1"/>
    <col min="11015" max="11015" width="12.6640625" style="2" bestFit="1" customWidth="1"/>
    <col min="11016" max="11016" width="12.44140625" style="2" bestFit="1" customWidth="1"/>
    <col min="11017" max="11017" width="10.6640625" style="2" bestFit="1" customWidth="1"/>
    <col min="11018" max="11018" width="19.109375" style="2" bestFit="1" customWidth="1"/>
    <col min="11019" max="11019" width="17.5546875" style="2" bestFit="1" customWidth="1"/>
    <col min="11020" max="11020" width="15" style="2" customWidth="1"/>
    <col min="11021" max="11021" width="16.44140625" style="2" bestFit="1" customWidth="1"/>
    <col min="11022" max="11022" width="18" style="2" customWidth="1"/>
    <col min="11023" max="11265" width="9.109375" style="2"/>
    <col min="11266" max="11266" width="36.88671875" style="2" customWidth="1"/>
    <col min="11267" max="11267" width="9.109375" style="2"/>
    <col min="11268" max="11268" width="10.109375" style="2" bestFit="1" customWidth="1"/>
    <col min="11269" max="11269" width="10.6640625" style="2" bestFit="1" customWidth="1"/>
    <col min="11270" max="11270" width="11.44140625" style="2" bestFit="1" customWidth="1"/>
    <col min="11271" max="11271" width="12.6640625" style="2" bestFit="1" customWidth="1"/>
    <col min="11272" max="11272" width="12.44140625" style="2" bestFit="1" customWidth="1"/>
    <col min="11273" max="11273" width="10.6640625" style="2" bestFit="1" customWidth="1"/>
    <col min="11274" max="11274" width="19.109375" style="2" bestFit="1" customWidth="1"/>
    <col min="11275" max="11275" width="17.5546875" style="2" bestFit="1" customWidth="1"/>
    <col min="11276" max="11276" width="15" style="2" customWidth="1"/>
    <col min="11277" max="11277" width="16.44140625" style="2" bestFit="1" customWidth="1"/>
    <col min="11278" max="11278" width="18" style="2" customWidth="1"/>
    <col min="11279" max="11521" width="9.109375" style="2"/>
    <col min="11522" max="11522" width="36.88671875" style="2" customWidth="1"/>
    <col min="11523" max="11523" width="9.109375" style="2"/>
    <col min="11524" max="11524" width="10.109375" style="2" bestFit="1" customWidth="1"/>
    <col min="11525" max="11525" width="10.6640625" style="2" bestFit="1" customWidth="1"/>
    <col min="11526" max="11526" width="11.44140625" style="2" bestFit="1" customWidth="1"/>
    <col min="11527" max="11527" width="12.6640625" style="2" bestFit="1" customWidth="1"/>
    <col min="11528" max="11528" width="12.44140625" style="2" bestFit="1" customWidth="1"/>
    <col min="11529" max="11529" width="10.6640625" style="2" bestFit="1" customWidth="1"/>
    <col min="11530" max="11530" width="19.109375" style="2" bestFit="1" customWidth="1"/>
    <col min="11531" max="11531" width="17.5546875" style="2" bestFit="1" customWidth="1"/>
    <col min="11532" max="11532" width="15" style="2" customWidth="1"/>
    <col min="11533" max="11533" width="16.44140625" style="2" bestFit="1" customWidth="1"/>
    <col min="11534" max="11534" width="18" style="2" customWidth="1"/>
    <col min="11535" max="11777" width="9.109375" style="2"/>
    <col min="11778" max="11778" width="36.88671875" style="2" customWidth="1"/>
    <col min="11779" max="11779" width="9.109375" style="2"/>
    <col min="11780" max="11780" width="10.109375" style="2" bestFit="1" customWidth="1"/>
    <col min="11781" max="11781" width="10.6640625" style="2" bestFit="1" customWidth="1"/>
    <col min="11782" max="11782" width="11.44140625" style="2" bestFit="1" customWidth="1"/>
    <col min="11783" max="11783" width="12.6640625" style="2" bestFit="1" customWidth="1"/>
    <col min="11784" max="11784" width="12.44140625" style="2" bestFit="1" customWidth="1"/>
    <col min="11785" max="11785" width="10.6640625" style="2" bestFit="1" customWidth="1"/>
    <col min="11786" max="11786" width="19.109375" style="2" bestFit="1" customWidth="1"/>
    <col min="11787" max="11787" width="17.5546875" style="2" bestFit="1" customWidth="1"/>
    <col min="11788" max="11788" width="15" style="2" customWidth="1"/>
    <col min="11789" max="11789" width="16.44140625" style="2" bestFit="1" customWidth="1"/>
    <col min="11790" max="11790" width="18" style="2" customWidth="1"/>
    <col min="11791" max="12033" width="9.109375" style="2"/>
    <col min="12034" max="12034" width="36.88671875" style="2" customWidth="1"/>
    <col min="12035" max="12035" width="9.109375" style="2"/>
    <col min="12036" max="12036" width="10.109375" style="2" bestFit="1" customWidth="1"/>
    <col min="12037" max="12037" width="10.6640625" style="2" bestFit="1" customWidth="1"/>
    <col min="12038" max="12038" width="11.44140625" style="2" bestFit="1" customWidth="1"/>
    <col min="12039" max="12039" width="12.6640625" style="2" bestFit="1" customWidth="1"/>
    <col min="12040" max="12040" width="12.44140625" style="2" bestFit="1" customWidth="1"/>
    <col min="12041" max="12041" width="10.6640625" style="2" bestFit="1" customWidth="1"/>
    <col min="12042" max="12042" width="19.109375" style="2" bestFit="1" customWidth="1"/>
    <col min="12043" max="12043" width="17.5546875" style="2" bestFit="1" customWidth="1"/>
    <col min="12044" max="12044" width="15" style="2" customWidth="1"/>
    <col min="12045" max="12045" width="16.44140625" style="2" bestFit="1" customWidth="1"/>
    <col min="12046" max="12046" width="18" style="2" customWidth="1"/>
    <col min="12047" max="12289" width="9.109375" style="2"/>
    <col min="12290" max="12290" width="36.88671875" style="2" customWidth="1"/>
    <col min="12291" max="12291" width="9.109375" style="2"/>
    <col min="12292" max="12292" width="10.109375" style="2" bestFit="1" customWidth="1"/>
    <col min="12293" max="12293" width="10.6640625" style="2" bestFit="1" customWidth="1"/>
    <col min="12294" max="12294" width="11.44140625" style="2" bestFit="1" customWidth="1"/>
    <col min="12295" max="12295" width="12.6640625" style="2" bestFit="1" customWidth="1"/>
    <col min="12296" max="12296" width="12.44140625" style="2" bestFit="1" customWidth="1"/>
    <col min="12297" max="12297" width="10.6640625" style="2" bestFit="1" customWidth="1"/>
    <col min="12298" max="12298" width="19.109375" style="2" bestFit="1" customWidth="1"/>
    <col min="12299" max="12299" width="17.5546875" style="2" bestFit="1" customWidth="1"/>
    <col min="12300" max="12300" width="15" style="2" customWidth="1"/>
    <col min="12301" max="12301" width="16.44140625" style="2" bestFit="1" customWidth="1"/>
    <col min="12302" max="12302" width="18" style="2" customWidth="1"/>
    <col min="12303" max="12545" width="9.109375" style="2"/>
    <col min="12546" max="12546" width="36.88671875" style="2" customWidth="1"/>
    <col min="12547" max="12547" width="9.109375" style="2"/>
    <col min="12548" max="12548" width="10.109375" style="2" bestFit="1" customWidth="1"/>
    <col min="12549" max="12549" width="10.6640625" style="2" bestFit="1" customWidth="1"/>
    <col min="12550" max="12550" width="11.44140625" style="2" bestFit="1" customWidth="1"/>
    <col min="12551" max="12551" width="12.6640625" style="2" bestFit="1" customWidth="1"/>
    <col min="12552" max="12552" width="12.44140625" style="2" bestFit="1" customWidth="1"/>
    <col min="12553" max="12553" width="10.6640625" style="2" bestFit="1" customWidth="1"/>
    <col min="12554" max="12554" width="19.109375" style="2" bestFit="1" customWidth="1"/>
    <col min="12555" max="12555" width="17.5546875" style="2" bestFit="1" customWidth="1"/>
    <col min="12556" max="12556" width="15" style="2" customWidth="1"/>
    <col min="12557" max="12557" width="16.44140625" style="2" bestFit="1" customWidth="1"/>
    <col min="12558" max="12558" width="18" style="2" customWidth="1"/>
    <col min="12559" max="12801" width="9.109375" style="2"/>
    <col min="12802" max="12802" width="36.88671875" style="2" customWidth="1"/>
    <col min="12803" max="12803" width="9.109375" style="2"/>
    <col min="12804" max="12804" width="10.109375" style="2" bestFit="1" customWidth="1"/>
    <col min="12805" max="12805" width="10.6640625" style="2" bestFit="1" customWidth="1"/>
    <col min="12806" max="12806" width="11.44140625" style="2" bestFit="1" customWidth="1"/>
    <col min="12807" max="12807" width="12.6640625" style="2" bestFit="1" customWidth="1"/>
    <col min="12808" max="12808" width="12.44140625" style="2" bestFit="1" customWidth="1"/>
    <col min="12809" max="12809" width="10.6640625" style="2" bestFit="1" customWidth="1"/>
    <col min="12810" max="12810" width="19.109375" style="2" bestFit="1" customWidth="1"/>
    <col min="12811" max="12811" width="17.5546875" style="2" bestFit="1" customWidth="1"/>
    <col min="12812" max="12812" width="15" style="2" customWidth="1"/>
    <col min="12813" max="12813" width="16.44140625" style="2" bestFit="1" customWidth="1"/>
    <col min="12814" max="12814" width="18" style="2" customWidth="1"/>
    <col min="12815" max="13057" width="9.109375" style="2"/>
    <col min="13058" max="13058" width="36.88671875" style="2" customWidth="1"/>
    <col min="13059" max="13059" width="9.109375" style="2"/>
    <col min="13060" max="13060" width="10.109375" style="2" bestFit="1" customWidth="1"/>
    <col min="13061" max="13061" width="10.6640625" style="2" bestFit="1" customWidth="1"/>
    <col min="13062" max="13062" width="11.44140625" style="2" bestFit="1" customWidth="1"/>
    <col min="13063" max="13063" width="12.6640625" style="2" bestFit="1" customWidth="1"/>
    <col min="13064" max="13064" width="12.44140625" style="2" bestFit="1" customWidth="1"/>
    <col min="13065" max="13065" width="10.6640625" style="2" bestFit="1" customWidth="1"/>
    <col min="13066" max="13066" width="19.109375" style="2" bestFit="1" customWidth="1"/>
    <col min="13067" max="13067" width="17.5546875" style="2" bestFit="1" customWidth="1"/>
    <col min="13068" max="13068" width="15" style="2" customWidth="1"/>
    <col min="13069" max="13069" width="16.44140625" style="2" bestFit="1" customWidth="1"/>
    <col min="13070" max="13070" width="18" style="2" customWidth="1"/>
    <col min="13071" max="13313" width="9.109375" style="2"/>
    <col min="13314" max="13314" width="36.88671875" style="2" customWidth="1"/>
    <col min="13315" max="13315" width="9.109375" style="2"/>
    <col min="13316" max="13316" width="10.109375" style="2" bestFit="1" customWidth="1"/>
    <col min="13317" max="13317" width="10.6640625" style="2" bestFit="1" customWidth="1"/>
    <col min="13318" max="13318" width="11.44140625" style="2" bestFit="1" customWidth="1"/>
    <col min="13319" max="13319" width="12.6640625" style="2" bestFit="1" customWidth="1"/>
    <col min="13320" max="13320" width="12.44140625" style="2" bestFit="1" customWidth="1"/>
    <col min="13321" max="13321" width="10.6640625" style="2" bestFit="1" customWidth="1"/>
    <col min="13322" max="13322" width="19.109375" style="2" bestFit="1" customWidth="1"/>
    <col min="13323" max="13323" width="17.5546875" style="2" bestFit="1" customWidth="1"/>
    <col min="13324" max="13324" width="15" style="2" customWidth="1"/>
    <col min="13325" max="13325" width="16.44140625" style="2" bestFit="1" customWidth="1"/>
    <col min="13326" max="13326" width="18" style="2" customWidth="1"/>
    <col min="13327" max="13569" width="9.109375" style="2"/>
    <col min="13570" max="13570" width="36.88671875" style="2" customWidth="1"/>
    <col min="13571" max="13571" width="9.109375" style="2"/>
    <col min="13572" max="13572" width="10.109375" style="2" bestFit="1" customWidth="1"/>
    <col min="13573" max="13573" width="10.6640625" style="2" bestFit="1" customWidth="1"/>
    <col min="13574" max="13574" width="11.44140625" style="2" bestFit="1" customWidth="1"/>
    <col min="13575" max="13575" width="12.6640625" style="2" bestFit="1" customWidth="1"/>
    <col min="13576" max="13576" width="12.44140625" style="2" bestFit="1" customWidth="1"/>
    <col min="13577" max="13577" width="10.6640625" style="2" bestFit="1" customWidth="1"/>
    <col min="13578" max="13578" width="19.109375" style="2" bestFit="1" customWidth="1"/>
    <col min="13579" max="13579" width="17.5546875" style="2" bestFit="1" customWidth="1"/>
    <col min="13580" max="13580" width="15" style="2" customWidth="1"/>
    <col min="13581" max="13581" width="16.44140625" style="2" bestFit="1" customWidth="1"/>
    <col min="13582" max="13582" width="18" style="2" customWidth="1"/>
    <col min="13583" max="13825" width="9.109375" style="2"/>
    <col min="13826" max="13826" width="36.88671875" style="2" customWidth="1"/>
    <col min="13827" max="13827" width="9.109375" style="2"/>
    <col min="13828" max="13828" width="10.109375" style="2" bestFit="1" customWidth="1"/>
    <col min="13829" max="13829" width="10.6640625" style="2" bestFit="1" customWidth="1"/>
    <col min="13830" max="13830" width="11.44140625" style="2" bestFit="1" customWidth="1"/>
    <col min="13831" max="13831" width="12.6640625" style="2" bestFit="1" customWidth="1"/>
    <col min="13832" max="13832" width="12.44140625" style="2" bestFit="1" customWidth="1"/>
    <col min="13833" max="13833" width="10.6640625" style="2" bestFit="1" customWidth="1"/>
    <col min="13834" max="13834" width="19.109375" style="2" bestFit="1" customWidth="1"/>
    <col min="13835" max="13835" width="17.5546875" style="2" bestFit="1" customWidth="1"/>
    <col min="13836" max="13836" width="15" style="2" customWidth="1"/>
    <col min="13837" max="13837" width="16.44140625" style="2" bestFit="1" customWidth="1"/>
    <col min="13838" max="13838" width="18" style="2" customWidth="1"/>
    <col min="13839" max="14081" width="9.109375" style="2"/>
    <col min="14082" max="14082" width="36.88671875" style="2" customWidth="1"/>
    <col min="14083" max="14083" width="9.109375" style="2"/>
    <col min="14084" max="14084" width="10.109375" style="2" bestFit="1" customWidth="1"/>
    <col min="14085" max="14085" width="10.6640625" style="2" bestFit="1" customWidth="1"/>
    <col min="14086" max="14086" width="11.44140625" style="2" bestFit="1" customWidth="1"/>
    <col min="14087" max="14087" width="12.6640625" style="2" bestFit="1" customWidth="1"/>
    <col min="14088" max="14088" width="12.44140625" style="2" bestFit="1" customWidth="1"/>
    <col min="14089" max="14089" width="10.6640625" style="2" bestFit="1" customWidth="1"/>
    <col min="14090" max="14090" width="19.109375" style="2" bestFit="1" customWidth="1"/>
    <col min="14091" max="14091" width="17.5546875" style="2" bestFit="1" customWidth="1"/>
    <col min="14092" max="14092" width="15" style="2" customWidth="1"/>
    <col min="14093" max="14093" width="16.44140625" style="2" bestFit="1" customWidth="1"/>
    <col min="14094" max="14094" width="18" style="2" customWidth="1"/>
    <col min="14095" max="14337" width="9.109375" style="2"/>
    <col min="14338" max="14338" width="36.88671875" style="2" customWidth="1"/>
    <col min="14339" max="14339" width="9.109375" style="2"/>
    <col min="14340" max="14340" width="10.109375" style="2" bestFit="1" customWidth="1"/>
    <col min="14341" max="14341" width="10.6640625" style="2" bestFit="1" customWidth="1"/>
    <col min="14342" max="14342" width="11.44140625" style="2" bestFit="1" customWidth="1"/>
    <col min="14343" max="14343" width="12.6640625" style="2" bestFit="1" customWidth="1"/>
    <col min="14344" max="14344" width="12.44140625" style="2" bestFit="1" customWidth="1"/>
    <col min="14345" max="14345" width="10.6640625" style="2" bestFit="1" customWidth="1"/>
    <col min="14346" max="14346" width="19.109375" style="2" bestFit="1" customWidth="1"/>
    <col min="14347" max="14347" width="17.5546875" style="2" bestFit="1" customWidth="1"/>
    <col min="14348" max="14348" width="15" style="2" customWidth="1"/>
    <col min="14349" max="14349" width="16.44140625" style="2" bestFit="1" customWidth="1"/>
    <col min="14350" max="14350" width="18" style="2" customWidth="1"/>
    <col min="14351" max="14593" width="9.109375" style="2"/>
    <col min="14594" max="14594" width="36.88671875" style="2" customWidth="1"/>
    <col min="14595" max="14595" width="9.109375" style="2"/>
    <col min="14596" max="14596" width="10.109375" style="2" bestFit="1" customWidth="1"/>
    <col min="14597" max="14597" width="10.6640625" style="2" bestFit="1" customWidth="1"/>
    <col min="14598" max="14598" width="11.44140625" style="2" bestFit="1" customWidth="1"/>
    <col min="14599" max="14599" width="12.6640625" style="2" bestFit="1" customWidth="1"/>
    <col min="14600" max="14600" width="12.44140625" style="2" bestFit="1" customWidth="1"/>
    <col min="14601" max="14601" width="10.6640625" style="2" bestFit="1" customWidth="1"/>
    <col min="14602" max="14602" width="19.109375" style="2" bestFit="1" customWidth="1"/>
    <col min="14603" max="14603" width="17.5546875" style="2" bestFit="1" customWidth="1"/>
    <col min="14604" max="14604" width="15" style="2" customWidth="1"/>
    <col min="14605" max="14605" width="16.44140625" style="2" bestFit="1" customWidth="1"/>
    <col min="14606" max="14606" width="18" style="2" customWidth="1"/>
    <col min="14607" max="14849" width="9.109375" style="2"/>
    <col min="14850" max="14850" width="36.88671875" style="2" customWidth="1"/>
    <col min="14851" max="14851" width="9.109375" style="2"/>
    <col min="14852" max="14852" width="10.109375" style="2" bestFit="1" customWidth="1"/>
    <col min="14853" max="14853" width="10.6640625" style="2" bestFit="1" customWidth="1"/>
    <col min="14854" max="14854" width="11.44140625" style="2" bestFit="1" customWidth="1"/>
    <col min="14855" max="14855" width="12.6640625" style="2" bestFit="1" customWidth="1"/>
    <col min="14856" max="14856" width="12.44140625" style="2" bestFit="1" customWidth="1"/>
    <col min="14857" max="14857" width="10.6640625" style="2" bestFit="1" customWidth="1"/>
    <col min="14858" max="14858" width="19.109375" style="2" bestFit="1" customWidth="1"/>
    <col min="14859" max="14859" width="17.5546875" style="2" bestFit="1" customWidth="1"/>
    <col min="14860" max="14860" width="15" style="2" customWidth="1"/>
    <col min="14861" max="14861" width="16.44140625" style="2" bestFit="1" customWidth="1"/>
    <col min="14862" max="14862" width="18" style="2" customWidth="1"/>
    <col min="14863" max="15105" width="9.109375" style="2"/>
    <col min="15106" max="15106" width="36.88671875" style="2" customWidth="1"/>
    <col min="15107" max="15107" width="9.109375" style="2"/>
    <col min="15108" max="15108" width="10.109375" style="2" bestFit="1" customWidth="1"/>
    <col min="15109" max="15109" width="10.6640625" style="2" bestFit="1" customWidth="1"/>
    <col min="15110" max="15110" width="11.44140625" style="2" bestFit="1" customWidth="1"/>
    <col min="15111" max="15111" width="12.6640625" style="2" bestFit="1" customWidth="1"/>
    <col min="15112" max="15112" width="12.44140625" style="2" bestFit="1" customWidth="1"/>
    <col min="15113" max="15113" width="10.6640625" style="2" bestFit="1" customWidth="1"/>
    <col min="15114" max="15114" width="19.109375" style="2" bestFit="1" customWidth="1"/>
    <col min="15115" max="15115" width="17.5546875" style="2" bestFit="1" customWidth="1"/>
    <col min="15116" max="15116" width="15" style="2" customWidth="1"/>
    <col min="15117" max="15117" width="16.44140625" style="2" bestFit="1" customWidth="1"/>
    <col min="15118" max="15118" width="18" style="2" customWidth="1"/>
    <col min="15119" max="15361" width="9.109375" style="2"/>
    <col min="15362" max="15362" width="36.88671875" style="2" customWidth="1"/>
    <col min="15363" max="15363" width="9.109375" style="2"/>
    <col min="15364" max="15364" width="10.109375" style="2" bestFit="1" customWidth="1"/>
    <col min="15365" max="15365" width="10.6640625" style="2" bestFit="1" customWidth="1"/>
    <col min="15366" max="15366" width="11.44140625" style="2" bestFit="1" customWidth="1"/>
    <col min="15367" max="15367" width="12.6640625" style="2" bestFit="1" customWidth="1"/>
    <col min="15368" max="15368" width="12.44140625" style="2" bestFit="1" customWidth="1"/>
    <col min="15369" max="15369" width="10.6640625" style="2" bestFit="1" customWidth="1"/>
    <col min="15370" max="15370" width="19.109375" style="2" bestFit="1" customWidth="1"/>
    <col min="15371" max="15371" width="17.5546875" style="2" bestFit="1" customWidth="1"/>
    <col min="15372" max="15372" width="15" style="2" customWidth="1"/>
    <col min="15373" max="15373" width="16.44140625" style="2" bestFit="1" customWidth="1"/>
    <col min="15374" max="15374" width="18" style="2" customWidth="1"/>
    <col min="15375" max="15617" width="9.109375" style="2"/>
    <col min="15618" max="15618" width="36.88671875" style="2" customWidth="1"/>
    <col min="15619" max="15619" width="9.109375" style="2"/>
    <col min="15620" max="15620" width="10.109375" style="2" bestFit="1" customWidth="1"/>
    <col min="15621" max="15621" width="10.6640625" style="2" bestFit="1" customWidth="1"/>
    <col min="15622" max="15622" width="11.44140625" style="2" bestFit="1" customWidth="1"/>
    <col min="15623" max="15623" width="12.6640625" style="2" bestFit="1" customWidth="1"/>
    <col min="15624" max="15624" width="12.44140625" style="2" bestFit="1" customWidth="1"/>
    <col min="15625" max="15625" width="10.6640625" style="2" bestFit="1" customWidth="1"/>
    <col min="15626" max="15626" width="19.109375" style="2" bestFit="1" customWidth="1"/>
    <col min="15627" max="15627" width="17.5546875" style="2" bestFit="1" customWidth="1"/>
    <col min="15628" max="15628" width="15" style="2" customWidth="1"/>
    <col min="15629" max="15629" width="16.44140625" style="2" bestFit="1" customWidth="1"/>
    <col min="15630" max="15630" width="18" style="2" customWidth="1"/>
    <col min="15631" max="15873" width="9.109375" style="2"/>
    <col min="15874" max="15874" width="36.88671875" style="2" customWidth="1"/>
    <col min="15875" max="15875" width="9.109375" style="2"/>
    <col min="15876" max="15876" width="10.109375" style="2" bestFit="1" customWidth="1"/>
    <col min="15877" max="15877" width="10.6640625" style="2" bestFit="1" customWidth="1"/>
    <col min="15878" max="15878" width="11.44140625" style="2" bestFit="1" customWidth="1"/>
    <col min="15879" max="15879" width="12.6640625" style="2" bestFit="1" customWidth="1"/>
    <col min="15880" max="15880" width="12.44140625" style="2" bestFit="1" customWidth="1"/>
    <col min="15881" max="15881" width="10.6640625" style="2" bestFit="1" customWidth="1"/>
    <col min="15882" max="15882" width="19.109375" style="2" bestFit="1" customWidth="1"/>
    <col min="15883" max="15883" width="17.5546875" style="2" bestFit="1" customWidth="1"/>
    <col min="15884" max="15884" width="15" style="2" customWidth="1"/>
    <col min="15885" max="15885" width="16.44140625" style="2" bestFit="1" customWidth="1"/>
    <col min="15886" max="15886" width="18" style="2" customWidth="1"/>
    <col min="15887" max="16129" width="9.109375" style="2"/>
    <col min="16130" max="16130" width="36.88671875" style="2" customWidth="1"/>
    <col min="16131" max="16131" width="9.109375" style="2"/>
    <col min="16132" max="16132" width="10.109375" style="2" bestFit="1" customWidth="1"/>
    <col min="16133" max="16133" width="10.6640625" style="2" bestFit="1" customWidth="1"/>
    <col min="16134" max="16134" width="11.44140625" style="2" bestFit="1" customWidth="1"/>
    <col min="16135" max="16135" width="12.6640625" style="2" bestFit="1" customWidth="1"/>
    <col min="16136" max="16136" width="12.44140625" style="2" bestFit="1" customWidth="1"/>
    <col min="16137" max="16137" width="10.6640625" style="2" bestFit="1" customWidth="1"/>
    <col min="16138" max="16138" width="19.109375" style="2" bestFit="1" customWidth="1"/>
    <col min="16139" max="16139" width="17.5546875" style="2" bestFit="1" customWidth="1"/>
    <col min="16140" max="16140" width="15" style="2" customWidth="1"/>
    <col min="16141" max="16141" width="16.44140625" style="2" bestFit="1" customWidth="1"/>
    <col min="16142" max="16142" width="18" style="2" customWidth="1"/>
    <col min="16143" max="16384" width="9.109375" style="2"/>
  </cols>
  <sheetData>
    <row r="1" spans="1:16" ht="12.75" customHeight="1">
      <c r="A1" s="1277" t="s">
        <v>433</v>
      </c>
      <c r="B1" s="948"/>
      <c r="C1" s="948"/>
      <c r="D1" s="948"/>
      <c r="E1" s="948"/>
      <c r="F1" s="948"/>
      <c r="G1" s="948"/>
      <c r="H1" s="1278"/>
      <c r="I1" s="1279" t="s">
        <v>579</v>
      </c>
      <c r="J1" s="1279"/>
      <c r="K1" s="1279"/>
      <c r="L1" s="1279"/>
      <c r="M1" s="1280"/>
      <c r="N1" s="1283">
        <f>'F1  Cover'!A14</f>
        <v>1200</v>
      </c>
    </row>
    <row r="2" spans="1:16">
      <c r="A2" s="1096"/>
      <c r="B2" s="1085"/>
      <c r="C2" s="1085"/>
      <c r="D2" s="1085"/>
      <c r="E2" s="1085"/>
      <c r="F2" s="1085"/>
      <c r="G2" s="1085"/>
      <c r="H2" s="1285"/>
      <c r="I2" s="1281"/>
      <c r="J2" s="1281"/>
      <c r="K2" s="1281"/>
      <c r="L2" s="1281"/>
      <c r="M2" s="1282"/>
      <c r="N2" s="1284"/>
    </row>
    <row r="3" spans="1:16">
      <c r="A3" s="407" t="s">
        <v>390</v>
      </c>
      <c r="B3" s="406" t="str">
        <f>'F1 Forecast Serivce Provider'!C3</f>
        <v>WESTERN</v>
      </c>
      <c r="C3" s="316"/>
      <c r="D3" s="316"/>
      <c r="E3" s="316"/>
      <c r="F3" s="316"/>
      <c r="G3" s="316"/>
      <c r="H3" s="233"/>
      <c r="I3" s="1286" t="s">
        <v>270</v>
      </c>
      <c r="J3" s="1287"/>
      <c r="K3" s="1288">
        <f>'F1  Cover'!K8</f>
        <v>1</v>
      </c>
      <c r="L3" s="1289"/>
      <c r="M3" s="1289"/>
      <c r="N3" s="1290"/>
    </row>
    <row r="4" spans="1:16" ht="13.8" thickBot="1">
      <c r="A4" s="1107"/>
      <c r="B4" s="1108"/>
      <c r="C4" s="1108"/>
      <c r="D4" s="1108"/>
      <c r="E4" s="1108"/>
      <c r="F4" s="1108"/>
      <c r="G4" s="1108"/>
      <c r="H4" s="1272"/>
      <c r="I4" s="1273" t="s">
        <v>271</v>
      </c>
      <c r="J4" s="1274"/>
      <c r="K4" s="1275" t="str">
        <f>'F1 Forecast Combined'!E3</f>
        <v>GP2026/001/68120/2004</v>
      </c>
      <c r="L4" s="1275"/>
      <c r="M4" s="1275"/>
      <c r="N4" s="1276"/>
    </row>
    <row r="5" spans="1:16" ht="13.8" thickBot="1">
      <c r="A5" s="293" t="s">
        <v>272</v>
      </c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325"/>
    </row>
    <row r="6" spans="1:16" ht="40.200000000000003" thickBot="1">
      <c r="A6" s="326" t="s">
        <v>92</v>
      </c>
      <c r="B6" s="327" t="s">
        <v>0</v>
      </c>
      <c r="C6" s="329" t="s">
        <v>1</v>
      </c>
      <c r="D6" s="331" t="s">
        <v>273</v>
      </c>
      <c r="E6" s="332" t="s">
        <v>274</v>
      </c>
      <c r="F6" s="332" t="s">
        <v>275</v>
      </c>
      <c r="G6" s="332" t="s">
        <v>276</v>
      </c>
      <c r="H6" s="328" t="s">
        <v>277</v>
      </c>
      <c r="I6" s="331" t="s">
        <v>3</v>
      </c>
      <c r="J6" s="332" t="s">
        <v>278</v>
      </c>
      <c r="K6" s="332" t="s">
        <v>279</v>
      </c>
      <c r="L6" s="332" t="s">
        <v>280</v>
      </c>
      <c r="M6" s="332" t="s">
        <v>281</v>
      </c>
      <c r="N6" s="328" t="s">
        <v>282</v>
      </c>
    </row>
    <row r="7" spans="1:16" ht="32.1" customHeight="1">
      <c r="A7" s="317">
        <f>'Pricing Schedule'!A10</f>
        <v>1200</v>
      </c>
      <c r="B7" s="318" t="str">
        <f>'Pricing Schedule'!B10</f>
        <v>ESTABLISHMENT FOR FACILITY MANAGEMENT SERVICES PROVISION AND TIME RELATED OBLIGATIONS</v>
      </c>
      <c r="C7" s="632"/>
      <c r="D7" s="333"/>
      <c r="E7" s="319"/>
      <c r="F7" s="319"/>
      <c r="G7" s="319"/>
      <c r="H7" s="334"/>
      <c r="I7" s="330"/>
      <c r="J7" s="320"/>
      <c r="K7" s="320"/>
      <c r="L7" s="320"/>
      <c r="M7" s="320"/>
      <c r="N7" s="321"/>
    </row>
    <row r="8" spans="1:16" ht="32.1" customHeight="1">
      <c r="A8" s="453">
        <f>'Pricing Schedule'!A11</f>
        <v>12.01</v>
      </c>
      <c r="B8" s="322" t="str">
        <f>'Pricing Schedule'!B11</f>
        <v>Establishment for Facility  Management property services provision</v>
      </c>
      <c r="C8" s="633" t="str">
        <f>'Pricing Schedule'!C11</f>
        <v>Lump Sum</v>
      </c>
      <c r="D8" s="335">
        <v>1</v>
      </c>
      <c r="E8" s="389">
        <v>1</v>
      </c>
      <c r="F8" s="490">
        <f>DATA!$U$52</f>
        <v>0</v>
      </c>
      <c r="G8" s="389"/>
      <c r="H8" s="324">
        <f>F8+G8</f>
        <v>0</v>
      </c>
      <c r="I8" s="335">
        <f>'Pricing Schedule'!F11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6" ht="32.1" customHeight="1" thickBot="1">
      <c r="A9" s="453">
        <f>'Pricing Schedule'!A12</f>
        <v>12.02</v>
      </c>
      <c r="B9" s="322" t="str">
        <f>'Pricing Schedule'!B12</f>
        <v>Time related obligations</v>
      </c>
      <c r="C9" s="633" t="str">
        <f>'Pricing Schedule'!C12</f>
        <v>Month</v>
      </c>
      <c r="D9" s="335">
        <f>'Pricing Schedule'!D12</f>
        <v>60</v>
      </c>
      <c r="E9" s="389">
        <f t="shared" ref="E9" si="0">D9</f>
        <v>60</v>
      </c>
      <c r="F9" s="490">
        <f>DATA!$V$52</f>
        <v>0</v>
      </c>
      <c r="G9" s="389"/>
      <c r="H9" s="324">
        <f>F9+G9</f>
        <v>0</v>
      </c>
      <c r="I9" s="402">
        <f>'Pricing Schedule'!E12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  <c r="P9" s="736"/>
    </row>
    <row r="10" spans="1:16" s="316" customFormat="1" ht="31.5" customHeight="1" thickBot="1">
      <c r="A10" s="1270" t="s">
        <v>283</v>
      </c>
      <c r="B10" s="1270"/>
      <c r="C10" s="1271"/>
      <c r="D10" s="383"/>
      <c r="E10" s="384"/>
      <c r="F10" s="384"/>
      <c r="G10" s="384"/>
      <c r="H10" s="385"/>
      <c r="I10" s="386"/>
      <c r="J10" s="387">
        <f>SUM(J8:J9)</f>
        <v>0</v>
      </c>
      <c r="K10" s="387">
        <f>SUM(K8:K9)</f>
        <v>0</v>
      </c>
      <c r="L10" s="387">
        <f>SUM(L8:L9)</f>
        <v>0</v>
      </c>
      <c r="M10" s="387">
        <f>SUM(M8:M9)</f>
        <v>0</v>
      </c>
      <c r="N10" s="388">
        <f>SUM(N8:N9)</f>
        <v>0</v>
      </c>
    </row>
    <row r="11" spans="1:16">
      <c r="P11" s="292"/>
    </row>
    <row r="13" spans="1:16" s="316" customFormat="1" ht="30.9" customHeight="1">
      <c r="A13" s="456" t="s">
        <v>329</v>
      </c>
      <c r="B13" s="456"/>
      <c r="J13" s="404">
        <f>J8+J9</f>
        <v>0</v>
      </c>
      <c r="K13" s="404">
        <f t="shared" ref="K13:L13" si="1">K8+K9</f>
        <v>0</v>
      </c>
      <c r="L13" s="404">
        <f t="shared" si="1"/>
        <v>0</v>
      </c>
      <c r="M13" s="404">
        <f t="shared" ref="M13:N13" si="2">M8+M9</f>
        <v>0</v>
      </c>
      <c r="N13" s="404">
        <f t="shared" si="2"/>
        <v>0</v>
      </c>
      <c r="P13" s="763"/>
    </row>
    <row r="14" spans="1:16" s="316" customFormat="1" ht="30.9" customHeight="1">
      <c r="A14" s="316" t="s">
        <v>331</v>
      </c>
      <c r="J14" s="404">
        <v>0</v>
      </c>
      <c r="K14" s="404">
        <v>0</v>
      </c>
      <c r="L14" s="404">
        <v>0</v>
      </c>
      <c r="M14" s="404">
        <v>0</v>
      </c>
      <c r="N14" s="404">
        <v>0</v>
      </c>
    </row>
    <row r="15" spans="1:16" s="316" customFormat="1" ht="30.9" customHeight="1" thickBot="1">
      <c r="A15" s="316" t="s">
        <v>330</v>
      </c>
      <c r="J15" s="455">
        <f>SUM(J13:J14)</f>
        <v>0</v>
      </c>
      <c r="K15" s="455">
        <f t="shared" ref="K15:N15" si="3">SUM(K13:K14)</f>
        <v>0</v>
      </c>
      <c r="L15" s="455">
        <f t="shared" si="3"/>
        <v>0</v>
      </c>
      <c r="M15" s="455">
        <f t="shared" si="3"/>
        <v>0</v>
      </c>
      <c r="N15" s="455">
        <f t="shared" si="3"/>
        <v>0</v>
      </c>
      <c r="P15" s="763"/>
    </row>
    <row r="16" spans="1:16" ht="13.8" thickTop="1"/>
  </sheetData>
  <mergeCells count="10">
    <mergeCell ref="A10:C10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45" priority="5">
      <formula>H9&gt;E9</formula>
    </cfRule>
  </conditionalFormatting>
  <conditionalFormatting sqref="H8">
    <cfRule type="expression" dxfId="44" priority="1">
      <formula>H8&gt;E8</formula>
    </cfRule>
  </conditionalFormatting>
  <printOptions horizontalCentered="1"/>
  <pageMargins left="0.23622047244094491" right="0" top="0.51" bottom="0.17" header="0.24" footer="0.32"/>
  <pageSetup paperSize="9" scale="67" fitToHeight="0" orientation="landscape" r:id="rId1"/>
  <headerFooter alignWithMargins="0">
    <oddHeader>&amp;L&amp;"Calibri"&amp;10&amp;K000000Sensitivity - General&amp;1#</oddHeader>
  </headerFooter>
  <ignoredErrors>
    <ignoredError sqref="E9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8">
    <tabColor rgb="FF0070C0"/>
    <pageSetUpPr fitToPage="1"/>
  </sheetPr>
  <dimension ref="A1:N23"/>
  <sheetViews>
    <sheetView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5" style="316" customWidth="1"/>
    <col min="4" max="8" width="11.6640625" style="316" customWidth="1"/>
    <col min="9" max="9" width="11.6640625" style="404" bestFit="1" customWidth="1"/>
    <col min="10" max="11" width="12.88671875" style="316" bestFit="1" customWidth="1"/>
    <col min="12" max="12" width="12.44140625" style="316" customWidth="1"/>
    <col min="13" max="13" width="11.33203125" style="316" bestFit="1" customWidth="1"/>
    <col min="14" max="14" width="11.6640625" style="316" bestFit="1" customWidth="1"/>
    <col min="15" max="257" width="9.109375" style="316"/>
    <col min="258" max="258" width="31.33203125" style="316" customWidth="1"/>
    <col min="259" max="259" width="12.109375" style="316" customWidth="1"/>
    <col min="260" max="262" width="10.109375" style="316" bestFit="1" customWidth="1"/>
    <col min="263" max="263" width="9.6640625" style="316" bestFit="1" customWidth="1"/>
    <col min="264" max="264" width="10.33203125" style="316" bestFit="1" customWidth="1"/>
    <col min="265" max="265" width="11.6640625" style="316" bestFit="1" customWidth="1"/>
    <col min="266" max="267" width="12.88671875" style="316" bestFit="1" customWidth="1"/>
    <col min="268" max="268" width="12.44140625" style="316" customWidth="1"/>
    <col min="269" max="269" width="11.33203125" style="316" bestFit="1" customWidth="1"/>
    <col min="270" max="270" width="11.6640625" style="316" bestFit="1" customWidth="1"/>
    <col min="271" max="513" width="9.109375" style="316"/>
    <col min="514" max="514" width="31.33203125" style="316" customWidth="1"/>
    <col min="515" max="515" width="12.109375" style="316" customWidth="1"/>
    <col min="516" max="518" width="10.109375" style="316" bestFit="1" customWidth="1"/>
    <col min="519" max="519" width="9.6640625" style="316" bestFit="1" customWidth="1"/>
    <col min="520" max="520" width="10.33203125" style="316" bestFit="1" customWidth="1"/>
    <col min="521" max="521" width="11.6640625" style="316" bestFit="1" customWidth="1"/>
    <col min="522" max="523" width="12.88671875" style="316" bestFit="1" customWidth="1"/>
    <col min="524" max="524" width="12.44140625" style="316" customWidth="1"/>
    <col min="525" max="525" width="11.33203125" style="316" bestFit="1" customWidth="1"/>
    <col min="526" max="526" width="11.6640625" style="316" bestFit="1" customWidth="1"/>
    <col min="527" max="769" width="9.109375" style="316"/>
    <col min="770" max="770" width="31.33203125" style="316" customWidth="1"/>
    <col min="771" max="771" width="12.109375" style="316" customWidth="1"/>
    <col min="772" max="774" width="10.109375" style="316" bestFit="1" customWidth="1"/>
    <col min="775" max="775" width="9.6640625" style="316" bestFit="1" customWidth="1"/>
    <col min="776" max="776" width="10.33203125" style="316" bestFit="1" customWidth="1"/>
    <col min="777" max="777" width="11.6640625" style="316" bestFit="1" customWidth="1"/>
    <col min="778" max="779" width="12.88671875" style="316" bestFit="1" customWidth="1"/>
    <col min="780" max="780" width="12.44140625" style="316" customWidth="1"/>
    <col min="781" max="781" width="11.33203125" style="316" bestFit="1" customWidth="1"/>
    <col min="782" max="782" width="11.6640625" style="316" bestFit="1" customWidth="1"/>
    <col min="783" max="1025" width="9.109375" style="316"/>
    <col min="1026" max="1026" width="31.33203125" style="316" customWidth="1"/>
    <col min="1027" max="1027" width="12.109375" style="316" customWidth="1"/>
    <col min="1028" max="1030" width="10.109375" style="316" bestFit="1" customWidth="1"/>
    <col min="1031" max="1031" width="9.6640625" style="316" bestFit="1" customWidth="1"/>
    <col min="1032" max="1032" width="10.33203125" style="316" bestFit="1" customWidth="1"/>
    <col min="1033" max="1033" width="11.6640625" style="316" bestFit="1" customWidth="1"/>
    <col min="1034" max="1035" width="12.88671875" style="316" bestFit="1" customWidth="1"/>
    <col min="1036" max="1036" width="12.44140625" style="316" customWidth="1"/>
    <col min="1037" max="1037" width="11.33203125" style="316" bestFit="1" customWidth="1"/>
    <col min="1038" max="1038" width="11.6640625" style="316" bestFit="1" customWidth="1"/>
    <col min="1039" max="1281" width="9.109375" style="316"/>
    <col min="1282" max="1282" width="31.33203125" style="316" customWidth="1"/>
    <col min="1283" max="1283" width="12.109375" style="316" customWidth="1"/>
    <col min="1284" max="1286" width="10.109375" style="316" bestFit="1" customWidth="1"/>
    <col min="1287" max="1287" width="9.6640625" style="316" bestFit="1" customWidth="1"/>
    <col min="1288" max="1288" width="10.33203125" style="316" bestFit="1" customWidth="1"/>
    <col min="1289" max="1289" width="11.6640625" style="316" bestFit="1" customWidth="1"/>
    <col min="1290" max="1291" width="12.88671875" style="316" bestFit="1" customWidth="1"/>
    <col min="1292" max="1292" width="12.44140625" style="316" customWidth="1"/>
    <col min="1293" max="1293" width="11.33203125" style="316" bestFit="1" customWidth="1"/>
    <col min="1294" max="1294" width="11.6640625" style="316" bestFit="1" customWidth="1"/>
    <col min="1295" max="1537" width="9.109375" style="316"/>
    <col min="1538" max="1538" width="31.33203125" style="316" customWidth="1"/>
    <col min="1539" max="1539" width="12.109375" style="316" customWidth="1"/>
    <col min="1540" max="1542" width="10.109375" style="316" bestFit="1" customWidth="1"/>
    <col min="1543" max="1543" width="9.6640625" style="316" bestFit="1" customWidth="1"/>
    <col min="1544" max="1544" width="10.33203125" style="316" bestFit="1" customWidth="1"/>
    <col min="1545" max="1545" width="11.6640625" style="316" bestFit="1" customWidth="1"/>
    <col min="1546" max="1547" width="12.88671875" style="316" bestFit="1" customWidth="1"/>
    <col min="1548" max="1548" width="12.44140625" style="316" customWidth="1"/>
    <col min="1549" max="1549" width="11.33203125" style="316" bestFit="1" customWidth="1"/>
    <col min="1550" max="1550" width="11.6640625" style="316" bestFit="1" customWidth="1"/>
    <col min="1551" max="1793" width="9.109375" style="316"/>
    <col min="1794" max="1794" width="31.33203125" style="316" customWidth="1"/>
    <col min="1795" max="1795" width="12.109375" style="316" customWidth="1"/>
    <col min="1796" max="1798" width="10.109375" style="316" bestFit="1" customWidth="1"/>
    <col min="1799" max="1799" width="9.6640625" style="316" bestFit="1" customWidth="1"/>
    <col min="1800" max="1800" width="10.33203125" style="316" bestFit="1" customWidth="1"/>
    <col min="1801" max="1801" width="11.6640625" style="316" bestFit="1" customWidth="1"/>
    <col min="1802" max="1803" width="12.88671875" style="316" bestFit="1" customWidth="1"/>
    <col min="1804" max="1804" width="12.44140625" style="316" customWidth="1"/>
    <col min="1805" max="1805" width="11.33203125" style="316" bestFit="1" customWidth="1"/>
    <col min="1806" max="1806" width="11.6640625" style="316" bestFit="1" customWidth="1"/>
    <col min="1807" max="2049" width="9.109375" style="316"/>
    <col min="2050" max="2050" width="31.33203125" style="316" customWidth="1"/>
    <col min="2051" max="2051" width="12.109375" style="316" customWidth="1"/>
    <col min="2052" max="2054" width="10.109375" style="316" bestFit="1" customWidth="1"/>
    <col min="2055" max="2055" width="9.6640625" style="316" bestFit="1" customWidth="1"/>
    <col min="2056" max="2056" width="10.33203125" style="316" bestFit="1" customWidth="1"/>
    <col min="2057" max="2057" width="11.6640625" style="316" bestFit="1" customWidth="1"/>
    <col min="2058" max="2059" width="12.88671875" style="316" bestFit="1" customWidth="1"/>
    <col min="2060" max="2060" width="12.44140625" style="316" customWidth="1"/>
    <col min="2061" max="2061" width="11.33203125" style="316" bestFit="1" customWidth="1"/>
    <col min="2062" max="2062" width="11.6640625" style="316" bestFit="1" customWidth="1"/>
    <col min="2063" max="2305" width="9.109375" style="316"/>
    <col min="2306" max="2306" width="31.33203125" style="316" customWidth="1"/>
    <col min="2307" max="2307" width="12.109375" style="316" customWidth="1"/>
    <col min="2308" max="2310" width="10.109375" style="316" bestFit="1" customWidth="1"/>
    <col min="2311" max="2311" width="9.6640625" style="316" bestFit="1" customWidth="1"/>
    <col min="2312" max="2312" width="10.33203125" style="316" bestFit="1" customWidth="1"/>
    <col min="2313" max="2313" width="11.6640625" style="316" bestFit="1" customWidth="1"/>
    <col min="2314" max="2315" width="12.88671875" style="316" bestFit="1" customWidth="1"/>
    <col min="2316" max="2316" width="12.44140625" style="316" customWidth="1"/>
    <col min="2317" max="2317" width="11.33203125" style="316" bestFit="1" customWidth="1"/>
    <col min="2318" max="2318" width="11.6640625" style="316" bestFit="1" customWidth="1"/>
    <col min="2319" max="2561" width="9.109375" style="316"/>
    <col min="2562" max="2562" width="31.33203125" style="316" customWidth="1"/>
    <col min="2563" max="2563" width="12.109375" style="316" customWidth="1"/>
    <col min="2564" max="2566" width="10.109375" style="316" bestFit="1" customWidth="1"/>
    <col min="2567" max="2567" width="9.6640625" style="316" bestFit="1" customWidth="1"/>
    <col min="2568" max="2568" width="10.33203125" style="316" bestFit="1" customWidth="1"/>
    <col min="2569" max="2569" width="11.6640625" style="316" bestFit="1" customWidth="1"/>
    <col min="2570" max="2571" width="12.88671875" style="316" bestFit="1" customWidth="1"/>
    <col min="2572" max="2572" width="12.44140625" style="316" customWidth="1"/>
    <col min="2573" max="2573" width="11.33203125" style="316" bestFit="1" customWidth="1"/>
    <col min="2574" max="2574" width="11.6640625" style="316" bestFit="1" customWidth="1"/>
    <col min="2575" max="2817" width="9.109375" style="316"/>
    <col min="2818" max="2818" width="31.33203125" style="316" customWidth="1"/>
    <col min="2819" max="2819" width="12.109375" style="316" customWidth="1"/>
    <col min="2820" max="2822" width="10.109375" style="316" bestFit="1" customWidth="1"/>
    <col min="2823" max="2823" width="9.6640625" style="316" bestFit="1" customWidth="1"/>
    <col min="2824" max="2824" width="10.33203125" style="316" bestFit="1" customWidth="1"/>
    <col min="2825" max="2825" width="11.6640625" style="316" bestFit="1" customWidth="1"/>
    <col min="2826" max="2827" width="12.88671875" style="316" bestFit="1" customWidth="1"/>
    <col min="2828" max="2828" width="12.44140625" style="316" customWidth="1"/>
    <col min="2829" max="2829" width="11.33203125" style="316" bestFit="1" customWidth="1"/>
    <col min="2830" max="2830" width="11.6640625" style="316" bestFit="1" customWidth="1"/>
    <col min="2831" max="3073" width="9.109375" style="316"/>
    <col min="3074" max="3074" width="31.33203125" style="316" customWidth="1"/>
    <col min="3075" max="3075" width="12.109375" style="316" customWidth="1"/>
    <col min="3076" max="3078" width="10.109375" style="316" bestFit="1" customWidth="1"/>
    <col min="3079" max="3079" width="9.6640625" style="316" bestFit="1" customWidth="1"/>
    <col min="3080" max="3080" width="10.33203125" style="316" bestFit="1" customWidth="1"/>
    <col min="3081" max="3081" width="11.6640625" style="316" bestFit="1" customWidth="1"/>
    <col min="3082" max="3083" width="12.88671875" style="316" bestFit="1" customWidth="1"/>
    <col min="3084" max="3084" width="12.44140625" style="316" customWidth="1"/>
    <col min="3085" max="3085" width="11.33203125" style="316" bestFit="1" customWidth="1"/>
    <col min="3086" max="3086" width="11.6640625" style="316" bestFit="1" customWidth="1"/>
    <col min="3087" max="3329" width="9.109375" style="316"/>
    <col min="3330" max="3330" width="31.33203125" style="316" customWidth="1"/>
    <col min="3331" max="3331" width="12.109375" style="316" customWidth="1"/>
    <col min="3332" max="3334" width="10.109375" style="316" bestFit="1" customWidth="1"/>
    <col min="3335" max="3335" width="9.6640625" style="316" bestFit="1" customWidth="1"/>
    <col min="3336" max="3336" width="10.33203125" style="316" bestFit="1" customWidth="1"/>
    <col min="3337" max="3337" width="11.6640625" style="316" bestFit="1" customWidth="1"/>
    <col min="3338" max="3339" width="12.88671875" style="316" bestFit="1" customWidth="1"/>
    <col min="3340" max="3340" width="12.44140625" style="316" customWidth="1"/>
    <col min="3341" max="3341" width="11.33203125" style="316" bestFit="1" customWidth="1"/>
    <col min="3342" max="3342" width="11.6640625" style="316" bestFit="1" customWidth="1"/>
    <col min="3343" max="3585" width="9.109375" style="316"/>
    <col min="3586" max="3586" width="31.33203125" style="316" customWidth="1"/>
    <col min="3587" max="3587" width="12.109375" style="316" customWidth="1"/>
    <col min="3588" max="3590" width="10.109375" style="316" bestFit="1" customWidth="1"/>
    <col min="3591" max="3591" width="9.6640625" style="316" bestFit="1" customWidth="1"/>
    <col min="3592" max="3592" width="10.33203125" style="316" bestFit="1" customWidth="1"/>
    <col min="3593" max="3593" width="11.6640625" style="316" bestFit="1" customWidth="1"/>
    <col min="3594" max="3595" width="12.88671875" style="316" bestFit="1" customWidth="1"/>
    <col min="3596" max="3596" width="12.44140625" style="316" customWidth="1"/>
    <col min="3597" max="3597" width="11.33203125" style="316" bestFit="1" customWidth="1"/>
    <col min="3598" max="3598" width="11.6640625" style="316" bestFit="1" customWidth="1"/>
    <col min="3599" max="3841" width="9.109375" style="316"/>
    <col min="3842" max="3842" width="31.33203125" style="316" customWidth="1"/>
    <col min="3843" max="3843" width="12.109375" style="316" customWidth="1"/>
    <col min="3844" max="3846" width="10.109375" style="316" bestFit="1" customWidth="1"/>
    <col min="3847" max="3847" width="9.6640625" style="316" bestFit="1" customWidth="1"/>
    <col min="3848" max="3848" width="10.33203125" style="316" bestFit="1" customWidth="1"/>
    <col min="3849" max="3849" width="11.6640625" style="316" bestFit="1" customWidth="1"/>
    <col min="3850" max="3851" width="12.88671875" style="316" bestFit="1" customWidth="1"/>
    <col min="3852" max="3852" width="12.44140625" style="316" customWidth="1"/>
    <col min="3853" max="3853" width="11.33203125" style="316" bestFit="1" customWidth="1"/>
    <col min="3854" max="3854" width="11.6640625" style="316" bestFit="1" customWidth="1"/>
    <col min="3855" max="4097" width="9.109375" style="316"/>
    <col min="4098" max="4098" width="31.33203125" style="316" customWidth="1"/>
    <col min="4099" max="4099" width="12.109375" style="316" customWidth="1"/>
    <col min="4100" max="4102" width="10.109375" style="316" bestFit="1" customWidth="1"/>
    <col min="4103" max="4103" width="9.6640625" style="316" bestFit="1" customWidth="1"/>
    <col min="4104" max="4104" width="10.33203125" style="316" bestFit="1" customWidth="1"/>
    <col min="4105" max="4105" width="11.6640625" style="316" bestFit="1" customWidth="1"/>
    <col min="4106" max="4107" width="12.88671875" style="316" bestFit="1" customWidth="1"/>
    <col min="4108" max="4108" width="12.44140625" style="316" customWidth="1"/>
    <col min="4109" max="4109" width="11.33203125" style="316" bestFit="1" customWidth="1"/>
    <col min="4110" max="4110" width="11.6640625" style="316" bestFit="1" customWidth="1"/>
    <col min="4111" max="4353" width="9.109375" style="316"/>
    <col min="4354" max="4354" width="31.33203125" style="316" customWidth="1"/>
    <col min="4355" max="4355" width="12.109375" style="316" customWidth="1"/>
    <col min="4356" max="4358" width="10.109375" style="316" bestFit="1" customWidth="1"/>
    <col min="4359" max="4359" width="9.6640625" style="316" bestFit="1" customWidth="1"/>
    <col min="4360" max="4360" width="10.33203125" style="316" bestFit="1" customWidth="1"/>
    <col min="4361" max="4361" width="11.6640625" style="316" bestFit="1" customWidth="1"/>
    <col min="4362" max="4363" width="12.88671875" style="316" bestFit="1" customWidth="1"/>
    <col min="4364" max="4364" width="12.44140625" style="316" customWidth="1"/>
    <col min="4365" max="4365" width="11.33203125" style="316" bestFit="1" customWidth="1"/>
    <col min="4366" max="4366" width="11.6640625" style="316" bestFit="1" customWidth="1"/>
    <col min="4367" max="4609" width="9.109375" style="316"/>
    <col min="4610" max="4610" width="31.33203125" style="316" customWidth="1"/>
    <col min="4611" max="4611" width="12.109375" style="316" customWidth="1"/>
    <col min="4612" max="4614" width="10.109375" style="316" bestFit="1" customWidth="1"/>
    <col min="4615" max="4615" width="9.6640625" style="316" bestFit="1" customWidth="1"/>
    <col min="4616" max="4616" width="10.33203125" style="316" bestFit="1" customWidth="1"/>
    <col min="4617" max="4617" width="11.6640625" style="316" bestFit="1" customWidth="1"/>
    <col min="4618" max="4619" width="12.88671875" style="316" bestFit="1" customWidth="1"/>
    <col min="4620" max="4620" width="12.44140625" style="316" customWidth="1"/>
    <col min="4621" max="4621" width="11.33203125" style="316" bestFit="1" customWidth="1"/>
    <col min="4622" max="4622" width="11.6640625" style="316" bestFit="1" customWidth="1"/>
    <col min="4623" max="4865" width="9.109375" style="316"/>
    <col min="4866" max="4866" width="31.33203125" style="316" customWidth="1"/>
    <col min="4867" max="4867" width="12.109375" style="316" customWidth="1"/>
    <col min="4868" max="4870" width="10.109375" style="316" bestFit="1" customWidth="1"/>
    <col min="4871" max="4871" width="9.6640625" style="316" bestFit="1" customWidth="1"/>
    <col min="4872" max="4872" width="10.33203125" style="316" bestFit="1" customWidth="1"/>
    <col min="4873" max="4873" width="11.6640625" style="316" bestFit="1" customWidth="1"/>
    <col min="4874" max="4875" width="12.88671875" style="316" bestFit="1" customWidth="1"/>
    <col min="4876" max="4876" width="12.44140625" style="316" customWidth="1"/>
    <col min="4877" max="4877" width="11.33203125" style="316" bestFit="1" customWidth="1"/>
    <col min="4878" max="4878" width="11.6640625" style="316" bestFit="1" customWidth="1"/>
    <col min="4879" max="5121" width="9.109375" style="316"/>
    <col min="5122" max="5122" width="31.33203125" style="316" customWidth="1"/>
    <col min="5123" max="5123" width="12.109375" style="316" customWidth="1"/>
    <col min="5124" max="5126" width="10.109375" style="316" bestFit="1" customWidth="1"/>
    <col min="5127" max="5127" width="9.6640625" style="316" bestFit="1" customWidth="1"/>
    <col min="5128" max="5128" width="10.33203125" style="316" bestFit="1" customWidth="1"/>
    <col min="5129" max="5129" width="11.6640625" style="316" bestFit="1" customWidth="1"/>
    <col min="5130" max="5131" width="12.88671875" style="316" bestFit="1" customWidth="1"/>
    <col min="5132" max="5132" width="12.44140625" style="316" customWidth="1"/>
    <col min="5133" max="5133" width="11.33203125" style="316" bestFit="1" customWidth="1"/>
    <col min="5134" max="5134" width="11.6640625" style="316" bestFit="1" customWidth="1"/>
    <col min="5135" max="5377" width="9.109375" style="316"/>
    <col min="5378" max="5378" width="31.33203125" style="316" customWidth="1"/>
    <col min="5379" max="5379" width="12.109375" style="316" customWidth="1"/>
    <col min="5380" max="5382" width="10.109375" style="316" bestFit="1" customWidth="1"/>
    <col min="5383" max="5383" width="9.6640625" style="316" bestFit="1" customWidth="1"/>
    <col min="5384" max="5384" width="10.33203125" style="316" bestFit="1" customWidth="1"/>
    <col min="5385" max="5385" width="11.6640625" style="316" bestFit="1" customWidth="1"/>
    <col min="5386" max="5387" width="12.88671875" style="316" bestFit="1" customWidth="1"/>
    <col min="5388" max="5388" width="12.44140625" style="316" customWidth="1"/>
    <col min="5389" max="5389" width="11.33203125" style="316" bestFit="1" customWidth="1"/>
    <col min="5390" max="5390" width="11.6640625" style="316" bestFit="1" customWidth="1"/>
    <col min="5391" max="5633" width="9.109375" style="316"/>
    <col min="5634" max="5634" width="31.33203125" style="316" customWidth="1"/>
    <col min="5635" max="5635" width="12.109375" style="316" customWidth="1"/>
    <col min="5636" max="5638" width="10.109375" style="316" bestFit="1" customWidth="1"/>
    <col min="5639" max="5639" width="9.6640625" style="316" bestFit="1" customWidth="1"/>
    <col min="5640" max="5640" width="10.33203125" style="316" bestFit="1" customWidth="1"/>
    <col min="5641" max="5641" width="11.6640625" style="316" bestFit="1" customWidth="1"/>
    <col min="5642" max="5643" width="12.88671875" style="316" bestFit="1" customWidth="1"/>
    <col min="5644" max="5644" width="12.44140625" style="316" customWidth="1"/>
    <col min="5645" max="5645" width="11.33203125" style="316" bestFit="1" customWidth="1"/>
    <col min="5646" max="5646" width="11.6640625" style="316" bestFit="1" customWidth="1"/>
    <col min="5647" max="5889" width="9.109375" style="316"/>
    <col min="5890" max="5890" width="31.33203125" style="316" customWidth="1"/>
    <col min="5891" max="5891" width="12.109375" style="316" customWidth="1"/>
    <col min="5892" max="5894" width="10.109375" style="316" bestFit="1" customWidth="1"/>
    <col min="5895" max="5895" width="9.6640625" style="316" bestFit="1" customWidth="1"/>
    <col min="5896" max="5896" width="10.33203125" style="316" bestFit="1" customWidth="1"/>
    <col min="5897" max="5897" width="11.6640625" style="316" bestFit="1" customWidth="1"/>
    <col min="5898" max="5899" width="12.88671875" style="316" bestFit="1" customWidth="1"/>
    <col min="5900" max="5900" width="12.44140625" style="316" customWidth="1"/>
    <col min="5901" max="5901" width="11.33203125" style="316" bestFit="1" customWidth="1"/>
    <col min="5902" max="5902" width="11.6640625" style="316" bestFit="1" customWidth="1"/>
    <col min="5903" max="6145" width="9.109375" style="316"/>
    <col min="6146" max="6146" width="31.33203125" style="316" customWidth="1"/>
    <col min="6147" max="6147" width="12.109375" style="316" customWidth="1"/>
    <col min="6148" max="6150" width="10.109375" style="316" bestFit="1" customWidth="1"/>
    <col min="6151" max="6151" width="9.6640625" style="316" bestFit="1" customWidth="1"/>
    <col min="6152" max="6152" width="10.33203125" style="316" bestFit="1" customWidth="1"/>
    <col min="6153" max="6153" width="11.6640625" style="316" bestFit="1" customWidth="1"/>
    <col min="6154" max="6155" width="12.88671875" style="316" bestFit="1" customWidth="1"/>
    <col min="6156" max="6156" width="12.44140625" style="316" customWidth="1"/>
    <col min="6157" max="6157" width="11.33203125" style="316" bestFit="1" customWidth="1"/>
    <col min="6158" max="6158" width="11.6640625" style="316" bestFit="1" customWidth="1"/>
    <col min="6159" max="6401" width="9.109375" style="316"/>
    <col min="6402" max="6402" width="31.33203125" style="316" customWidth="1"/>
    <col min="6403" max="6403" width="12.109375" style="316" customWidth="1"/>
    <col min="6404" max="6406" width="10.109375" style="316" bestFit="1" customWidth="1"/>
    <col min="6407" max="6407" width="9.6640625" style="316" bestFit="1" customWidth="1"/>
    <col min="6408" max="6408" width="10.33203125" style="316" bestFit="1" customWidth="1"/>
    <col min="6409" max="6409" width="11.6640625" style="316" bestFit="1" customWidth="1"/>
    <col min="6410" max="6411" width="12.88671875" style="316" bestFit="1" customWidth="1"/>
    <col min="6412" max="6412" width="12.44140625" style="316" customWidth="1"/>
    <col min="6413" max="6413" width="11.33203125" style="316" bestFit="1" customWidth="1"/>
    <col min="6414" max="6414" width="11.6640625" style="316" bestFit="1" customWidth="1"/>
    <col min="6415" max="6657" width="9.109375" style="316"/>
    <col min="6658" max="6658" width="31.33203125" style="316" customWidth="1"/>
    <col min="6659" max="6659" width="12.109375" style="316" customWidth="1"/>
    <col min="6660" max="6662" width="10.109375" style="316" bestFit="1" customWidth="1"/>
    <col min="6663" max="6663" width="9.6640625" style="316" bestFit="1" customWidth="1"/>
    <col min="6664" max="6664" width="10.33203125" style="316" bestFit="1" customWidth="1"/>
    <col min="6665" max="6665" width="11.6640625" style="316" bestFit="1" customWidth="1"/>
    <col min="6666" max="6667" width="12.88671875" style="316" bestFit="1" customWidth="1"/>
    <col min="6668" max="6668" width="12.44140625" style="316" customWidth="1"/>
    <col min="6669" max="6669" width="11.33203125" style="316" bestFit="1" customWidth="1"/>
    <col min="6670" max="6670" width="11.6640625" style="316" bestFit="1" customWidth="1"/>
    <col min="6671" max="6913" width="9.109375" style="316"/>
    <col min="6914" max="6914" width="31.33203125" style="316" customWidth="1"/>
    <col min="6915" max="6915" width="12.109375" style="316" customWidth="1"/>
    <col min="6916" max="6918" width="10.109375" style="316" bestFit="1" customWidth="1"/>
    <col min="6919" max="6919" width="9.6640625" style="316" bestFit="1" customWidth="1"/>
    <col min="6920" max="6920" width="10.33203125" style="316" bestFit="1" customWidth="1"/>
    <col min="6921" max="6921" width="11.6640625" style="316" bestFit="1" customWidth="1"/>
    <col min="6922" max="6923" width="12.88671875" style="316" bestFit="1" customWidth="1"/>
    <col min="6924" max="6924" width="12.44140625" style="316" customWidth="1"/>
    <col min="6925" max="6925" width="11.33203125" style="316" bestFit="1" customWidth="1"/>
    <col min="6926" max="6926" width="11.6640625" style="316" bestFit="1" customWidth="1"/>
    <col min="6927" max="7169" width="9.109375" style="316"/>
    <col min="7170" max="7170" width="31.33203125" style="316" customWidth="1"/>
    <col min="7171" max="7171" width="12.109375" style="316" customWidth="1"/>
    <col min="7172" max="7174" width="10.109375" style="316" bestFit="1" customWidth="1"/>
    <col min="7175" max="7175" width="9.6640625" style="316" bestFit="1" customWidth="1"/>
    <col min="7176" max="7176" width="10.33203125" style="316" bestFit="1" customWidth="1"/>
    <col min="7177" max="7177" width="11.6640625" style="316" bestFit="1" customWidth="1"/>
    <col min="7178" max="7179" width="12.88671875" style="316" bestFit="1" customWidth="1"/>
    <col min="7180" max="7180" width="12.44140625" style="316" customWidth="1"/>
    <col min="7181" max="7181" width="11.33203125" style="316" bestFit="1" customWidth="1"/>
    <col min="7182" max="7182" width="11.6640625" style="316" bestFit="1" customWidth="1"/>
    <col min="7183" max="7425" width="9.109375" style="316"/>
    <col min="7426" max="7426" width="31.33203125" style="316" customWidth="1"/>
    <col min="7427" max="7427" width="12.109375" style="316" customWidth="1"/>
    <col min="7428" max="7430" width="10.109375" style="316" bestFit="1" customWidth="1"/>
    <col min="7431" max="7431" width="9.6640625" style="316" bestFit="1" customWidth="1"/>
    <col min="7432" max="7432" width="10.33203125" style="316" bestFit="1" customWidth="1"/>
    <col min="7433" max="7433" width="11.6640625" style="316" bestFit="1" customWidth="1"/>
    <col min="7434" max="7435" width="12.88671875" style="316" bestFit="1" customWidth="1"/>
    <col min="7436" max="7436" width="12.44140625" style="316" customWidth="1"/>
    <col min="7437" max="7437" width="11.33203125" style="316" bestFit="1" customWidth="1"/>
    <col min="7438" max="7438" width="11.6640625" style="316" bestFit="1" customWidth="1"/>
    <col min="7439" max="7681" width="9.109375" style="316"/>
    <col min="7682" max="7682" width="31.33203125" style="316" customWidth="1"/>
    <col min="7683" max="7683" width="12.109375" style="316" customWidth="1"/>
    <col min="7684" max="7686" width="10.109375" style="316" bestFit="1" customWidth="1"/>
    <col min="7687" max="7687" width="9.6640625" style="316" bestFit="1" customWidth="1"/>
    <col min="7688" max="7688" width="10.33203125" style="316" bestFit="1" customWidth="1"/>
    <col min="7689" max="7689" width="11.6640625" style="316" bestFit="1" customWidth="1"/>
    <col min="7690" max="7691" width="12.88671875" style="316" bestFit="1" customWidth="1"/>
    <col min="7692" max="7692" width="12.44140625" style="316" customWidth="1"/>
    <col min="7693" max="7693" width="11.33203125" style="316" bestFit="1" customWidth="1"/>
    <col min="7694" max="7694" width="11.6640625" style="316" bestFit="1" customWidth="1"/>
    <col min="7695" max="7937" width="9.109375" style="316"/>
    <col min="7938" max="7938" width="31.33203125" style="316" customWidth="1"/>
    <col min="7939" max="7939" width="12.109375" style="316" customWidth="1"/>
    <col min="7940" max="7942" width="10.109375" style="316" bestFit="1" customWidth="1"/>
    <col min="7943" max="7943" width="9.6640625" style="316" bestFit="1" customWidth="1"/>
    <col min="7944" max="7944" width="10.33203125" style="316" bestFit="1" customWidth="1"/>
    <col min="7945" max="7945" width="11.6640625" style="316" bestFit="1" customWidth="1"/>
    <col min="7946" max="7947" width="12.88671875" style="316" bestFit="1" customWidth="1"/>
    <col min="7948" max="7948" width="12.44140625" style="316" customWidth="1"/>
    <col min="7949" max="7949" width="11.33203125" style="316" bestFit="1" customWidth="1"/>
    <col min="7950" max="7950" width="11.6640625" style="316" bestFit="1" customWidth="1"/>
    <col min="7951" max="8193" width="9.109375" style="316"/>
    <col min="8194" max="8194" width="31.33203125" style="316" customWidth="1"/>
    <col min="8195" max="8195" width="12.109375" style="316" customWidth="1"/>
    <col min="8196" max="8198" width="10.109375" style="316" bestFit="1" customWidth="1"/>
    <col min="8199" max="8199" width="9.6640625" style="316" bestFit="1" customWidth="1"/>
    <col min="8200" max="8200" width="10.33203125" style="316" bestFit="1" customWidth="1"/>
    <col min="8201" max="8201" width="11.6640625" style="316" bestFit="1" customWidth="1"/>
    <col min="8202" max="8203" width="12.88671875" style="316" bestFit="1" customWidth="1"/>
    <col min="8204" max="8204" width="12.44140625" style="316" customWidth="1"/>
    <col min="8205" max="8205" width="11.33203125" style="316" bestFit="1" customWidth="1"/>
    <col min="8206" max="8206" width="11.6640625" style="316" bestFit="1" customWidth="1"/>
    <col min="8207" max="8449" width="9.109375" style="316"/>
    <col min="8450" max="8450" width="31.33203125" style="316" customWidth="1"/>
    <col min="8451" max="8451" width="12.109375" style="316" customWidth="1"/>
    <col min="8452" max="8454" width="10.109375" style="316" bestFit="1" customWidth="1"/>
    <col min="8455" max="8455" width="9.6640625" style="316" bestFit="1" customWidth="1"/>
    <col min="8456" max="8456" width="10.33203125" style="316" bestFit="1" customWidth="1"/>
    <col min="8457" max="8457" width="11.6640625" style="316" bestFit="1" customWidth="1"/>
    <col min="8458" max="8459" width="12.88671875" style="316" bestFit="1" customWidth="1"/>
    <col min="8460" max="8460" width="12.44140625" style="316" customWidth="1"/>
    <col min="8461" max="8461" width="11.33203125" style="316" bestFit="1" customWidth="1"/>
    <col min="8462" max="8462" width="11.6640625" style="316" bestFit="1" customWidth="1"/>
    <col min="8463" max="8705" width="9.109375" style="316"/>
    <col min="8706" max="8706" width="31.33203125" style="316" customWidth="1"/>
    <col min="8707" max="8707" width="12.109375" style="316" customWidth="1"/>
    <col min="8708" max="8710" width="10.109375" style="316" bestFit="1" customWidth="1"/>
    <col min="8711" max="8711" width="9.6640625" style="316" bestFit="1" customWidth="1"/>
    <col min="8712" max="8712" width="10.33203125" style="316" bestFit="1" customWidth="1"/>
    <col min="8713" max="8713" width="11.6640625" style="316" bestFit="1" customWidth="1"/>
    <col min="8714" max="8715" width="12.88671875" style="316" bestFit="1" customWidth="1"/>
    <col min="8716" max="8716" width="12.44140625" style="316" customWidth="1"/>
    <col min="8717" max="8717" width="11.33203125" style="316" bestFit="1" customWidth="1"/>
    <col min="8718" max="8718" width="11.6640625" style="316" bestFit="1" customWidth="1"/>
    <col min="8719" max="8961" width="9.109375" style="316"/>
    <col min="8962" max="8962" width="31.33203125" style="316" customWidth="1"/>
    <col min="8963" max="8963" width="12.109375" style="316" customWidth="1"/>
    <col min="8964" max="8966" width="10.109375" style="316" bestFit="1" customWidth="1"/>
    <col min="8967" max="8967" width="9.6640625" style="316" bestFit="1" customWidth="1"/>
    <col min="8968" max="8968" width="10.33203125" style="316" bestFit="1" customWidth="1"/>
    <col min="8969" max="8969" width="11.6640625" style="316" bestFit="1" customWidth="1"/>
    <col min="8970" max="8971" width="12.88671875" style="316" bestFit="1" customWidth="1"/>
    <col min="8972" max="8972" width="12.44140625" style="316" customWidth="1"/>
    <col min="8973" max="8973" width="11.33203125" style="316" bestFit="1" customWidth="1"/>
    <col min="8974" max="8974" width="11.6640625" style="316" bestFit="1" customWidth="1"/>
    <col min="8975" max="9217" width="9.109375" style="316"/>
    <col min="9218" max="9218" width="31.33203125" style="316" customWidth="1"/>
    <col min="9219" max="9219" width="12.109375" style="316" customWidth="1"/>
    <col min="9220" max="9222" width="10.109375" style="316" bestFit="1" customWidth="1"/>
    <col min="9223" max="9223" width="9.6640625" style="316" bestFit="1" customWidth="1"/>
    <col min="9224" max="9224" width="10.33203125" style="316" bestFit="1" customWidth="1"/>
    <col min="9225" max="9225" width="11.6640625" style="316" bestFit="1" customWidth="1"/>
    <col min="9226" max="9227" width="12.88671875" style="316" bestFit="1" customWidth="1"/>
    <col min="9228" max="9228" width="12.44140625" style="316" customWidth="1"/>
    <col min="9229" max="9229" width="11.33203125" style="316" bestFit="1" customWidth="1"/>
    <col min="9230" max="9230" width="11.6640625" style="316" bestFit="1" customWidth="1"/>
    <col min="9231" max="9473" width="9.109375" style="316"/>
    <col min="9474" max="9474" width="31.33203125" style="316" customWidth="1"/>
    <col min="9475" max="9475" width="12.109375" style="316" customWidth="1"/>
    <col min="9476" max="9478" width="10.109375" style="316" bestFit="1" customWidth="1"/>
    <col min="9479" max="9479" width="9.6640625" style="316" bestFit="1" customWidth="1"/>
    <col min="9480" max="9480" width="10.33203125" style="316" bestFit="1" customWidth="1"/>
    <col min="9481" max="9481" width="11.6640625" style="316" bestFit="1" customWidth="1"/>
    <col min="9482" max="9483" width="12.88671875" style="316" bestFit="1" customWidth="1"/>
    <col min="9484" max="9484" width="12.44140625" style="316" customWidth="1"/>
    <col min="9485" max="9485" width="11.33203125" style="316" bestFit="1" customWidth="1"/>
    <col min="9486" max="9486" width="11.6640625" style="316" bestFit="1" customWidth="1"/>
    <col min="9487" max="9729" width="9.109375" style="316"/>
    <col min="9730" max="9730" width="31.33203125" style="316" customWidth="1"/>
    <col min="9731" max="9731" width="12.109375" style="316" customWidth="1"/>
    <col min="9732" max="9734" width="10.109375" style="316" bestFit="1" customWidth="1"/>
    <col min="9735" max="9735" width="9.6640625" style="316" bestFit="1" customWidth="1"/>
    <col min="9736" max="9736" width="10.33203125" style="316" bestFit="1" customWidth="1"/>
    <col min="9737" max="9737" width="11.6640625" style="316" bestFit="1" customWidth="1"/>
    <col min="9738" max="9739" width="12.88671875" style="316" bestFit="1" customWidth="1"/>
    <col min="9740" max="9740" width="12.44140625" style="316" customWidth="1"/>
    <col min="9741" max="9741" width="11.33203125" style="316" bestFit="1" customWidth="1"/>
    <col min="9742" max="9742" width="11.6640625" style="316" bestFit="1" customWidth="1"/>
    <col min="9743" max="9985" width="9.109375" style="316"/>
    <col min="9986" max="9986" width="31.33203125" style="316" customWidth="1"/>
    <col min="9987" max="9987" width="12.109375" style="316" customWidth="1"/>
    <col min="9988" max="9990" width="10.109375" style="316" bestFit="1" customWidth="1"/>
    <col min="9991" max="9991" width="9.6640625" style="316" bestFit="1" customWidth="1"/>
    <col min="9992" max="9992" width="10.33203125" style="316" bestFit="1" customWidth="1"/>
    <col min="9993" max="9993" width="11.6640625" style="316" bestFit="1" customWidth="1"/>
    <col min="9994" max="9995" width="12.88671875" style="316" bestFit="1" customWidth="1"/>
    <col min="9996" max="9996" width="12.44140625" style="316" customWidth="1"/>
    <col min="9997" max="9997" width="11.33203125" style="316" bestFit="1" customWidth="1"/>
    <col min="9998" max="9998" width="11.6640625" style="316" bestFit="1" customWidth="1"/>
    <col min="9999" max="10241" width="9.109375" style="316"/>
    <col min="10242" max="10242" width="31.33203125" style="316" customWidth="1"/>
    <col min="10243" max="10243" width="12.109375" style="316" customWidth="1"/>
    <col min="10244" max="10246" width="10.109375" style="316" bestFit="1" customWidth="1"/>
    <col min="10247" max="10247" width="9.6640625" style="316" bestFit="1" customWidth="1"/>
    <col min="10248" max="10248" width="10.33203125" style="316" bestFit="1" customWidth="1"/>
    <col min="10249" max="10249" width="11.6640625" style="316" bestFit="1" customWidth="1"/>
    <col min="10250" max="10251" width="12.88671875" style="316" bestFit="1" customWidth="1"/>
    <col min="10252" max="10252" width="12.44140625" style="316" customWidth="1"/>
    <col min="10253" max="10253" width="11.33203125" style="316" bestFit="1" customWidth="1"/>
    <col min="10254" max="10254" width="11.6640625" style="316" bestFit="1" customWidth="1"/>
    <col min="10255" max="10497" width="9.109375" style="316"/>
    <col min="10498" max="10498" width="31.33203125" style="316" customWidth="1"/>
    <col min="10499" max="10499" width="12.109375" style="316" customWidth="1"/>
    <col min="10500" max="10502" width="10.109375" style="316" bestFit="1" customWidth="1"/>
    <col min="10503" max="10503" width="9.6640625" style="316" bestFit="1" customWidth="1"/>
    <col min="10504" max="10504" width="10.33203125" style="316" bestFit="1" customWidth="1"/>
    <col min="10505" max="10505" width="11.6640625" style="316" bestFit="1" customWidth="1"/>
    <col min="10506" max="10507" width="12.88671875" style="316" bestFit="1" customWidth="1"/>
    <col min="10508" max="10508" width="12.44140625" style="316" customWidth="1"/>
    <col min="10509" max="10509" width="11.33203125" style="316" bestFit="1" customWidth="1"/>
    <col min="10510" max="10510" width="11.6640625" style="316" bestFit="1" customWidth="1"/>
    <col min="10511" max="10753" width="9.109375" style="316"/>
    <col min="10754" max="10754" width="31.33203125" style="316" customWidth="1"/>
    <col min="10755" max="10755" width="12.109375" style="316" customWidth="1"/>
    <col min="10756" max="10758" width="10.109375" style="316" bestFit="1" customWidth="1"/>
    <col min="10759" max="10759" width="9.6640625" style="316" bestFit="1" customWidth="1"/>
    <col min="10760" max="10760" width="10.33203125" style="316" bestFit="1" customWidth="1"/>
    <col min="10761" max="10761" width="11.6640625" style="316" bestFit="1" customWidth="1"/>
    <col min="10762" max="10763" width="12.88671875" style="316" bestFit="1" customWidth="1"/>
    <col min="10764" max="10764" width="12.44140625" style="316" customWidth="1"/>
    <col min="10765" max="10765" width="11.33203125" style="316" bestFit="1" customWidth="1"/>
    <col min="10766" max="10766" width="11.6640625" style="316" bestFit="1" customWidth="1"/>
    <col min="10767" max="11009" width="9.109375" style="316"/>
    <col min="11010" max="11010" width="31.33203125" style="316" customWidth="1"/>
    <col min="11011" max="11011" width="12.109375" style="316" customWidth="1"/>
    <col min="11012" max="11014" width="10.109375" style="316" bestFit="1" customWidth="1"/>
    <col min="11015" max="11015" width="9.6640625" style="316" bestFit="1" customWidth="1"/>
    <col min="11016" max="11016" width="10.33203125" style="316" bestFit="1" customWidth="1"/>
    <col min="11017" max="11017" width="11.6640625" style="316" bestFit="1" customWidth="1"/>
    <col min="11018" max="11019" width="12.88671875" style="316" bestFit="1" customWidth="1"/>
    <col min="11020" max="11020" width="12.44140625" style="316" customWidth="1"/>
    <col min="11021" max="11021" width="11.33203125" style="316" bestFit="1" customWidth="1"/>
    <col min="11022" max="11022" width="11.6640625" style="316" bestFit="1" customWidth="1"/>
    <col min="11023" max="11265" width="9.109375" style="316"/>
    <col min="11266" max="11266" width="31.33203125" style="316" customWidth="1"/>
    <col min="11267" max="11267" width="12.109375" style="316" customWidth="1"/>
    <col min="11268" max="11270" width="10.109375" style="316" bestFit="1" customWidth="1"/>
    <col min="11271" max="11271" width="9.6640625" style="316" bestFit="1" customWidth="1"/>
    <col min="11272" max="11272" width="10.33203125" style="316" bestFit="1" customWidth="1"/>
    <col min="11273" max="11273" width="11.6640625" style="316" bestFit="1" customWidth="1"/>
    <col min="11274" max="11275" width="12.88671875" style="316" bestFit="1" customWidth="1"/>
    <col min="11276" max="11276" width="12.44140625" style="316" customWidth="1"/>
    <col min="11277" max="11277" width="11.33203125" style="316" bestFit="1" customWidth="1"/>
    <col min="11278" max="11278" width="11.6640625" style="316" bestFit="1" customWidth="1"/>
    <col min="11279" max="11521" width="9.109375" style="316"/>
    <col min="11522" max="11522" width="31.33203125" style="316" customWidth="1"/>
    <col min="11523" max="11523" width="12.109375" style="316" customWidth="1"/>
    <col min="11524" max="11526" width="10.109375" style="316" bestFit="1" customWidth="1"/>
    <col min="11527" max="11527" width="9.6640625" style="316" bestFit="1" customWidth="1"/>
    <col min="11528" max="11528" width="10.33203125" style="316" bestFit="1" customWidth="1"/>
    <col min="11529" max="11529" width="11.6640625" style="316" bestFit="1" customWidth="1"/>
    <col min="11530" max="11531" width="12.88671875" style="316" bestFit="1" customWidth="1"/>
    <col min="11532" max="11532" width="12.44140625" style="316" customWidth="1"/>
    <col min="11533" max="11533" width="11.33203125" style="316" bestFit="1" customWidth="1"/>
    <col min="11534" max="11534" width="11.6640625" style="316" bestFit="1" customWidth="1"/>
    <col min="11535" max="11777" width="9.109375" style="316"/>
    <col min="11778" max="11778" width="31.33203125" style="316" customWidth="1"/>
    <col min="11779" max="11779" width="12.109375" style="316" customWidth="1"/>
    <col min="11780" max="11782" width="10.109375" style="316" bestFit="1" customWidth="1"/>
    <col min="11783" max="11783" width="9.6640625" style="316" bestFit="1" customWidth="1"/>
    <col min="11784" max="11784" width="10.33203125" style="316" bestFit="1" customWidth="1"/>
    <col min="11785" max="11785" width="11.6640625" style="316" bestFit="1" customWidth="1"/>
    <col min="11786" max="11787" width="12.88671875" style="316" bestFit="1" customWidth="1"/>
    <col min="11788" max="11788" width="12.44140625" style="316" customWidth="1"/>
    <col min="11789" max="11789" width="11.33203125" style="316" bestFit="1" customWidth="1"/>
    <col min="11790" max="11790" width="11.6640625" style="316" bestFit="1" customWidth="1"/>
    <col min="11791" max="12033" width="9.109375" style="316"/>
    <col min="12034" max="12034" width="31.33203125" style="316" customWidth="1"/>
    <col min="12035" max="12035" width="12.109375" style="316" customWidth="1"/>
    <col min="12036" max="12038" width="10.109375" style="316" bestFit="1" customWidth="1"/>
    <col min="12039" max="12039" width="9.6640625" style="316" bestFit="1" customWidth="1"/>
    <col min="12040" max="12040" width="10.33203125" style="316" bestFit="1" customWidth="1"/>
    <col min="12041" max="12041" width="11.6640625" style="316" bestFit="1" customWidth="1"/>
    <col min="12042" max="12043" width="12.88671875" style="316" bestFit="1" customWidth="1"/>
    <col min="12044" max="12044" width="12.44140625" style="316" customWidth="1"/>
    <col min="12045" max="12045" width="11.33203125" style="316" bestFit="1" customWidth="1"/>
    <col min="12046" max="12046" width="11.6640625" style="316" bestFit="1" customWidth="1"/>
    <col min="12047" max="12289" width="9.109375" style="316"/>
    <col min="12290" max="12290" width="31.33203125" style="316" customWidth="1"/>
    <col min="12291" max="12291" width="12.109375" style="316" customWidth="1"/>
    <col min="12292" max="12294" width="10.109375" style="316" bestFit="1" customWidth="1"/>
    <col min="12295" max="12295" width="9.6640625" style="316" bestFit="1" customWidth="1"/>
    <col min="12296" max="12296" width="10.33203125" style="316" bestFit="1" customWidth="1"/>
    <col min="12297" max="12297" width="11.6640625" style="316" bestFit="1" customWidth="1"/>
    <col min="12298" max="12299" width="12.88671875" style="316" bestFit="1" customWidth="1"/>
    <col min="12300" max="12300" width="12.44140625" style="316" customWidth="1"/>
    <col min="12301" max="12301" width="11.33203125" style="316" bestFit="1" customWidth="1"/>
    <col min="12302" max="12302" width="11.6640625" style="316" bestFit="1" customWidth="1"/>
    <col min="12303" max="12545" width="9.109375" style="316"/>
    <col min="12546" max="12546" width="31.33203125" style="316" customWidth="1"/>
    <col min="12547" max="12547" width="12.109375" style="316" customWidth="1"/>
    <col min="12548" max="12550" width="10.109375" style="316" bestFit="1" customWidth="1"/>
    <col min="12551" max="12551" width="9.6640625" style="316" bestFit="1" customWidth="1"/>
    <col min="12552" max="12552" width="10.33203125" style="316" bestFit="1" customWidth="1"/>
    <col min="12553" max="12553" width="11.6640625" style="316" bestFit="1" customWidth="1"/>
    <col min="12554" max="12555" width="12.88671875" style="316" bestFit="1" customWidth="1"/>
    <col min="12556" max="12556" width="12.44140625" style="316" customWidth="1"/>
    <col min="12557" max="12557" width="11.33203125" style="316" bestFit="1" customWidth="1"/>
    <col min="12558" max="12558" width="11.6640625" style="316" bestFit="1" customWidth="1"/>
    <col min="12559" max="12801" width="9.109375" style="316"/>
    <col min="12802" max="12802" width="31.33203125" style="316" customWidth="1"/>
    <col min="12803" max="12803" width="12.109375" style="316" customWidth="1"/>
    <col min="12804" max="12806" width="10.109375" style="316" bestFit="1" customWidth="1"/>
    <col min="12807" max="12807" width="9.6640625" style="316" bestFit="1" customWidth="1"/>
    <col min="12808" max="12808" width="10.33203125" style="316" bestFit="1" customWidth="1"/>
    <col min="12809" max="12809" width="11.6640625" style="316" bestFit="1" customWidth="1"/>
    <col min="12810" max="12811" width="12.88671875" style="316" bestFit="1" customWidth="1"/>
    <col min="12812" max="12812" width="12.44140625" style="316" customWidth="1"/>
    <col min="12813" max="12813" width="11.33203125" style="316" bestFit="1" customWidth="1"/>
    <col min="12814" max="12814" width="11.6640625" style="316" bestFit="1" customWidth="1"/>
    <col min="12815" max="13057" width="9.109375" style="316"/>
    <col min="13058" max="13058" width="31.33203125" style="316" customWidth="1"/>
    <col min="13059" max="13059" width="12.109375" style="316" customWidth="1"/>
    <col min="13060" max="13062" width="10.109375" style="316" bestFit="1" customWidth="1"/>
    <col min="13063" max="13063" width="9.6640625" style="316" bestFit="1" customWidth="1"/>
    <col min="13064" max="13064" width="10.33203125" style="316" bestFit="1" customWidth="1"/>
    <col min="13065" max="13065" width="11.6640625" style="316" bestFit="1" customWidth="1"/>
    <col min="13066" max="13067" width="12.88671875" style="316" bestFit="1" customWidth="1"/>
    <col min="13068" max="13068" width="12.44140625" style="316" customWidth="1"/>
    <col min="13069" max="13069" width="11.33203125" style="316" bestFit="1" customWidth="1"/>
    <col min="13070" max="13070" width="11.6640625" style="316" bestFit="1" customWidth="1"/>
    <col min="13071" max="13313" width="9.109375" style="316"/>
    <col min="13314" max="13314" width="31.33203125" style="316" customWidth="1"/>
    <col min="13315" max="13315" width="12.109375" style="316" customWidth="1"/>
    <col min="13316" max="13318" width="10.109375" style="316" bestFit="1" customWidth="1"/>
    <col min="13319" max="13319" width="9.6640625" style="316" bestFit="1" customWidth="1"/>
    <col min="13320" max="13320" width="10.33203125" style="316" bestFit="1" customWidth="1"/>
    <col min="13321" max="13321" width="11.6640625" style="316" bestFit="1" customWidth="1"/>
    <col min="13322" max="13323" width="12.88671875" style="316" bestFit="1" customWidth="1"/>
    <col min="13324" max="13324" width="12.44140625" style="316" customWidth="1"/>
    <col min="13325" max="13325" width="11.33203125" style="316" bestFit="1" customWidth="1"/>
    <col min="13326" max="13326" width="11.6640625" style="316" bestFit="1" customWidth="1"/>
    <col min="13327" max="13569" width="9.109375" style="316"/>
    <col min="13570" max="13570" width="31.33203125" style="316" customWidth="1"/>
    <col min="13571" max="13571" width="12.109375" style="316" customWidth="1"/>
    <col min="13572" max="13574" width="10.109375" style="316" bestFit="1" customWidth="1"/>
    <col min="13575" max="13575" width="9.6640625" style="316" bestFit="1" customWidth="1"/>
    <col min="13576" max="13576" width="10.33203125" style="316" bestFit="1" customWidth="1"/>
    <col min="13577" max="13577" width="11.6640625" style="316" bestFit="1" customWidth="1"/>
    <col min="13578" max="13579" width="12.88671875" style="316" bestFit="1" customWidth="1"/>
    <col min="13580" max="13580" width="12.44140625" style="316" customWidth="1"/>
    <col min="13581" max="13581" width="11.33203125" style="316" bestFit="1" customWidth="1"/>
    <col min="13582" max="13582" width="11.6640625" style="316" bestFit="1" customWidth="1"/>
    <col min="13583" max="13825" width="9.109375" style="316"/>
    <col min="13826" max="13826" width="31.33203125" style="316" customWidth="1"/>
    <col min="13827" max="13827" width="12.109375" style="316" customWidth="1"/>
    <col min="13828" max="13830" width="10.109375" style="316" bestFit="1" customWidth="1"/>
    <col min="13831" max="13831" width="9.6640625" style="316" bestFit="1" customWidth="1"/>
    <col min="13832" max="13832" width="10.33203125" style="316" bestFit="1" customWidth="1"/>
    <col min="13833" max="13833" width="11.6640625" style="316" bestFit="1" customWidth="1"/>
    <col min="13834" max="13835" width="12.88671875" style="316" bestFit="1" customWidth="1"/>
    <col min="13836" max="13836" width="12.44140625" style="316" customWidth="1"/>
    <col min="13837" max="13837" width="11.33203125" style="316" bestFit="1" customWidth="1"/>
    <col min="13838" max="13838" width="11.6640625" style="316" bestFit="1" customWidth="1"/>
    <col min="13839" max="14081" width="9.109375" style="316"/>
    <col min="14082" max="14082" width="31.33203125" style="316" customWidth="1"/>
    <col min="14083" max="14083" width="12.109375" style="316" customWidth="1"/>
    <col min="14084" max="14086" width="10.109375" style="316" bestFit="1" customWidth="1"/>
    <col min="14087" max="14087" width="9.6640625" style="316" bestFit="1" customWidth="1"/>
    <col min="14088" max="14088" width="10.33203125" style="316" bestFit="1" customWidth="1"/>
    <col min="14089" max="14089" width="11.6640625" style="316" bestFit="1" customWidth="1"/>
    <col min="14090" max="14091" width="12.88671875" style="316" bestFit="1" customWidth="1"/>
    <col min="14092" max="14092" width="12.44140625" style="316" customWidth="1"/>
    <col min="14093" max="14093" width="11.33203125" style="316" bestFit="1" customWidth="1"/>
    <col min="14094" max="14094" width="11.6640625" style="316" bestFit="1" customWidth="1"/>
    <col min="14095" max="14337" width="9.109375" style="316"/>
    <col min="14338" max="14338" width="31.33203125" style="316" customWidth="1"/>
    <col min="14339" max="14339" width="12.109375" style="316" customWidth="1"/>
    <col min="14340" max="14342" width="10.109375" style="316" bestFit="1" customWidth="1"/>
    <col min="14343" max="14343" width="9.6640625" style="316" bestFit="1" customWidth="1"/>
    <col min="14344" max="14344" width="10.33203125" style="316" bestFit="1" customWidth="1"/>
    <col min="14345" max="14345" width="11.6640625" style="316" bestFit="1" customWidth="1"/>
    <col min="14346" max="14347" width="12.88671875" style="316" bestFit="1" customWidth="1"/>
    <col min="14348" max="14348" width="12.44140625" style="316" customWidth="1"/>
    <col min="14349" max="14349" width="11.33203125" style="316" bestFit="1" customWidth="1"/>
    <col min="14350" max="14350" width="11.6640625" style="316" bestFit="1" customWidth="1"/>
    <col min="14351" max="14593" width="9.109375" style="316"/>
    <col min="14594" max="14594" width="31.33203125" style="316" customWidth="1"/>
    <col min="14595" max="14595" width="12.109375" style="316" customWidth="1"/>
    <col min="14596" max="14598" width="10.109375" style="316" bestFit="1" customWidth="1"/>
    <col min="14599" max="14599" width="9.6640625" style="316" bestFit="1" customWidth="1"/>
    <col min="14600" max="14600" width="10.33203125" style="316" bestFit="1" customWidth="1"/>
    <col min="14601" max="14601" width="11.6640625" style="316" bestFit="1" customWidth="1"/>
    <col min="14602" max="14603" width="12.88671875" style="316" bestFit="1" customWidth="1"/>
    <col min="14604" max="14604" width="12.44140625" style="316" customWidth="1"/>
    <col min="14605" max="14605" width="11.33203125" style="316" bestFit="1" customWidth="1"/>
    <col min="14606" max="14606" width="11.6640625" style="316" bestFit="1" customWidth="1"/>
    <col min="14607" max="14849" width="9.109375" style="316"/>
    <col min="14850" max="14850" width="31.33203125" style="316" customWidth="1"/>
    <col min="14851" max="14851" width="12.109375" style="316" customWidth="1"/>
    <col min="14852" max="14854" width="10.109375" style="316" bestFit="1" customWidth="1"/>
    <col min="14855" max="14855" width="9.6640625" style="316" bestFit="1" customWidth="1"/>
    <col min="14856" max="14856" width="10.33203125" style="316" bestFit="1" customWidth="1"/>
    <col min="14857" max="14857" width="11.6640625" style="316" bestFit="1" customWidth="1"/>
    <col min="14858" max="14859" width="12.88671875" style="316" bestFit="1" customWidth="1"/>
    <col min="14860" max="14860" width="12.44140625" style="316" customWidth="1"/>
    <col min="14861" max="14861" width="11.33203125" style="316" bestFit="1" customWidth="1"/>
    <col min="14862" max="14862" width="11.6640625" style="316" bestFit="1" customWidth="1"/>
    <col min="14863" max="15105" width="9.109375" style="316"/>
    <col min="15106" max="15106" width="31.33203125" style="316" customWidth="1"/>
    <col min="15107" max="15107" width="12.109375" style="316" customWidth="1"/>
    <col min="15108" max="15110" width="10.109375" style="316" bestFit="1" customWidth="1"/>
    <col min="15111" max="15111" width="9.6640625" style="316" bestFit="1" customWidth="1"/>
    <col min="15112" max="15112" width="10.33203125" style="316" bestFit="1" customWidth="1"/>
    <col min="15113" max="15113" width="11.6640625" style="316" bestFit="1" customWidth="1"/>
    <col min="15114" max="15115" width="12.88671875" style="316" bestFit="1" customWidth="1"/>
    <col min="15116" max="15116" width="12.44140625" style="316" customWidth="1"/>
    <col min="15117" max="15117" width="11.33203125" style="316" bestFit="1" customWidth="1"/>
    <col min="15118" max="15118" width="11.6640625" style="316" bestFit="1" customWidth="1"/>
    <col min="15119" max="15361" width="9.109375" style="316"/>
    <col min="15362" max="15362" width="31.33203125" style="316" customWidth="1"/>
    <col min="15363" max="15363" width="12.109375" style="316" customWidth="1"/>
    <col min="15364" max="15366" width="10.109375" style="316" bestFit="1" customWidth="1"/>
    <col min="15367" max="15367" width="9.6640625" style="316" bestFit="1" customWidth="1"/>
    <col min="15368" max="15368" width="10.33203125" style="316" bestFit="1" customWidth="1"/>
    <col min="15369" max="15369" width="11.6640625" style="316" bestFit="1" customWidth="1"/>
    <col min="15370" max="15371" width="12.88671875" style="316" bestFit="1" customWidth="1"/>
    <col min="15372" max="15372" width="12.44140625" style="316" customWidth="1"/>
    <col min="15373" max="15373" width="11.33203125" style="316" bestFit="1" customWidth="1"/>
    <col min="15374" max="15374" width="11.6640625" style="316" bestFit="1" customWidth="1"/>
    <col min="15375" max="15617" width="9.109375" style="316"/>
    <col min="15618" max="15618" width="31.33203125" style="316" customWidth="1"/>
    <col min="15619" max="15619" width="12.109375" style="316" customWidth="1"/>
    <col min="15620" max="15622" width="10.109375" style="316" bestFit="1" customWidth="1"/>
    <col min="15623" max="15623" width="9.6640625" style="316" bestFit="1" customWidth="1"/>
    <col min="15624" max="15624" width="10.33203125" style="316" bestFit="1" customWidth="1"/>
    <col min="15625" max="15625" width="11.6640625" style="316" bestFit="1" customWidth="1"/>
    <col min="15626" max="15627" width="12.88671875" style="316" bestFit="1" customWidth="1"/>
    <col min="15628" max="15628" width="12.44140625" style="316" customWidth="1"/>
    <col min="15629" max="15629" width="11.33203125" style="316" bestFit="1" customWidth="1"/>
    <col min="15630" max="15630" width="11.6640625" style="316" bestFit="1" customWidth="1"/>
    <col min="15631" max="15873" width="9.109375" style="316"/>
    <col min="15874" max="15874" width="31.33203125" style="316" customWidth="1"/>
    <col min="15875" max="15875" width="12.109375" style="316" customWidth="1"/>
    <col min="15876" max="15878" width="10.109375" style="316" bestFit="1" customWidth="1"/>
    <col min="15879" max="15879" width="9.6640625" style="316" bestFit="1" customWidth="1"/>
    <col min="15880" max="15880" width="10.33203125" style="316" bestFit="1" customWidth="1"/>
    <col min="15881" max="15881" width="11.6640625" style="316" bestFit="1" customWidth="1"/>
    <col min="15882" max="15883" width="12.88671875" style="316" bestFit="1" customWidth="1"/>
    <col min="15884" max="15884" width="12.44140625" style="316" customWidth="1"/>
    <col min="15885" max="15885" width="11.33203125" style="316" bestFit="1" customWidth="1"/>
    <col min="15886" max="15886" width="11.6640625" style="316" bestFit="1" customWidth="1"/>
    <col min="15887" max="16129" width="9.109375" style="316"/>
    <col min="16130" max="16130" width="31.33203125" style="316" customWidth="1"/>
    <col min="16131" max="16131" width="12.109375" style="316" customWidth="1"/>
    <col min="16132" max="16134" width="10.109375" style="316" bestFit="1" customWidth="1"/>
    <col min="16135" max="16135" width="9.6640625" style="316" bestFit="1" customWidth="1"/>
    <col min="16136" max="16136" width="10.33203125" style="316" bestFit="1" customWidth="1"/>
    <col min="16137" max="16137" width="11.6640625" style="316" bestFit="1" customWidth="1"/>
    <col min="16138" max="16139" width="12.88671875" style="316" bestFit="1" customWidth="1"/>
    <col min="16140" max="16140" width="12.44140625" style="316" customWidth="1"/>
    <col min="16141" max="16141" width="11.33203125" style="316" bestFit="1" customWidth="1"/>
    <col min="16142" max="16142" width="11.6640625" style="316" bestFit="1" customWidth="1"/>
    <col min="16143" max="16384" width="9.109375" style="316"/>
  </cols>
  <sheetData>
    <row r="1" spans="1:14" ht="12.75" customHeight="1">
      <c r="A1" s="1277" t="s">
        <v>433</v>
      </c>
      <c r="B1" s="948"/>
      <c r="C1" s="948"/>
      <c r="D1" s="948"/>
      <c r="E1" s="948"/>
      <c r="F1" s="948"/>
      <c r="G1" s="948"/>
      <c r="H1" s="1278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Cover'!A16</f>
        <v>1300</v>
      </c>
    </row>
    <row r="2" spans="1:14">
      <c r="A2" s="1300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389</v>
      </c>
      <c r="B3" s="406" t="str">
        <f>'F1 Forecast Serivce Provider'!C3</f>
        <v>WESTERN</v>
      </c>
      <c r="H3" s="233"/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04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96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1.5" customHeight="1">
      <c r="A7" s="317">
        <f>'Pricing Schedule'!A15</f>
        <v>1300</v>
      </c>
      <c r="B7" s="318" t="str">
        <f>'Pricing Schedule'!B15</f>
        <v>TRANSITIONAL ARRANGEMENTS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Schedule'!A16</f>
        <v>13.01</v>
      </c>
      <c r="B8" s="322" t="str">
        <f>'Pricing Schedule'!B16</f>
        <v>Engagement of the previous service provider</v>
      </c>
      <c r="C8" s="401" t="str">
        <f>'Pricing Schedule'!C16</f>
        <v>PC Sum</v>
      </c>
      <c r="D8" s="335">
        <v>1</v>
      </c>
      <c r="E8" s="389">
        <f>D8</f>
        <v>1</v>
      </c>
      <c r="F8" s="490">
        <f>DATA!$W$52</f>
        <v>0</v>
      </c>
      <c r="G8" s="634">
        <f>'Pg 4 P Sums'!K11-F8</f>
        <v>0</v>
      </c>
      <c r="H8" s="324">
        <f t="shared" ref="H8:H16" si="0">F8+G8</f>
        <v>0</v>
      </c>
      <c r="I8" s="335">
        <f>'Pricing Schedule'!F16</f>
        <v>50000</v>
      </c>
      <c r="J8" s="323">
        <f t="shared" ref="J8:J16" si="1">D8*I8</f>
        <v>50000</v>
      </c>
      <c r="K8" s="323">
        <f t="shared" ref="K8:K16" si="2">E8*I8</f>
        <v>50000</v>
      </c>
      <c r="L8" s="323">
        <f t="shared" ref="L8:L16" si="3">F8*I8</f>
        <v>0</v>
      </c>
      <c r="M8" s="323">
        <f t="shared" ref="M8:M16" si="4">G8*I8</f>
        <v>0</v>
      </c>
      <c r="N8" s="324">
        <f t="shared" ref="N8:N16" si="5">H8*I8</f>
        <v>0</v>
      </c>
    </row>
    <row r="9" spans="1:14" ht="31.5" customHeight="1">
      <c r="A9" s="400" t="str">
        <f>'Pricing Schedule'!A17</f>
        <v>13.01(a)</v>
      </c>
      <c r="B9" s="322" t="str">
        <f>'Pricing Schedule'!B17</f>
        <v>Mark up on engagement of previous service provider - Item 13.01</v>
      </c>
      <c r="C9" s="401" t="str">
        <f>'Pricing Schedule'!C17</f>
        <v>Percent</v>
      </c>
      <c r="D9" s="335">
        <f>'Pricing Schedule'!D17</f>
        <v>50000</v>
      </c>
      <c r="E9" s="635">
        <f>K8</f>
        <v>50000</v>
      </c>
      <c r="F9" s="323">
        <f t="shared" ref="F9:G9" si="6">L8</f>
        <v>0</v>
      </c>
      <c r="G9" s="323">
        <f t="shared" si="6"/>
        <v>0</v>
      </c>
      <c r="H9" s="324">
        <f t="shared" si="0"/>
        <v>0</v>
      </c>
      <c r="I9" s="405">
        <f>'Pricing Schedule'!E17</f>
        <v>0</v>
      </c>
      <c r="J9" s="323">
        <f t="shared" si="1"/>
        <v>0</v>
      </c>
      <c r="K9" s="323">
        <f t="shared" si="2"/>
        <v>0</v>
      </c>
      <c r="L9" s="323">
        <f t="shared" si="3"/>
        <v>0</v>
      </c>
      <c r="M9" s="323">
        <f t="shared" si="4"/>
        <v>0</v>
      </c>
      <c r="N9" s="324">
        <f t="shared" si="5"/>
        <v>0</v>
      </c>
    </row>
    <row r="10" spans="1:14" ht="31.5" customHeight="1">
      <c r="A10" s="454">
        <f>'Pricing Schedule'!A18</f>
        <v>13.02</v>
      </c>
      <c r="B10" s="322" t="str">
        <f>'Pricing Schedule'!B18</f>
        <v>Plan and programe taking on operations</v>
      </c>
      <c r="C10" s="401" t="str">
        <f>'Pricing Schedule'!C18</f>
        <v>Lump Sum</v>
      </c>
      <c r="D10" s="335">
        <v>1</v>
      </c>
      <c r="E10" s="389">
        <v>1</v>
      </c>
      <c r="F10" s="490">
        <f>DATA!$X$52</f>
        <v>0</v>
      </c>
      <c r="G10" s="389"/>
      <c r="H10" s="324">
        <f t="shared" si="0"/>
        <v>0</v>
      </c>
      <c r="I10" s="335">
        <f>'Pricing Schedule'!F18</f>
        <v>0</v>
      </c>
      <c r="J10" s="323">
        <f t="shared" si="1"/>
        <v>0</v>
      </c>
      <c r="K10" s="323">
        <f t="shared" si="2"/>
        <v>0</v>
      </c>
      <c r="L10" s="323">
        <f t="shared" si="3"/>
        <v>0</v>
      </c>
      <c r="M10" s="323">
        <f t="shared" si="4"/>
        <v>0</v>
      </c>
      <c r="N10" s="324">
        <f t="shared" si="5"/>
        <v>0</v>
      </c>
    </row>
    <row r="11" spans="1:14" ht="31.5" customHeight="1">
      <c r="A11" s="454">
        <f>'Pricing Schedule'!A19</f>
        <v>13.03</v>
      </c>
      <c r="B11" s="322" t="str">
        <f>'Pricing Schedule'!B19</f>
        <v>Taking over files and documentation</v>
      </c>
      <c r="C11" s="401" t="str">
        <f>'Pricing Schedule'!C19</f>
        <v>Lump Sum</v>
      </c>
      <c r="D11" s="335">
        <v>1</v>
      </c>
      <c r="E11" s="389">
        <v>1</v>
      </c>
      <c r="F11" s="490">
        <f>DATA!$Y$52</f>
        <v>0</v>
      </c>
      <c r="G11" s="389"/>
      <c r="H11" s="324">
        <f t="shared" si="0"/>
        <v>0</v>
      </c>
      <c r="I11" s="335">
        <f>'Pricing Schedule'!F19</f>
        <v>0</v>
      </c>
      <c r="J11" s="323">
        <f t="shared" si="1"/>
        <v>0</v>
      </c>
      <c r="K11" s="323">
        <f t="shared" si="2"/>
        <v>0</v>
      </c>
      <c r="L11" s="323">
        <f t="shared" si="3"/>
        <v>0</v>
      </c>
      <c r="M11" s="323">
        <f t="shared" si="4"/>
        <v>0</v>
      </c>
      <c r="N11" s="324">
        <f t="shared" si="5"/>
        <v>0</v>
      </c>
    </row>
    <row r="12" spans="1:14" ht="31.5" customHeight="1">
      <c r="A12" s="400" t="str">
        <f>'Pricing Schedule'!A20</f>
        <v>13.04(a)</v>
      </c>
      <c r="B12" s="322" t="str">
        <f>'Pricing Schedule'!B20</f>
        <v>Cost of Transport - files and documentation</v>
      </c>
      <c r="C12" s="401" t="str">
        <f>'Pricing Schedule'!C20</f>
        <v>PC Sum</v>
      </c>
      <c r="D12" s="335">
        <v>1</v>
      </c>
      <c r="E12" s="389">
        <f>D12</f>
        <v>1</v>
      </c>
      <c r="F12" s="490">
        <f>DATA!$Z$52</f>
        <v>0</v>
      </c>
      <c r="G12" s="634">
        <f>'Pg 4 P Sums'!K19-F12</f>
        <v>0</v>
      </c>
      <c r="H12" s="324">
        <f t="shared" si="0"/>
        <v>0</v>
      </c>
      <c r="I12" s="335">
        <f>'Pricing Schedule'!F20</f>
        <v>20000</v>
      </c>
      <c r="J12" s="323">
        <f t="shared" si="1"/>
        <v>20000</v>
      </c>
      <c r="K12" s="323">
        <f t="shared" si="2"/>
        <v>20000</v>
      </c>
      <c r="L12" s="323">
        <f t="shared" si="3"/>
        <v>0</v>
      </c>
      <c r="M12" s="323">
        <f t="shared" si="4"/>
        <v>0</v>
      </c>
      <c r="N12" s="324">
        <f t="shared" si="5"/>
        <v>0</v>
      </c>
    </row>
    <row r="13" spans="1:14" ht="31.5" customHeight="1">
      <c r="A13" s="400" t="str">
        <f>'Pricing Schedule'!A21</f>
        <v>13.04(b)</v>
      </c>
      <c r="B13" s="322" t="str">
        <f>'Pricing Schedule'!B21</f>
        <v>Administration of transport - Mark up on Item 13.04(a)</v>
      </c>
      <c r="C13" s="401" t="str">
        <f>'Pricing Schedule'!C21</f>
        <v>Percent</v>
      </c>
      <c r="D13" s="335">
        <f>'Pricing Schedule'!D21</f>
        <v>20000</v>
      </c>
      <c r="E13" s="635">
        <f>K12</f>
        <v>20000</v>
      </c>
      <c r="F13" s="323">
        <f t="shared" ref="F13" si="7">L12</f>
        <v>0</v>
      </c>
      <c r="G13" s="323">
        <f>M12</f>
        <v>0</v>
      </c>
      <c r="H13" s="324">
        <f t="shared" si="0"/>
        <v>0</v>
      </c>
      <c r="I13" s="405">
        <f>'Pricing Schedule'!E21</f>
        <v>0</v>
      </c>
      <c r="J13" s="323">
        <f t="shared" si="1"/>
        <v>0</v>
      </c>
      <c r="K13" s="323">
        <f t="shared" si="2"/>
        <v>0</v>
      </c>
      <c r="L13" s="323">
        <f t="shared" si="3"/>
        <v>0</v>
      </c>
      <c r="M13" s="323">
        <f t="shared" si="4"/>
        <v>0</v>
      </c>
      <c r="N13" s="324">
        <f t="shared" si="5"/>
        <v>0</v>
      </c>
    </row>
    <row r="14" spans="1:14" ht="31.5" customHeight="1">
      <c r="A14" s="400">
        <f>'Pricing Schedule'!A22</f>
        <v>13.05</v>
      </c>
      <c r="B14" s="322" t="str">
        <f>'Pricing Schedule'!B22</f>
        <v>Taking over operations</v>
      </c>
      <c r="C14" s="401" t="str">
        <f>'Pricing Schedule'!C22</f>
        <v>Month</v>
      </c>
      <c r="D14" s="335">
        <f>'Pricing Schedule'!D22</f>
        <v>3</v>
      </c>
      <c r="E14" s="389">
        <f t="shared" ref="E14" si="8">D14</f>
        <v>3</v>
      </c>
      <c r="F14" s="490">
        <f>DATA!$AA$52</f>
        <v>0</v>
      </c>
      <c r="G14" s="389"/>
      <c r="H14" s="324">
        <f t="shared" si="0"/>
        <v>0</v>
      </c>
      <c r="I14" s="402">
        <f>'Pricing Schedule'!E22</f>
        <v>0</v>
      </c>
      <c r="J14" s="323">
        <f t="shared" si="1"/>
        <v>0</v>
      </c>
      <c r="K14" s="323">
        <f t="shared" si="2"/>
        <v>0</v>
      </c>
      <c r="L14" s="323">
        <f t="shared" si="3"/>
        <v>0</v>
      </c>
      <c r="M14" s="323">
        <f t="shared" si="4"/>
        <v>0</v>
      </c>
      <c r="N14" s="324">
        <f t="shared" si="5"/>
        <v>0</v>
      </c>
    </row>
    <row r="15" spans="1:14" ht="31.5" customHeight="1">
      <c r="A15" s="454">
        <f>'Pricing Schedule'!A23</f>
        <v>13.06</v>
      </c>
      <c r="B15" s="322" t="str">
        <f>'Pricing Schedule'!B23</f>
        <v>Plan and program handing over operations</v>
      </c>
      <c r="C15" s="401" t="str">
        <f>'Pricing Schedule'!C23</f>
        <v>Lump Sum</v>
      </c>
      <c r="D15" s="335">
        <v>1</v>
      </c>
      <c r="E15" s="389">
        <v>1</v>
      </c>
      <c r="F15" s="490">
        <f>DATA!$AB$52</f>
        <v>0</v>
      </c>
      <c r="G15" s="389"/>
      <c r="H15" s="324">
        <f t="shared" si="0"/>
        <v>0</v>
      </c>
      <c r="I15" s="335">
        <f>'Pricing Schedule'!F23</f>
        <v>0</v>
      </c>
      <c r="J15" s="323">
        <f t="shared" si="1"/>
        <v>0</v>
      </c>
      <c r="K15" s="323">
        <f t="shared" si="2"/>
        <v>0</v>
      </c>
      <c r="L15" s="323">
        <f t="shared" si="3"/>
        <v>0</v>
      </c>
      <c r="M15" s="323">
        <f t="shared" si="4"/>
        <v>0</v>
      </c>
      <c r="N15" s="324">
        <f t="shared" si="5"/>
        <v>0</v>
      </c>
    </row>
    <row r="16" spans="1:14" ht="31.5" customHeight="1" thickBot="1">
      <c r="A16" s="454">
        <f>'Pricing Schedule'!A24</f>
        <v>13.07</v>
      </c>
      <c r="B16" s="322" t="str">
        <f>'Pricing Schedule'!B24</f>
        <v>Handing over operations</v>
      </c>
      <c r="C16" s="401" t="str">
        <f>'Pricing Schedule'!C24</f>
        <v>Month</v>
      </c>
      <c r="D16" s="335">
        <f>'Pricing Schedule'!D24</f>
        <v>3</v>
      </c>
      <c r="E16" s="389">
        <f t="shared" ref="E16" si="9">D16</f>
        <v>3</v>
      </c>
      <c r="F16" s="490">
        <f>DATA!$AC$52</f>
        <v>0</v>
      </c>
      <c r="G16" s="389"/>
      <c r="H16" s="324">
        <f t="shared" si="0"/>
        <v>0</v>
      </c>
      <c r="I16" s="402">
        <f>'Pricing Schedule'!E24</f>
        <v>0</v>
      </c>
      <c r="J16" s="323">
        <f t="shared" si="1"/>
        <v>0</v>
      </c>
      <c r="K16" s="323">
        <f t="shared" si="2"/>
        <v>0</v>
      </c>
      <c r="L16" s="323">
        <f t="shared" si="3"/>
        <v>0</v>
      </c>
      <c r="M16" s="323">
        <f t="shared" si="4"/>
        <v>0</v>
      </c>
      <c r="N16" s="324">
        <f t="shared" si="5"/>
        <v>0</v>
      </c>
    </row>
    <row r="17" spans="1:14" ht="31.5" customHeight="1" thickBot="1">
      <c r="A17" s="1291" t="s">
        <v>283</v>
      </c>
      <c r="B17" s="1292"/>
      <c r="C17" s="1293"/>
      <c r="D17" s="383"/>
      <c r="E17" s="384"/>
      <c r="F17" s="384"/>
      <c r="G17" s="384"/>
      <c r="H17" s="385"/>
      <c r="I17" s="403"/>
      <c r="J17" s="387">
        <f>SUM(J8:J16)</f>
        <v>70000</v>
      </c>
      <c r="K17" s="387">
        <f>SUM(K8:K16)</f>
        <v>70000</v>
      </c>
      <c r="L17" s="387">
        <f>SUM(L8:L16)</f>
        <v>0</v>
      </c>
      <c r="M17" s="387">
        <f>SUM(M8:M16)</f>
        <v>0</v>
      </c>
      <c r="N17" s="388">
        <f>SUM(N8:N16)</f>
        <v>0</v>
      </c>
    </row>
    <row r="20" spans="1:14" ht="30.9" customHeight="1">
      <c r="A20" s="456" t="s">
        <v>329</v>
      </c>
      <c r="B20" s="456"/>
      <c r="I20" s="316"/>
      <c r="J20" s="404">
        <f>J10+J11+J14+J15+J16</f>
        <v>0</v>
      </c>
      <c r="K20" s="404">
        <f t="shared" ref="K20:N20" si="10">K10+K11+K14+K15+K16</f>
        <v>0</v>
      </c>
      <c r="L20" s="404">
        <f t="shared" si="10"/>
        <v>0</v>
      </c>
      <c r="M20" s="404">
        <f t="shared" si="10"/>
        <v>0</v>
      </c>
      <c r="N20" s="404">
        <f t="shared" si="10"/>
        <v>0</v>
      </c>
    </row>
    <row r="21" spans="1:14" ht="30.9" customHeight="1">
      <c r="A21" s="316" t="s">
        <v>331</v>
      </c>
      <c r="I21" s="316"/>
      <c r="J21" s="404">
        <f>J8+J9+J12+J13</f>
        <v>70000</v>
      </c>
      <c r="K21" s="404">
        <f t="shared" ref="K21:N21" si="11">K8+K9+K12+K13</f>
        <v>70000</v>
      </c>
      <c r="L21" s="404">
        <f t="shared" si="11"/>
        <v>0</v>
      </c>
      <c r="M21" s="404">
        <f t="shared" si="11"/>
        <v>0</v>
      </c>
      <c r="N21" s="404">
        <f t="shared" si="11"/>
        <v>0</v>
      </c>
    </row>
    <row r="22" spans="1:14" ht="30.9" customHeight="1" thickBot="1">
      <c r="A22" s="316" t="s">
        <v>330</v>
      </c>
      <c r="I22" s="316"/>
      <c r="J22" s="455">
        <f>SUM(J20:J21)</f>
        <v>70000</v>
      </c>
      <c r="K22" s="455">
        <f t="shared" ref="K22:N22" si="12">SUM(K20:K21)</f>
        <v>70000</v>
      </c>
      <c r="L22" s="455">
        <f t="shared" si="12"/>
        <v>0</v>
      </c>
      <c r="M22" s="455">
        <f t="shared" si="12"/>
        <v>0</v>
      </c>
      <c r="N22" s="455">
        <f t="shared" si="12"/>
        <v>0</v>
      </c>
    </row>
    <row r="23" spans="1:14" ht="13.8" thickTop="1"/>
  </sheetData>
  <mergeCells count="10">
    <mergeCell ref="A17:C17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conditionalFormatting sqref="H8">
    <cfRule type="expression" dxfId="43" priority="9">
      <formula>H8&gt;E8</formula>
    </cfRule>
  </conditionalFormatting>
  <conditionalFormatting sqref="H9">
    <cfRule type="containsText" dxfId="42" priority="8" operator="containsText" text="ERROR">
      <formula>NOT(ISERROR(SEARCH("ERROR",H9)))</formula>
    </cfRule>
  </conditionalFormatting>
  <conditionalFormatting sqref="H10">
    <cfRule type="expression" dxfId="41" priority="7">
      <formula>H10&gt;E10</formula>
    </cfRule>
  </conditionalFormatting>
  <conditionalFormatting sqref="H11">
    <cfRule type="expression" dxfId="40" priority="6">
      <formula>H11&gt;E11</formula>
    </cfRule>
  </conditionalFormatting>
  <conditionalFormatting sqref="H12">
    <cfRule type="expression" dxfId="39" priority="5">
      <formula>H12&gt;E12</formula>
    </cfRule>
  </conditionalFormatting>
  <conditionalFormatting sqref="H13">
    <cfRule type="containsText" dxfId="38" priority="4" operator="containsText" text="ERROR">
      <formula>NOT(ISERROR(SEARCH("ERROR",H13)))</formula>
    </cfRule>
  </conditionalFormatting>
  <conditionalFormatting sqref="H15">
    <cfRule type="expression" dxfId="37" priority="3">
      <formula>H15&gt;E15</formula>
    </cfRule>
  </conditionalFormatting>
  <conditionalFormatting sqref="H14">
    <cfRule type="expression" dxfId="36" priority="2">
      <formula>H14&gt;E14</formula>
    </cfRule>
  </conditionalFormatting>
  <conditionalFormatting sqref="H16">
    <cfRule type="expression" dxfId="35" priority="1">
      <formula>H16&gt;E16</formula>
    </cfRule>
  </conditionalFormatting>
  <dataValidations count="1">
    <dataValidation type="decimal" operator="lessThanOrEqual" allowBlank="1" showInputMessage="1" showErrorMessage="1" sqref="H9 H13" xr:uid="{00000000-0002-0000-1100-000000000000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5" fitToHeight="0" orientation="landscape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9">
    <tabColor rgb="FF0070C0"/>
    <pageSetUpPr fitToPage="1"/>
  </sheetPr>
  <dimension ref="A1:N18"/>
  <sheetViews>
    <sheetView zoomScaleNormal="100"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9.5546875" style="316" customWidth="1"/>
    <col min="4" max="8" width="11.6640625" style="316" customWidth="1"/>
    <col min="9" max="9" width="11.6640625" style="316" bestFit="1" customWidth="1"/>
    <col min="10" max="11" width="12.88671875" style="316" bestFit="1" customWidth="1"/>
    <col min="12" max="12" width="12.44140625" style="316" customWidth="1"/>
    <col min="13" max="13" width="11.33203125" style="316" bestFit="1" customWidth="1"/>
    <col min="14" max="14" width="11.6640625" style="316" bestFit="1" customWidth="1"/>
    <col min="15" max="257" width="9.109375" style="316"/>
    <col min="258" max="258" width="24.5546875" style="316" customWidth="1"/>
    <col min="259" max="265" width="9.109375" style="316"/>
    <col min="266" max="266" width="15.44140625" style="316" bestFit="1" customWidth="1"/>
    <col min="267" max="268" width="12.6640625" style="316" bestFit="1" customWidth="1"/>
    <col min="269" max="269" width="10.109375" style="316" bestFit="1" customWidth="1"/>
    <col min="270" max="270" width="12.109375" style="316" customWidth="1"/>
    <col min="271" max="513" width="9.109375" style="316"/>
    <col min="514" max="514" width="24.5546875" style="316" customWidth="1"/>
    <col min="515" max="521" width="9.109375" style="316"/>
    <col min="522" max="522" width="15.44140625" style="316" bestFit="1" customWidth="1"/>
    <col min="523" max="524" width="12.6640625" style="316" bestFit="1" customWidth="1"/>
    <col min="525" max="525" width="10.109375" style="316" bestFit="1" customWidth="1"/>
    <col min="526" max="526" width="12.109375" style="316" customWidth="1"/>
    <col min="527" max="769" width="9.109375" style="316"/>
    <col min="770" max="770" width="24.5546875" style="316" customWidth="1"/>
    <col min="771" max="777" width="9.109375" style="316"/>
    <col min="778" max="778" width="15.44140625" style="316" bestFit="1" customWidth="1"/>
    <col min="779" max="780" width="12.6640625" style="316" bestFit="1" customWidth="1"/>
    <col min="781" max="781" width="10.109375" style="316" bestFit="1" customWidth="1"/>
    <col min="782" max="782" width="12.109375" style="316" customWidth="1"/>
    <col min="783" max="1025" width="9.109375" style="316"/>
    <col min="1026" max="1026" width="24.5546875" style="316" customWidth="1"/>
    <col min="1027" max="1033" width="9.109375" style="316"/>
    <col min="1034" max="1034" width="15.44140625" style="316" bestFit="1" customWidth="1"/>
    <col min="1035" max="1036" width="12.6640625" style="316" bestFit="1" customWidth="1"/>
    <col min="1037" max="1037" width="10.109375" style="316" bestFit="1" customWidth="1"/>
    <col min="1038" max="1038" width="12.109375" style="316" customWidth="1"/>
    <col min="1039" max="1281" width="9.109375" style="316"/>
    <col min="1282" max="1282" width="24.5546875" style="316" customWidth="1"/>
    <col min="1283" max="1289" width="9.109375" style="316"/>
    <col min="1290" max="1290" width="15.44140625" style="316" bestFit="1" customWidth="1"/>
    <col min="1291" max="1292" width="12.6640625" style="316" bestFit="1" customWidth="1"/>
    <col min="1293" max="1293" width="10.109375" style="316" bestFit="1" customWidth="1"/>
    <col min="1294" max="1294" width="12.109375" style="316" customWidth="1"/>
    <col min="1295" max="1537" width="9.109375" style="316"/>
    <col min="1538" max="1538" width="24.5546875" style="316" customWidth="1"/>
    <col min="1539" max="1545" width="9.109375" style="316"/>
    <col min="1546" max="1546" width="15.44140625" style="316" bestFit="1" customWidth="1"/>
    <col min="1547" max="1548" width="12.6640625" style="316" bestFit="1" customWidth="1"/>
    <col min="1549" max="1549" width="10.109375" style="316" bestFit="1" customWidth="1"/>
    <col min="1550" max="1550" width="12.109375" style="316" customWidth="1"/>
    <col min="1551" max="1793" width="9.109375" style="316"/>
    <col min="1794" max="1794" width="24.5546875" style="316" customWidth="1"/>
    <col min="1795" max="1801" width="9.109375" style="316"/>
    <col min="1802" max="1802" width="15.44140625" style="316" bestFit="1" customWidth="1"/>
    <col min="1803" max="1804" width="12.6640625" style="316" bestFit="1" customWidth="1"/>
    <col min="1805" max="1805" width="10.109375" style="316" bestFit="1" customWidth="1"/>
    <col min="1806" max="1806" width="12.109375" style="316" customWidth="1"/>
    <col min="1807" max="2049" width="9.109375" style="316"/>
    <col min="2050" max="2050" width="24.5546875" style="316" customWidth="1"/>
    <col min="2051" max="2057" width="9.109375" style="316"/>
    <col min="2058" max="2058" width="15.44140625" style="316" bestFit="1" customWidth="1"/>
    <col min="2059" max="2060" width="12.6640625" style="316" bestFit="1" customWidth="1"/>
    <col min="2061" max="2061" width="10.109375" style="316" bestFit="1" customWidth="1"/>
    <col min="2062" max="2062" width="12.109375" style="316" customWidth="1"/>
    <col min="2063" max="2305" width="9.109375" style="316"/>
    <col min="2306" max="2306" width="24.5546875" style="316" customWidth="1"/>
    <col min="2307" max="2313" width="9.109375" style="316"/>
    <col min="2314" max="2314" width="15.44140625" style="316" bestFit="1" customWidth="1"/>
    <col min="2315" max="2316" width="12.6640625" style="316" bestFit="1" customWidth="1"/>
    <col min="2317" max="2317" width="10.109375" style="316" bestFit="1" customWidth="1"/>
    <col min="2318" max="2318" width="12.109375" style="316" customWidth="1"/>
    <col min="2319" max="2561" width="9.109375" style="316"/>
    <col min="2562" max="2562" width="24.5546875" style="316" customWidth="1"/>
    <col min="2563" max="2569" width="9.109375" style="316"/>
    <col min="2570" max="2570" width="15.44140625" style="316" bestFit="1" customWidth="1"/>
    <col min="2571" max="2572" width="12.6640625" style="316" bestFit="1" customWidth="1"/>
    <col min="2573" max="2573" width="10.109375" style="316" bestFit="1" customWidth="1"/>
    <col min="2574" max="2574" width="12.109375" style="316" customWidth="1"/>
    <col min="2575" max="2817" width="9.109375" style="316"/>
    <col min="2818" max="2818" width="24.5546875" style="316" customWidth="1"/>
    <col min="2819" max="2825" width="9.109375" style="316"/>
    <col min="2826" max="2826" width="15.44140625" style="316" bestFit="1" customWidth="1"/>
    <col min="2827" max="2828" width="12.6640625" style="316" bestFit="1" customWidth="1"/>
    <col min="2829" max="2829" width="10.109375" style="316" bestFit="1" customWidth="1"/>
    <col min="2830" max="2830" width="12.109375" style="316" customWidth="1"/>
    <col min="2831" max="3073" width="9.109375" style="316"/>
    <col min="3074" max="3074" width="24.5546875" style="316" customWidth="1"/>
    <col min="3075" max="3081" width="9.109375" style="316"/>
    <col min="3082" max="3082" width="15.44140625" style="316" bestFit="1" customWidth="1"/>
    <col min="3083" max="3084" width="12.6640625" style="316" bestFit="1" customWidth="1"/>
    <col min="3085" max="3085" width="10.109375" style="316" bestFit="1" customWidth="1"/>
    <col min="3086" max="3086" width="12.109375" style="316" customWidth="1"/>
    <col min="3087" max="3329" width="9.109375" style="316"/>
    <col min="3330" max="3330" width="24.5546875" style="316" customWidth="1"/>
    <col min="3331" max="3337" width="9.109375" style="316"/>
    <col min="3338" max="3338" width="15.44140625" style="316" bestFit="1" customWidth="1"/>
    <col min="3339" max="3340" width="12.6640625" style="316" bestFit="1" customWidth="1"/>
    <col min="3341" max="3341" width="10.109375" style="316" bestFit="1" customWidth="1"/>
    <col min="3342" max="3342" width="12.109375" style="316" customWidth="1"/>
    <col min="3343" max="3585" width="9.109375" style="316"/>
    <col min="3586" max="3586" width="24.5546875" style="316" customWidth="1"/>
    <col min="3587" max="3593" width="9.109375" style="316"/>
    <col min="3594" max="3594" width="15.44140625" style="316" bestFit="1" customWidth="1"/>
    <col min="3595" max="3596" width="12.6640625" style="316" bestFit="1" customWidth="1"/>
    <col min="3597" max="3597" width="10.109375" style="316" bestFit="1" customWidth="1"/>
    <col min="3598" max="3598" width="12.109375" style="316" customWidth="1"/>
    <col min="3599" max="3841" width="9.109375" style="316"/>
    <col min="3842" max="3842" width="24.5546875" style="316" customWidth="1"/>
    <col min="3843" max="3849" width="9.109375" style="316"/>
    <col min="3850" max="3850" width="15.44140625" style="316" bestFit="1" customWidth="1"/>
    <col min="3851" max="3852" width="12.6640625" style="316" bestFit="1" customWidth="1"/>
    <col min="3853" max="3853" width="10.109375" style="316" bestFit="1" customWidth="1"/>
    <col min="3854" max="3854" width="12.109375" style="316" customWidth="1"/>
    <col min="3855" max="4097" width="9.109375" style="316"/>
    <col min="4098" max="4098" width="24.5546875" style="316" customWidth="1"/>
    <col min="4099" max="4105" width="9.109375" style="316"/>
    <col min="4106" max="4106" width="15.44140625" style="316" bestFit="1" customWidth="1"/>
    <col min="4107" max="4108" width="12.6640625" style="316" bestFit="1" customWidth="1"/>
    <col min="4109" max="4109" width="10.109375" style="316" bestFit="1" customWidth="1"/>
    <col min="4110" max="4110" width="12.109375" style="316" customWidth="1"/>
    <col min="4111" max="4353" width="9.109375" style="316"/>
    <col min="4354" max="4354" width="24.5546875" style="316" customWidth="1"/>
    <col min="4355" max="4361" width="9.109375" style="316"/>
    <col min="4362" max="4362" width="15.44140625" style="316" bestFit="1" customWidth="1"/>
    <col min="4363" max="4364" width="12.6640625" style="316" bestFit="1" customWidth="1"/>
    <col min="4365" max="4365" width="10.109375" style="316" bestFit="1" customWidth="1"/>
    <col min="4366" max="4366" width="12.109375" style="316" customWidth="1"/>
    <col min="4367" max="4609" width="9.109375" style="316"/>
    <col min="4610" max="4610" width="24.5546875" style="316" customWidth="1"/>
    <col min="4611" max="4617" width="9.109375" style="316"/>
    <col min="4618" max="4618" width="15.44140625" style="316" bestFit="1" customWidth="1"/>
    <col min="4619" max="4620" width="12.6640625" style="316" bestFit="1" customWidth="1"/>
    <col min="4621" max="4621" width="10.109375" style="316" bestFit="1" customWidth="1"/>
    <col min="4622" max="4622" width="12.109375" style="316" customWidth="1"/>
    <col min="4623" max="4865" width="9.109375" style="316"/>
    <col min="4866" max="4866" width="24.5546875" style="316" customWidth="1"/>
    <col min="4867" max="4873" width="9.109375" style="316"/>
    <col min="4874" max="4874" width="15.44140625" style="316" bestFit="1" customWidth="1"/>
    <col min="4875" max="4876" width="12.6640625" style="316" bestFit="1" customWidth="1"/>
    <col min="4877" max="4877" width="10.109375" style="316" bestFit="1" customWidth="1"/>
    <col min="4878" max="4878" width="12.109375" style="316" customWidth="1"/>
    <col min="4879" max="5121" width="9.109375" style="316"/>
    <col min="5122" max="5122" width="24.5546875" style="316" customWidth="1"/>
    <col min="5123" max="5129" width="9.109375" style="316"/>
    <col min="5130" max="5130" width="15.44140625" style="316" bestFit="1" customWidth="1"/>
    <col min="5131" max="5132" width="12.6640625" style="316" bestFit="1" customWidth="1"/>
    <col min="5133" max="5133" width="10.109375" style="316" bestFit="1" customWidth="1"/>
    <col min="5134" max="5134" width="12.109375" style="316" customWidth="1"/>
    <col min="5135" max="5377" width="9.109375" style="316"/>
    <col min="5378" max="5378" width="24.5546875" style="316" customWidth="1"/>
    <col min="5379" max="5385" width="9.109375" style="316"/>
    <col min="5386" max="5386" width="15.44140625" style="316" bestFit="1" customWidth="1"/>
    <col min="5387" max="5388" width="12.6640625" style="316" bestFit="1" customWidth="1"/>
    <col min="5389" max="5389" width="10.109375" style="316" bestFit="1" customWidth="1"/>
    <col min="5390" max="5390" width="12.109375" style="316" customWidth="1"/>
    <col min="5391" max="5633" width="9.109375" style="316"/>
    <col min="5634" max="5634" width="24.5546875" style="316" customWidth="1"/>
    <col min="5635" max="5641" width="9.109375" style="316"/>
    <col min="5642" max="5642" width="15.44140625" style="316" bestFit="1" customWidth="1"/>
    <col min="5643" max="5644" width="12.6640625" style="316" bestFit="1" customWidth="1"/>
    <col min="5645" max="5645" width="10.109375" style="316" bestFit="1" customWidth="1"/>
    <col min="5646" max="5646" width="12.109375" style="316" customWidth="1"/>
    <col min="5647" max="5889" width="9.109375" style="316"/>
    <col min="5890" max="5890" width="24.5546875" style="316" customWidth="1"/>
    <col min="5891" max="5897" width="9.109375" style="316"/>
    <col min="5898" max="5898" width="15.44140625" style="316" bestFit="1" customWidth="1"/>
    <col min="5899" max="5900" width="12.6640625" style="316" bestFit="1" customWidth="1"/>
    <col min="5901" max="5901" width="10.109375" style="316" bestFit="1" customWidth="1"/>
    <col min="5902" max="5902" width="12.109375" style="316" customWidth="1"/>
    <col min="5903" max="6145" width="9.109375" style="316"/>
    <col min="6146" max="6146" width="24.5546875" style="316" customWidth="1"/>
    <col min="6147" max="6153" width="9.109375" style="316"/>
    <col min="6154" max="6154" width="15.44140625" style="316" bestFit="1" customWidth="1"/>
    <col min="6155" max="6156" width="12.6640625" style="316" bestFit="1" customWidth="1"/>
    <col min="6157" max="6157" width="10.109375" style="316" bestFit="1" customWidth="1"/>
    <col min="6158" max="6158" width="12.109375" style="316" customWidth="1"/>
    <col min="6159" max="6401" width="9.109375" style="316"/>
    <col min="6402" max="6402" width="24.5546875" style="316" customWidth="1"/>
    <col min="6403" max="6409" width="9.109375" style="316"/>
    <col min="6410" max="6410" width="15.44140625" style="316" bestFit="1" customWidth="1"/>
    <col min="6411" max="6412" width="12.6640625" style="316" bestFit="1" customWidth="1"/>
    <col min="6413" max="6413" width="10.109375" style="316" bestFit="1" customWidth="1"/>
    <col min="6414" max="6414" width="12.109375" style="316" customWidth="1"/>
    <col min="6415" max="6657" width="9.109375" style="316"/>
    <col min="6658" max="6658" width="24.5546875" style="316" customWidth="1"/>
    <col min="6659" max="6665" width="9.109375" style="316"/>
    <col min="6666" max="6666" width="15.44140625" style="316" bestFit="1" customWidth="1"/>
    <col min="6667" max="6668" width="12.6640625" style="316" bestFit="1" customWidth="1"/>
    <col min="6669" max="6669" width="10.109375" style="316" bestFit="1" customWidth="1"/>
    <col min="6670" max="6670" width="12.109375" style="316" customWidth="1"/>
    <col min="6671" max="6913" width="9.109375" style="316"/>
    <col min="6914" max="6914" width="24.5546875" style="316" customWidth="1"/>
    <col min="6915" max="6921" width="9.109375" style="316"/>
    <col min="6922" max="6922" width="15.44140625" style="316" bestFit="1" customWidth="1"/>
    <col min="6923" max="6924" width="12.6640625" style="316" bestFit="1" customWidth="1"/>
    <col min="6925" max="6925" width="10.109375" style="316" bestFit="1" customWidth="1"/>
    <col min="6926" max="6926" width="12.109375" style="316" customWidth="1"/>
    <col min="6927" max="7169" width="9.109375" style="316"/>
    <col min="7170" max="7170" width="24.5546875" style="316" customWidth="1"/>
    <col min="7171" max="7177" width="9.109375" style="316"/>
    <col min="7178" max="7178" width="15.44140625" style="316" bestFit="1" customWidth="1"/>
    <col min="7179" max="7180" width="12.6640625" style="316" bestFit="1" customWidth="1"/>
    <col min="7181" max="7181" width="10.109375" style="316" bestFit="1" customWidth="1"/>
    <col min="7182" max="7182" width="12.109375" style="316" customWidth="1"/>
    <col min="7183" max="7425" width="9.109375" style="316"/>
    <col min="7426" max="7426" width="24.5546875" style="316" customWidth="1"/>
    <col min="7427" max="7433" width="9.109375" style="316"/>
    <col min="7434" max="7434" width="15.44140625" style="316" bestFit="1" customWidth="1"/>
    <col min="7435" max="7436" width="12.6640625" style="316" bestFit="1" customWidth="1"/>
    <col min="7437" max="7437" width="10.109375" style="316" bestFit="1" customWidth="1"/>
    <col min="7438" max="7438" width="12.109375" style="316" customWidth="1"/>
    <col min="7439" max="7681" width="9.109375" style="316"/>
    <col min="7682" max="7682" width="24.5546875" style="316" customWidth="1"/>
    <col min="7683" max="7689" width="9.109375" style="316"/>
    <col min="7690" max="7690" width="15.44140625" style="316" bestFit="1" customWidth="1"/>
    <col min="7691" max="7692" width="12.6640625" style="316" bestFit="1" customWidth="1"/>
    <col min="7693" max="7693" width="10.109375" style="316" bestFit="1" customWidth="1"/>
    <col min="7694" max="7694" width="12.109375" style="316" customWidth="1"/>
    <col min="7695" max="7937" width="9.109375" style="316"/>
    <col min="7938" max="7938" width="24.5546875" style="316" customWidth="1"/>
    <col min="7939" max="7945" width="9.109375" style="316"/>
    <col min="7946" max="7946" width="15.44140625" style="316" bestFit="1" customWidth="1"/>
    <col min="7947" max="7948" width="12.6640625" style="316" bestFit="1" customWidth="1"/>
    <col min="7949" max="7949" width="10.109375" style="316" bestFit="1" customWidth="1"/>
    <col min="7950" max="7950" width="12.109375" style="316" customWidth="1"/>
    <col min="7951" max="8193" width="9.109375" style="316"/>
    <col min="8194" max="8194" width="24.5546875" style="316" customWidth="1"/>
    <col min="8195" max="8201" width="9.109375" style="316"/>
    <col min="8202" max="8202" width="15.44140625" style="316" bestFit="1" customWidth="1"/>
    <col min="8203" max="8204" width="12.6640625" style="316" bestFit="1" customWidth="1"/>
    <col min="8205" max="8205" width="10.109375" style="316" bestFit="1" customWidth="1"/>
    <col min="8206" max="8206" width="12.109375" style="316" customWidth="1"/>
    <col min="8207" max="8449" width="9.109375" style="316"/>
    <col min="8450" max="8450" width="24.5546875" style="316" customWidth="1"/>
    <col min="8451" max="8457" width="9.109375" style="316"/>
    <col min="8458" max="8458" width="15.44140625" style="316" bestFit="1" customWidth="1"/>
    <col min="8459" max="8460" width="12.6640625" style="316" bestFit="1" customWidth="1"/>
    <col min="8461" max="8461" width="10.109375" style="316" bestFit="1" customWidth="1"/>
    <col min="8462" max="8462" width="12.109375" style="316" customWidth="1"/>
    <col min="8463" max="8705" width="9.109375" style="316"/>
    <col min="8706" max="8706" width="24.5546875" style="316" customWidth="1"/>
    <col min="8707" max="8713" width="9.109375" style="316"/>
    <col min="8714" max="8714" width="15.44140625" style="316" bestFit="1" customWidth="1"/>
    <col min="8715" max="8716" width="12.6640625" style="316" bestFit="1" customWidth="1"/>
    <col min="8717" max="8717" width="10.109375" style="316" bestFit="1" customWidth="1"/>
    <col min="8718" max="8718" width="12.109375" style="316" customWidth="1"/>
    <col min="8719" max="8961" width="9.109375" style="316"/>
    <col min="8962" max="8962" width="24.5546875" style="316" customWidth="1"/>
    <col min="8963" max="8969" width="9.109375" style="316"/>
    <col min="8970" max="8970" width="15.44140625" style="316" bestFit="1" customWidth="1"/>
    <col min="8971" max="8972" width="12.6640625" style="316" bestFit="1" customWidth="1"/>
    <col min="8973" max="8973" width="10.109375" style="316" bestFit="1" customWidth="1"/>
    <col min="8974" max="8974" width="12.109375" style="316" customWidth="1"/>
    <col min="8975" max="9217" width="9.109375" style="316"/>
    <col min="9218" max="9218" width="24.5546875" style="316" customWidth="1"/>
    <col min="9219" max="9225" width="9.109375" style="316"/>
    <col min="9226" max="9226" width="15.44140625" style="316" bestFit="1" customWidth="1"/>
    <col min="9227" max="9228" width="12.6640625" style="316" bestFit="1" customWidth="1"/>
    <col min="9229" max="9229" width="10.109375" style="316" bestFit="1" customWidth="1"/>
    <col min="9230" max="9230" width="12.109375" style="316" customWidth="1"/>
    <col min="9231" max="9473" width="9.109375" style="316"/>
    <col min="9474" max="9474" width="24.5546875" style="316" customWidth="1"/>
    <col min="9475" max="9481" width="9.109375" style="316"/>
    <col min="9482" max="9482" width="15.44140625" style="316" bestFit="1" customWidth="1"/>
    <col min="9483" max="9484" width="12.6640625" style="316" bestFit="1" customWidth="1"/>
    <col min="9485" max="9485" width="10.109375" style="316" bestFit="1" customWidth="1"/>
    <col min="9486" max="9486" width="12.109375" style="316" customWidth="1"/>
    <col min="9487" max="9729" width="9.109375" style="316"/>
    <col min="9730" max="9730" width="24.5546875" style="316" customWidth="1"/>
    <col min="9731" max="9737" width="9.109375" style="316"/>
    <col min="9738" max="9738" width="15.44140625" style="316" bestFit="1" customWidth="1"/>
    <col min="9739" max="9740" width="12.6640625" style="316" bestFit="1" customWidth="1"/>
    <col min="9741" max="9741" width="10.109375" style="316" bestFit="1" customWidth="1"/>
    <col min="9742" max="9742" width="12.109375" style="316" customWidth="1"/>
    <col min="9743" max="9985" width="9.109375" style="316"/>
    <col min="9986" max="9986" width="24.5546875" style="316" customWidth="1"/>
    <col min="9987" max="9993" width="9.109375" style="316"/>
    <col min="9994" max="9994" width="15.44140625" style="316" bestFit="1" customWidth="1"/>
    <col min="9995" max="9996" width="12.6640625" style="316" bestFit="1" customWidth="1"/>
    <col min="9997" max="9997" width="10.109375" style="316" bestFit="1" customWidth="1"/>
    <col min="9998" max="9998" width="12.109375" style="316" customWidth="1"/>
    <col min="9999" max="10241" width="9.109375" style="316"/>
    <col min="10242" max="10242" width="24.5546875" style="316" customWidth="1"/>
    <col min="10243" max="10249" width="9.109375" style="316"/>
    <col min="10250" max="10250" width="15.44140625" style="316" bestFit="1" customWidth="1"/>
    <col min="10251" max="10252" width="12.6640625" style="316" bestFit="1" customWidth="1"/>
    <col min="10253" max="10253" width="10.109375" style="316" bestFit="1" customWidth="1"/>
    <col min="10254" max="10254" width="12.109375" style="316" customWidth="1"/>
    <col min="10255" max="10497" width="9.109375" style="316"/>
    <col min="10498" max="10498" width="24.5546875" style="316" customWidth="1"/>
    <col min="10499" max="10505" width="9.109375" style="316"/>
    <col min="10506" max="10506" width="15.44140625" style="316" bestFit="1" customWidth="1"/>
    <col min="10507" max="10508" width="12.6640625" style="316" bestFit="1" customWidth="1"/>
    <col min="10509" max="10509" width="10.109375" style="316" bestFit="1" customWidth="1"/>
    <col min="10510" max="10510" width="12.109375" style="316" customWidth="1"/>
    <col min="10511" max="10753" width="9.109375" style="316"/>
    <col min="10754" max="10754" width="24.5546875" style="316" customWidth="1"/>
    <col min="10755" max="10761" width="9.109375" style="316"/>
    <col min="10762" max="10762" width="15.44140625" style="316" bestFit="1" customWidth="1"/>
    <col min="10763" max="10764" width="12.6640625" style="316" bestFit="1" customWidth="1"/>
    <col min="10765" max="10765" width="10.109375" style="316" bestFit="1" customWidth="1"/>
    <col min="10766" max="10766" width="12.109375" style="316" customWidth="1"/>
    <col min="10767" max="11009" width="9.109375" style="316"/>
    <col min="11010" max="11010" width="24.5546875" style="316" customWidth="1"/>
    <col min="11011" max="11017" width="9.109375" style="316"/>
    <col min="11018" max="11018" width="15.44140625" style="316" bestFit="1" customWidth="1"/>
    <col min="11019" max="11020" width="12.6640625" style="316" bestFit="1" customWidth="1"/>
    <col min="11021" max="11021" width="10.109375" style="316" bestFit="1" customWidth="1"/>
    <col min="11022" max="11022" width="12.109375" style="316" customWidth="1"/>
    <col min="11023" max="11265" width="9.109375" style="316"/>
    <col min="11266" max="11266" width="24.5546875" style="316" customWidth="1"/>
    <col min="11267" max="11273" width="9.109375" style="316"/>
    <col min="11274" max="11274" width="15.44140625" style="316" bestFit="1" customWidth="1"/>
    <col min="11275" max="11276" width="12.6640625" style="316" bestFit="1" customWidth="1"/>
    <col min="11277" max="11277" width="10.109375" style="316" bestFit="1" customWidth="1"/>
    <col min="11278" max="11278" width="12.109375" style="316" customWidth="1"/>
    <col min="11279" max="11521" width="9.109375" style="316"/>
    <col min="11522" max="11522" width="24.5546875" style="316" customWidth="1"/>
    <col min="11523" max="11529" width="9.109375" style="316"/>
    <col min="11530" max="11530" width="15.44140625" style="316" bestFit="1" customWidth="1"/>
    <col min="11531" max="11532" width="12.6640625" style="316" bestFit="1" customWidth="1"/>
    <col min="11533" max="11533" width="10.109375" style="316" bestFit="1" customWidth="1"/>
    <col min="11534" max="11534" width="12.109375" style="316" customWidth="1"/>
    <col min="11535" max="11777" width="9.109375" style="316"/>
    <col min="11778" max="11778" width="24.5546875" style="316" customWidth="1"/>
    <col min="11779" max="11785" width="9.109375" style="316"/>
    <col min="11786" max="11786" width="15.44140625" style="316" bestFit="1" customWidth="1"/>
    <col min="11787" max="11788" width="12.6640625" style="316" bestFit="1" customWidth="1"/>
    <col min="11789" max="11789" width="10.109375" style="316" bestFit="1" customWidth="1"/>
    <col min="11790" max="11790" width="12.109375" style="316" customWidth="1"/>
    <col min="11791" max="12033" width="9.109375" style="316"/>
    <col min="12034" max="12034" width="24.5546875" style="316" customWidth="1"/>
    <col min="12035" max="12041" width="9.109375" style="316"/>
    <col min="12042" max="12042" width="15.44140625" style="316" bestFit="1" customWidth="1"/>
    <col min="12043" max="12044" width="12.6640625" style="316" bestFit="1" customWidth="1"/>
    <col min="12045" max="12045" width="10.109375" style="316" bestFit="1" customWidth="1"/>
    <col min="12046" max="12046" width="12.109375" style="316" customWidth="1"/>
    <col min="12047" max="12289" width="9.109375" style="316"/>
    <col min="12290" max="12290" width="24.5546875" style="316" customWidth="1"/>
    <col min="12291" max="12297" width="9.109375" style="316"/>
    <col min="12298" max="12298" width="15.44140625" style="316" bestFit="1" customWidth="1"/>
    <col min="12299" max="12300" width="12.6640625" style="316" bestFit="1" customWidth="1"/>
    <col min="12301" max="12301" width="10.109375" style="316" bestFit="1" customWidth="1"/>
    <col min="12302" max="12302" width="12.109375" style="316" customWidth="1"/>
    <col min="12303" max="12545" width="9.109375" style="316"/>
    <col min="12546" max="12546" width="24.5546875" style="316" customWidth="1"/>
    <col min="12547" max="12553" width="9.109375" style="316"/>
    <col min="12554" max="12554" width="15.44140625" style="316" bestFit="1" customWidth="1"/>
    <col min="12555" max="12556" width="12.6640625" style="316" bestFit="1" customWidth="1"/>
    <col min="12557" max="12557" width="10.109375" style="316" bestFit="1" customWidth="1"/>
    <col min="12558" max="12558" width="12.109375" style="316" customWidth="1"/>
    <col min="12559" max="12801" width="9.109375" style="316"/>
    <col min="12802" max="12802" width="24.5546875" style="316" customWidth="1"/>
    <col min="12803" max="12809" width="9.109375" style="316"/>
    <col min="12810" max="12810" width="15.44140625" style="316" bestFit="1" customWidth="1"/>
    <col min="12811" max="12812" width="12.6640625" style="316" bestFit="1" customWidth="1"/>
    <col min="12813" max="12813" width="10.109375" style="316" bestFit="1" customWidth="1"/>
    <col min="12814" max="12814" width="12.109375" style="316" customWidth="1"/>
    <col min="12815" max="13057" width="9.109375" style="316"/>
    <col min="13058" max="13058" width="24.5546875" style="316" customWidth="1"/>
    <col min="13059" max="13065" width="9.109375" style="316"/>
    <col min="13066" max="13066" width="15.44140625" style="316" bestFit="1" customWidth="1"/>
    <col min="13067" max="13068" width="12.6640625" style="316" bestFit="1" customWidth="1"/>
    <col min="13069" max="13069" width="10.109375" style="316" bestFit="1" customWidth="1"/>
    <col min="13070" max="13070" width="12.109375" style="316" customWidth="1"/>
    <col min="13071" max="13313" width="9.109375" style="316"/>
    <col min="13314" max="13314" width="24.5546875" style="316" customWidth="1"/>
    <col min="13315" max="13321" width="9.109375" style="316"/>
    <col min="13322" max="13322" width="15.44140625" style="316" bestFit="1" customWidth="1"/>
    <col min="13323" max="13324" width="12.6640625" style="316" bestFit="1" customWidth="1"/>
    <col min="13325" max="13325" width="10.109375" style="316" bestFit="1" customWidth="1"/>
    <col min="13326" max="13326" width="12.109375" style="316" customWidth="1"/>
    <col min="13327" max="13569" width="9.109375" style="316"/>
    <col min="13570" max="13570" width="24.5546875" style="316" customWidth="1"/>
    <col min="13571" max="13577" width="9.109375" style="316"/>
    <col min="13578" max="13578" width="15.44140625" style="316" bestFit="1" customWidth="1"/>
    <col min="13579" max="13580" width="12.6640625" style="316" bestFit="1" customWidth="1"/>
    <col min="13581" max="13581" width="10.109375" style="316" bestFit="1" customWidth="1"/>
    <col min="13582" max="13582" width="12.109375" style="316" customWidth="1"/>
    <col min="13583" max="13825" width="9.109375" style="316"/>
    <col min="13826" max="13826" width="24.5546875" style="316" customWidth="1"/>
    <col min="13827" max="13833" width="9.109375" style="316"/>
    <col min="13834" max="13834" width="15.44140625" style="316" bestFit="1" customWidth="1"/>
    <col min="13835" max="13836" width="12.6640625" style="316" bestFit="1" customWidth="1"/>
    <col min="13837" max="13837" width="10.109375" style="316" bestFit="1" customWidth="1"/>
    <col min="13838" max="13838" width="12.109375" style="316" customWidth="1"/>
    <col min="13839" max="14081" width="9.109375" style="316"/>
    <col min="14082" max="14082" width="24.5546875" style="316" customWidth="1"/>
    <col min="14083" max="14089" width="9.109375" style="316"/>
    <col min="14090" max="14090" width="15.44140625" style="316" bestFit="1" customWidth="1"/>
    <col min="14091" max="14092" width="12.6640625" style="316" bestFit="1" customWidth="1"/>
    <col min="14093" max="14093" width="10.109375" style="316" bestFit="1" customWidth="1"/>
    <col min="14094" max="14094" width="12.109375" style="316" customWidth="1"/>
    <col min="14095" max="14337" width="9.109375" style="316"/>
    <col min="14338" max="14338" width="24.5546875" style="316" customWidth="1"/>
    <col min="14339" max="14345" width="9.109375" style="316"/>
    <col min="14346" max="14346" width="15.44140625" style="316" bestFit="1" customWidth="1"/>
    <col min="14347" max="14348" width="12.6640625" style="316" bestFit="1" customWidth="1"/>
    <col min="14349" max="14349" width="10.109375" style="316" bestFit="1" customWidth="1"/>
    <col min="14350" max="14350" width="12.109375" style="316" customWidth="1"/>
    <col min="14351" max="14593" width="9.109375" style="316"/>
    <col min="14594" max="14594" width="24.5546875" style="316" customWidth="1"/>
    <col min="14595" max="14601" width="9.109375" style="316"/>
    <col min="14602" max="14602" width="15.44140625" style="316" bestFit="1" customWidth="1"/>
    <col min="14603" max="14604" width="12.6640625" style="316" bestFit="1" customWidth="1"/>
    <col min="14605" max="14605" width="10.109375" style="316" bestFit="1" customWidth="1"/>
    <col min="14606" max="14606" width="12.109375" style="316" customWidth="1"/>
    <col min="14607" max="14849" width="9.109375" style="316"/>
    <col min="14850" max="14850" width="24.5546875" style="316" customWidth="1"/>
    <col min="14851" max="14857" width="9.109375" style="316"/>
    <col min="14858" max="14858" width="15.44140625" style="316" bestFit="1" customWidth="1"/>
    <col min="14859" max="14860" width="12.6640625" style="316" bestFit="1" customWidth="1"/>
    <col min="14861" max="14861" width="10.109375" style="316" bestFit="1" customWidth="1"/>
    <col min="14862" max="14862" width="12.109375" style="316" customWidth="1"/>
    <col min="14863" max="15105" width="9.109375" style="316"/>
    <col min="15106" max="15106" width="24.5546875" style="316" customWidth="1"/>
    <col min="15107" max="15113" width="9.109375" style="316"/>
    <col min="15114" max="15114" width="15.44140625" style="316" bestFit="1" customWidth="1"/>
    <col min="15115" max="15116" width="12.6640625" style="316" bestFit="1" customWidth="1"/>
    <col min="15117" max="15117" width="10.109375" style="316" bestFit="1" customWidth="1"/>
    <col min="15118" max="15118" width="12.109375" style="316" customWidth="1"/>
    <col min="15119" max="15361" width="9.109375" style="316"/>
    <col min="15362" max="15362" width="24.5546875" style="316" customWidth="1"/>
    <col min="15363" max="15369" width="9.109375" style="316"/>
    <col min="15370" max="15370" width="15.44140625" style="316" bestFit="1" customWidth="1"/>
    <col min="15371" max="15372" width="12.6640625" style="316" bestFit="1" customWidth="1"/>
    <col min="15373" max="15373" width="10.109375" style="316" bestFit="1" customWidth="1"/>
    <col min="15374" max="15374" width="12.109375" style="316" customWidth="1"/>
    <col min="15375" max="15617" width="9.109375" style="316"/>
    <col min="15618" max="15618" width="24.5546875" style="316" customWidth="1"/>
    <col min="15619" max="15625" width="9.109375" style="316"/>
    <col min="15626" max="15626" width="15.44140625" style="316" bestFit="1" customWidth="1"/>
    <col min="15627" max="15628" width="12.6640625" style="316" bestFit="1" customWidth="1"/>
    <col min="15629" max="15629" width="10.109375" style="316" bestFit="1" customWidth="1"/>
    <col min="15630" max="15630" width="12.109375" style="316" customWidth="1"/>
    <col min="15631" max="15873" width="9.109375" style="316"/>
    <col min="15874" max="15874" width="24.5546875" style="316" customWidth="1"/>
    <col min="15875" max="15881" width="9.109375" style="316"/>
    <col min="15882" max="15882" width="15.44140625" style="316" bestFit="1" customWidth="1"/>
    <col min="15883" max="15884" width="12.6640625" style="316" bestFit="1" customWidth="1"/>
    <col min="15885" max="15885" width="10.109375" style="316" bestFit="1" customWidth="1"/>
    <col min="15886" max="15886" width="12.109375" style="316" customWidth="1"/>
    <col min="15887" max="16129" width="9.109375" style="316"/>
    <col min="16130" max="16130" width="24.5546875" style="316" customWidth="1"/>
    <col min="16131" max="16137" width="9.109375" style="316"/>
    <col min="16138" max="16138" width="15.44140625" style="316" bestFit="1" customWidth="1"/>
    <col min="16139" max="16140" width="12.6640625" style="316" bestFit="1" customWidth="1"/>
    <col min="16141" max="16141" width="10.109375" style="316" bestFit="1" customWidth="1"/>
    <col min="16142" max="16142" width="12.109375" style="316" customWidth="1"/>
    <col min="16143" max="16384" width="9.109375" style="316"/>
  </cols>
  <sheetData>
    <row r="1" spans="1:14">
      <c r="A1" s="1310" t="s">
        <v>434</v>
      </c>
      <c r="B1" s="1311"/>
      <c r="C1" s="1311"/>
      <c r="D1" s="1311"/>
      <c r="E1" s="1311"/>
      <c r="F1" s="1311"/>
      <c r="G1" s="1311"/>
      <c r="H1" s="1312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Cover'!A18</f>
        <v>1500</v>
      </c>
    </row>
    <row r="2" spans="1:14">
      <c r="A2" s="1300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389</v>
      </c>
      <c r="B3" s="406" t="str">
        <f>'F1 Forecast Serivce Provider'!C3</f>
        <v>WESTERN</v>
      </c>
      <c r="H3" s="233"/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04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1.5" customHeight="1">
      <c r="A7" s="317">
        <f>'Pricing Schedule'!A27</f>
        <v>1500</v>
      </c>
      <c r="B7" s="318" t="str">
        <f>'Pricing Schedule'!B27</f>
        <v>REIMBURSABLE COSTS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Schedule'!A28</f>
        <v>15.01</v>
      </c>
      <c r="B8" s="322" t="str">
        <f>'Pricing Schedule'!B28</f>
        <v>Formal charges</v>
      </c>
      <c r="C8" s="401" t="str">
        <f>'Pricing Schedule'!C28</f>
        <v>PC Sum</v>
      </c>
      <c r="D8" s="335">
        <v>1</v>
      </c>
      <c r="E8" s="389">
        <v>1</v>
      </c>
      <c r="F8" s="490">
        <f>DATA!$AD$52</f>
        <v>0</v>
      </c>
      <c r="G8" s="634">
        <f>'Pg 4 P Sums'!K41-F8</f>
        <v>0</v>
      </c>
      <c r="H8" s="324">
        <f>F8+G8</f>
        <v>0</v>
      </c>
      <c r="I8" s="335">
        <f>'Pricing Schedule'!F28</f>
        <v>25000</v>
      </c>
      <c r="J8" s="323">
        <f>D8*I8</f>
        <v>25000</v>
      </c>
      <c r="K8" s="323">
        <f>E8*I8</f>
        <v>25000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>
      <c r="A9" s="400" t="str">
        <f>'Pricing Schedule'!A29</f>
        <v>15.01(a)</v>
      </c>
      <c r="B9" s="322" t="str">
        <f>'Pricing Schedule'!B29</f>
        <v>Mark up on formal charges - Item 15.01</v>
      </c>
      <c r="C9" s="401" t="str">
        <f>'Pricing Schedule'!C29</f>
        <v>Percent</v>
      </c>
      <c r="D9" s="335">
        <f>'Pricing Schedule'!D29</f>
        <v>25000</v>
      </c>
      <c r="E9" s="635">
        <v>20000</v>
      </c>
      <c r="F9" s="323">
        <f t="shared" ref="F9:G9" si="0">L8</f>
        <v>0</v>
      </c>
      <c r="G9" s="323">
        <f t="shared" si="0"/>
        <v>0</v>
      </c>
      <c r="H9" s="324">
        <f>F9+G9</f>
        <v>0</v>
      </c>
      <c r="I9" s="405">
        <f>'Pricing Schedule'!E29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>
      <c r="A10" s="400">
        <f>'Pricing Schedule'!A30</f>
        <v>15.02</v>
      </c>
      <c r="B10" s="322" t="str">
        <f>'Pricing Schedule'!B30</f>
        <v>Other costs approved by the Employer</v>
      </c>
      <c r="C10" s="401" t="str">
        <f>'Pricing Schedule'!C30</f>
        <v>PC Sum</v>
      </c>
      <c r="D10" s="335">
        <v>1</v>
      </c>
      <c r="E10" s="389">
        <v>1</v>
      </c>
      <c r="F10" s="490">
        <f>DATA!$AE$52</f>
        <v>0</v>
      </c>
      <c r="G10" s="634">
        <f>'Pg 4 P Sums'!K49-F10</f>
        <v>0</v>
      </c>
      <c r="H10" s="324">
        <f>F10+G10</f>
        <v>0</v>
      </c>
      <c r="I10" s="335">
        <f>'Pricing Schedule'!F30</f>
        <v>50000</v>
      </c>
      <c r="J10" s="323">
        <f>D10*I10</f>
        <v>50000</v>
      </c>
      <c r="K10" s="323">
        <f>E10*I10</f>
        <v>50000</v>
      </c>
      <c r="L10" s="323">
        <f>F10*I10</f>
        <v>0</v>
      </c>
      <c r="M10" s="323">
        <f>G10*I10</f>
        <v>0</v>
      </c>
      <c r="N10" s="324">
        <f>H10*I10</f>
        <v>0</v>
      </c>
    </row>
    <row r="11" spans="1:14" ht="31.5" customHeight="1" thickBot="1">
      <c r="A11" s="400" t="str">
        <f>'Pricing Schedule'!A31</f>
        <v>15.02(a)</v>
      </c>
      <c r="B11" s="322" t="str">
        <f>'Pricing Schedule'!B31</f>
        <v>Mark up on other costs approved by Employer - Item 15.02</v>
      </c>
      <c r="C11" s="401" t="str">
        <f>'Pricing Schedule'!C31</f>
        <v>Percent</v>
      </c>
      <c r="D11" s="335">
        <f>'Pricing Schedule'!D31</f>
        <v>50000</v>
      </c>
      <c r="E11" s="635">
        <v>20000</v>
      </c>
      <c r="F11" s="323">
        <f t="shared" ref="F11" si="1">L10</f>
        <v>0</v>
      </c>
      <c r="G11" s="323">
        <v>0</v>
      </c>
      <c r="H11" s="324">
        <f>F11+G11</f>
        <v>0</v>
      </c>
      <c r="I11" s="405">
        <f>'Pricing Schedule'!E31</f>
        <v>0</v>
      </c>
      <c r="J11" s="323">
        <f>D11*I11</f>
        <v>0</v>
      </c>
      <c r="K11" s="323">
        <f>E11*I11</f>
        <v>0</v>
      </c>
      <c r="L11" s="323">
        <f>F11*I11</f>
        <v>0</v>
      </c>
      <c r="M11" s="761">
        <f>G11*K11</f>
        <v>0</v>
      </c>
      <c r="N11" s="324">
        <f>M11</f>
        <v>0</v>
      </c>
    </row>
    <row r="12" spans="1:14" ht="31.5" customHeight="1" thickBot="1">
      <c r="A12" s="1270" t="s">
        <v>283</v>
      </c>
      <c r="B12" s="1270"/>
      <c r="C12" s="1270"/>
      <c r="D12" s="383"/>
      <c r="E12" s="384"/>
      <c r="F12" s="384"/>
      <c r="G12" s="384"/>
      <c r="H12" s="385"/>
      <c r="I12" s="383"/>
      <c r="J12" s="387">
        <f>SUM(J8:J11)</f>
        <v>75000</v>
      </c>
      <c r="K12" s="387">
        <f>SUM(K8:K11)</f>
        <v>75000</v>
      </c>
      <c r="L12" s="387">
        <f>SUM(L8:L11)</f>
        <v>0</v>
      </c>
      <c r="M12" s="387">
        <f>SUM(M8:M11)</f>
        <v>0</v>
      </c>
      <c r="N12" s="388">
        <f>SUM(N8:N11)</f>
        <v>0</v>
      </c>
    </row>
    <row r="15" spans="1:14" ht="30.9" customHeight="1">
      <c r="A15" s="456" t="s">
        <v>329</v>
      </c>
      <c r="B15" s="456"/>
      <c r="J15" s="404">
        <v>0</v>
      </c>
      <c r="K15" s="404">
        <v>0</v>
      </c>
      <c r="L15" s="404">
        <v>0</v>
      </c>
      <c r="M15" s="404">
        <v>0</v>
      </c>
      <c r="N15" s="404">
        <v>0</v>
      </c>
    </row>
    <row r="16" spans="1:14" ht="30.9" customHeight="1">
      <c r="A16" s="316" t="s">
        <v>331</v>
      </c>
      <c r="J16" s="404">
        <f>J8+J9+J10+J11</f>
        <v>75000</v>
      </c>
      <c r="K16" s="404">
        <f t="shared" ref="K16:N16" si="2">K8+K9+K10+K11</f>
        <v>75000</v>
      </c>
      <c r="L16" s="404">
        <f t="shared" si="2"/>
        <v>0</v>
      </c>
      <c r="M16" s="404">
        <f t="shared" si="2"/>
        <v>0</v>
      </c>
      <c r="N16" s="404">
        <f t="shared" si="2"/>
        <v>0</v>
      </c>
    </row>
    <row r="17" spans="1:14" ht="30.9" customHeight="1" thickBot="1">
      <c r="A17" s="316" t="s">
        <v>330</v>
      </c>
      <c r="J17" s="455">
        <f>SUM(J15:J16)</f>
        <v>75000</v>
      </c>
      <c r="K17" s="455">
        <f t="shared" ref="K17:N17" si="3">SUM(K15:K16)</f>
        <v>75000</v>
      </c>
      <c r="L17" s="455">
        <f t="shared" si="3"/>
        <v>0</v>
      </c>
      <c r="M17" s="455">
        <f t="shared" si="3"/>
        <v>0</v>
      </c>
      <c r="N17" s="455">
        <f t="shared" si="3"/>
        <v>0</v>
      </c>
    </row>
    <row r="18" spans="1:14" ht="13.8" thickTop="1"/>
  </sheetData>
  <mergeCells count="10">
    <mergeCell ref="A4:H4"/>
    <mergeCell ref="I4:J4"/>
    <mergeCell ref="K4:N4"/>
    <mergeCell ref="A12:C12"/>
    <mergeCell ref="A1:H1"/>
    <mergeCell ref="I1:M2"/>
    <mergeCell ref="N1:N2"/>
    <mergeCell ref="A2:H2"/>
    <mergeCell ref="I3:J3"/>
    <mergeCell ref="K3:N3"/>
  </mergeCells>
  <conditionalFormatting sqref="H11">
    <cfRule type="containsText" dxfId="34" priority="1" operator="containsText" text="ERROR">
      <formula>NOT(ISERROR(SEARCH("ERROR",H11)))</formula>
    </cfRule>
  </conditionalFormatting>
  <conditionalFormatting sqref="H8">
    <cfRule type="expression" dxfId="33" priority="4">
      <formula>H8&gt;E8</formula>
    </cfRule>
  </conditionalFormatting>
  <conditionalFormatting sqref="H9">
    <cfRule type="containsText" dxfId="32" priority="3" operator="containsText" text="ERROR">
      <formula>NOT(ISERROR(SEARCH("ERROR",H9)))</formula>
    </cfRule>
  </conditionalFormatting>
  <conditionalFormatting sqref="H10">
    <cfRule type="expression" dxfId="31" priority="2">
      <formula>H10&gt;E10</formula>
    </cfRule>
  </conditionalFormatting>
  <dataValidations count="1">
    <dataValidation type="decimal" operator="lessThanOrEqual" allowBlank="1" showInputMessage="1" showErrorMessage="1" sqref="H9 H11" xr:uid="{00000000-0002-0000-1200-000000000000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40">
    <tabColor rgb="FF0070C0"/>
    <pageSetUpPr fitToPage="1"/>
  </sheetPr>
  <dimension ref="A1:Q39"/>
  <sheetViews>
    <sheetView zoomScale="96" zoomScaleNormal="96" workbookViewId="0">
      <selection activeCell="M43" sqref="M43"/>
    </sheetView>
  </sheetViews>
  <sheetFormatPr defaultRowHeight="13.2"/>
  <cols>
    <col min="1" max="1" width="9.109375" style="316"/>
    <col min="2" max="2" width="36.44140625" style="316" bestFit="1" customWidth="1"/>
    <col min="3" max="3" width="10" style="316" bestFit="1" customWidth="1"/>
    <col min="4" max="6" width="9.5546875" style="316" bestFit="1" customWidth="1"/>
    <col min="7" max="7" width="11.44140625" style="316" bestFit="1" customWidth="1"/>
    <col min="8" max="8" width="9.5546875" style="316" bestFit="1" customWidth="1"/>
    <col min="9" max="10" width="13.33203125" style="316" bestFit="1" customWidth="1"/>
    <col min="11" max="11" width="16.44140625" style="316" customWidth="1"/>
    <col min="12" max="12" width="12.44140625" style="316" customWidth="1"/>
    <col min="13" max="13" width="11.6640625" style="316" customWidth="1"/>
    <col min="14" max="14" width="12.109375" style="316" bestFit="1" customWidth="1"/>
    <col min="15" max="257" width="9.109375" style="316"/>
    <col min="258" max="258" width="25.88671875" style="316" customWidth="1"/>
    <col min="259" max="259" width="13.88671875" style="316" customWidth="1"/>
    <col min="260" max="265" width="9.109375" style="316"/>
    <col min="266" max="266" width="13.88671875" style="316" bestFit="1" customWidth="1"/>
    <col min="267" max="268" width="11.6640625" style="316" bestFit="1" customWidth="1"/>
    <col min="269" max="269" width="11.5546875" style="316" customWidth="1"/>
    <col min="270" max="270" width="16.5546875" style="316" customWidth="1"/>
    <col min="271" max="513" width="9.109375" style="316"/>
    <col min="514" max="514" width="25.88671875" style="316" customWidth="1"/>
    <col min="515" max="515" width="13.88671875" style="316" customWidth="1"/>
    <col min="516" max="521" width="9.109375" style="316"/>
    <col min="522" max="522" width="13.88671875" style="316" bestFit="1" customWidth="1"/>
    <col min="523" max="524" width="11.6640625" style="316" bestFit="1" customWidth="1"/>
    <col min="525" max="525" width="11.5546875" style="316" customWidth="1"/>
    <col min="526" max="526" width="16.5546875" style="316" customWidth="1"/>
    <col min="527" max="769" width="9.109375" style="316"/>
    <col min="770" max="770" width="25.88671875" style="316" customWidth="1"/>
    <col min="771" max="771" width="13.88671875" style="316" customWidth="1"/>
    <col min="772" max="777" width="9.109375" style="316"/>
    <col min="778" max="778" width="13.88671875" style="316" bestFit="1" customWidth="1"/>
    <col min="779" max="780" width="11.6640625" style="316" bestFit="1" customWidth="1"/>
    <col min="781" max="781" width="11.5546875" style="316" customWidth="1"/>
    <col min="782" max="782" width="16.5546875" style="316" customWidth="1"/>
    <col min="783" max="1025" width="9.109375" style="316"/>
    <col min="1026" max="1026" width="25.88671875" style="316" customWidth="1"/>
    <col min="1027" max="1027" width="13.88671875" style="316" customWidth="1"/>
    <col min="1028" max="1033" width="9.109375" style="316"/>
    <col min="1034" max="1034" width="13.88671875" style="316" bestFit="1" customWidth="1"/>
    <col min="1035" max="1036" width="11.6640625" style="316" bestFit="1" customWidth="1"/>
    <col min="1037" max="1037" width="11.5546875" style="316" customWidth="1"/>
    <col min="1038" max="1038" width="16.5546875" style="316" customWidth="1"/>
    <col min="1039" max="1281" width="9.109375" style="316"/>
    <col min="1282" max="1282" width="25.88671875" style="316" customWidth="1"/>
    <col min="1283" max="1283" width="13.88671875" style="316" customWidth="1"/>
    <col min="1284" max="1289" width="9.109375" style="316"/>
    <col min="1290" max="1290" width="13.88671875" style="316" bestFit="1" customWidth="1"/>
    <col min="1291" max="1292" width="11.6640625" style="316" bestFit="1" customWidth="1"/>
    <col min="1293" max="1293" width="11.5546875" style="316" customWidth="1"/>
    <col min="1294" max="1294" width="16.5546875" style="316" customWidth="1"/>
    <col min="1295" max="1537" width="9.109375" style="316"/>
    <col min="1538" max="1538" width="25.88671875" style="316" customWidth="1"/>
    <col min="1539" max="1539" width="13.88671875" style="316" customWidth="1"/>
    <col min="1540" max="1545" width="9.109375" style="316"/>
    <col min="1546" max="1546" width="13.88671875" style="316" bestFit="1" customWidth="1"/>
    <col min="1547" max="1548" width="11.6640625" style="316" bestFit="1" customWidth="1"/>
    <col min="1549" max="1549" width="11.5546875" style="316" customWidth="1"/>
    <col min="1550" max="1550" width="16.5546875" style="316" customWidth="1"/>
    <col min="1551" max="1793" width="9.109375" style="316"/>
    <col min="1794" max="1794" width="25.88671875" style="316" customWidth="1"/>
    <col min="1795" max="1795" width="13.88671875" style="316" customWidth="1"/>
    <col min="1796" max="1801" width="9.109375" style="316"/>
    <col min="1802" max="1802" width="13.88671875" style="316" bestFit="1" customWidth="1"/>
    <col min="1803" max="1804" width="11.6640625" style="316" bestFit="1" customWidth="1"/>
    <col min="1805" max="1805" width="11.5546875" style="316" customWidth="1"/>
    <col min="1806" max="1806" width="16.5546875" style="316" customWidth="1"/>
    <col min="1807" max="2049" width="9.109375" style="316"/>
    <col min="2050" max="2050" width="25.88671875" style="316" customWidth="1"/>
    <col min="2051" max="2051" width="13.88671875" style="316" customWidth="1"/>
    <col min="2052" max="2057" width="9.109375" style="316"/>
    <col min="2058" max="2058" width="13.88671875" style="316" bestFit="1" customWidth="1"/>
    <col min="2059" max="2060" width="11.6640625" style="316" bestFit="1" customWidth="1"/>
    <col min="2061" max="2061" width="11.5546875" style="316" customWidth="1"/>
    <col min="2062" max="2062" width="16.5546875" style="316" customWidth="1"/>
    <col min="2063" max="2305" width="9.109375" style="316"/>
    <col min="2306" max="2306" width="25.88671875" style="316" customWidth="1"/>
    <col min="2307" max="2307" width="13.88671875" style="316" customWidth="1"/>
    <col min="2308" max="2313" width="9.109375" style="316"/>
    <col min="2314" max="2314" width="13.88671875" style="316" bestFit="1" customWidth="1"/>
    <col min="2315" max="2316" width="11.6640625" style="316" bestFit="1" customWidth="1"/>
    <col min="2317" max="2317" width="11.5546875" style="316" customWidth="1"/>
    <col min="2318" max="2318" width="16.5546875" style="316" customWidth="1"/>
    <col min="2319" max="2561" width="9.109375" style="316"/>
    <col min="2562" max="2562" width="25.88671875" style="316" customWidth="1"/>
    <col min="2563" max="2563" width="13.88671875" style="316" customWidth="1"/>
    <col min="2564" max="2569" width="9.109375" style="316"/>
    <col min="2570" max="2570" width="13.88671875" style="316" bestFit="1" customWidth="1"/>
    <col min="2571" max="2572" width="11.6640625" style="316" bestFit="1" customWidth="1"/>
    <col min="2573" max="2573" width="11.5546875" style="316" customWidth="1"/>
    <col min="2574" max="2574" width="16.5546875" style="316" customWidth="1"/>
    <col min="2575" max="2817" width="9.109375" style="316"/>
    <col min="2818" max="2818" width="25.88671875" style="316" customWidth="1"/>
    <col min="2819" max="2819" width="13.88671875" style="316" customWidth="1"/>
    <col min="2820" max="2825" width="9.109375" style="316"/>
    <col min="2826" max="2826" width="13.88671875" style="316" bestFit="1" customWidth="1"/>
    <col min="2827" max="2828" width="11.6640625" style="316" bestFit="1" customWidth="1"/>
    <col min="2829" max="2829" width="11.5546875" style="316" customWidth="1"/>
    <col min="2830" max="2830" width="16.5546875" style="316" customWidth="1"/>
    <col min="2831" max="3073" width="9.109375" style="316"/>
    <col min="3074" max="3074" width="25.88671875" style="316" customWidth="1"/>
    <col min="3075" max="3075" width="13.88671875" style="316" customWidth="1"/>
    <col min="3076" max="3081" width="9.109375" style="316"/>
    <col min="3082" max="3082" width="13.88671875" style="316" bestFit="1" customWidth="1"/>
    <col min="3083" max="3084" width="11.6640625" style="316" bestFit="1" customWidth="1"/>
    <col min="3085" max="3085" width="11.5546875" style="316" customWidth="1"/>
    <col min="3086" max="3086" width="16.5546875" style="316" customWidth="1"/>
    <col min="3087" max="3329" width="9.109375" style="316"/>
    <col min="3330" max="3330" width="25.88671875" style="316" customWidth="1"/>
    <col min="3331" max="3331" width="13.88671875" style="316" customWidth="1"/>
    <col min="3332" max="3337" width="9.109375" style="316"/>
    <col min="3338" max="3338" width="13.88671875" style="316" bestFit="1" customWidth="1"/>
    <col min="3339" max="3340" width="11.6640625" style="316" bestFit="1" customWidth="1"/>
    <col min="3341" max="3341" width="11.5546875" style="316" customWidth="1"/>
    <col min="3342" max="3342" width="16.5546875" style="316" customWidth="1"/>
    <col min="3343" max="3585" width="9.109375" style="316"/>
    <col min="3586" max="3586" width="25.88671875" style="316" customWidth="1"/>
    <col min="3587" max="3587" width="13.88671875" style="316" customWidth="1"/>
    <col min="3588" max="3593" width="9.109375" style="316"/>
    <col min="3594" max="3594" width="13.88671875" style="316" bestFit="1" customWidth="1"/>
    <col min="3595" max="3596" width="11.6640625" style="316" bestFit="1" customWidth="1"/>
    <col min="3597" max="3597" width="11.5546875" style="316" customWidth="1"/>
    <col min="3598" max="3598" width="16.5546875" style="316" customWidth="1"/>
    <col min="3599" max="3841" width="9.109375" style="316"/>
    <col min="3842" max="3842" width="25.88671875" style="316" customWidth="1"/>
    <col min="3843" max="3843" width="13.88671875" style="316" customWidth="1"/>
    <col min="3844" max="3849" width="9.109375" style="316"/>
    <col min="3850" max="3850" width="13.88671875" style="316" bestFit="1" customWidth="1"/>
    <col min="3851" max="3852" width="11.6640625" style="316" bestFit="1" customWidth="1"/>
    <col min="3853" max="3853" width="11.5546875" style="316" customWidth="1"/>
    <col min="3854" max="3854" width="16.5546875" style="316" customWidth="1"/>
    <col min="3855" max="4097" width="9.109375" style="316"/>
    <col min="4098" max="4098" width="25.88671875" style="316" customWidth="1"/>
    <col min="4099" max="4099" width="13.88671875" style="316" customWidth="1"/>
    <col min="4100" max="4105" width="9.109375" style="316"/>
    <col min="4106" max="4106" width="13.88671875" style="316" bestFit="1" customWidth="1"/>
    <col min="4107" max="4108" width="11.6640625" style="316" bestFit="1" customWidth="1"/>
    <col min="4109" max="4109" width="11.5546875" style="316" customWidth="1"/>
    <col min="4110" max="4110" width="16.5546875" style="316" customWidth="1"/>
    <col min="4111" max="4353" width="9.109375" style="316"/>
    <col min="4354" max="4354" width="25.88671875" style="316" customWidth="1"/>
    <col min="4355" max="4355" width="13.88671875" style="316" customWidth="1"/>
    <col min="4356" max="4361" width="9.109375" style="316"/>
    <col min="4362" max="4362" width="13.88671875" style="316" bestFit="1" customWidth="1"/>
    <col min="4363" max="4364" width="11.6640625" style="316" bestFit="1" customWidth="1"/>
    <col min="4365" max="4365" width="11.5546875" style="316" customWidth="1"/>
    <col min="4366" max="4366" width="16.5546875" style="316" customWidth="1"/>
    <col min="4367" max="4609" width="9.109375" style="316"/>
    <col min="4610" max="4610" width="25.88671875" style="316" customWidth="1"/>
    <col min="4611" max="4611" width="13.88671875" style="316" customWidth="1"/>
    <col min="4612" max="4617" width="9.109375" style="316"/>
    <col min="4618" max="4618" width="13.88671875" style="316" bestFit="1" customWidth="1"/>
    <col min="4619" max="4620" width="11.6640625" style="316" bestFit="1" customWidth="1"/>
    <col min="4621" max="4621" width="11.5546875" style="316" customWidth="1"/>
    <col min="4622" max="4622" width="16.5546875" style="316" customWidth="1"/>
    <col min="4623" max="4865" width="9.109375" style="316"/>
    <col min="4866" max="4866" width="25.88671875" style="316" customWidth="1"/>
    <col min="4867" max="4867" width="13.88671875" style="316" customWidth="1"/>
    <col min="4868" max="4873" width="9.109375" style="316"/>
    <col min="4874" max="4874" width="13.88671875" style="316" bestFit="1" customWidth="1"/>
    <col min="4875" max="4876" width="11.6640625" style="316" bestFit="1" customWidth="1"/>
    <col min="4877" max="4877" width="11.5546875" style="316" customWidth="1"/>
    <col min="4878" max="4878" width="16.5546875" style="316" customWidth="1"/>
    <col min="4879" max="5121" width="9.109375" style="316"/>
    <col min="5122" max="5122" width="25.88671875" style="316" customWidth="1"/>
    <col min="5123" max="5123" width="13.88671875" style="316" customWidth="1"/>
    <col min="5124" max="5129" width="9.109375" style="316"/>
    <col min="5130" max="5130" width="13.88671875" style="316" bestFit="1" customWidth="1"/>
    <col min="5131" max="5132" width="11.6640625" style="316" bestFit="1" customWidth="1"/>
    <col min="5133" max="5133" width="11.5546875" style="316" customWidth="1"/>
    <col min="5134" max="5134" width="16.5546875" style="316" customWidth="1"/>
    <col min="5135" max="5377" width="9.109375" style="316"/>
    <col min="5378" max="5378" width="25.88671875" style="316" customWidth="1"/>
    <col min="5379" max="5379" width="13.88671875" style="316" customWidth="1"/>
    <col min="5380" max="5385" width="9.109375" style="316"/>
    <col min="5386" max="5386" width="13.88671875" style="316" bestFit="1" customWidth="1"/>
    <col min="5387" max="5388" width="11.6640625" style="316" bestFit="1" customWidth="1"/>
    <col min="5389" max="5389" width="11.5546875" style="316" customWidth="1"/>
    <col min="5390" max="5390" width="16.5546875" style="316" customWidth="1"/>
    <col min="5391" max="5633" width="9.109375" style="316"/>
    <col min="5634" max="5634" width="25.88671875" style="316" customWidth="1"/>
    <col min="5635" max="5635" width="13.88671875" style="316" customWidth="1"/>
    <col min="5636" max="5641" width="9.109375" style="316"/>
    <col min="5642" max="5642" width="13.88671875" style="316" bestFit="1" customWidth="1"/>
    <col min="5643" max="5644" width="11.6640625" style="316" bestFit="1" customWidth="1"/>
    <col min="5645" max="5645" width="11.5546875" style="316" customWidth="1"/>
    <col min="5646" max="5646" width="16.5546875" style="316" customWidth="1"/>
    <col min="5647" max="5889" width="9.109375" style="316"/>
    <col min="5890" max="5890" width="25.88671875" style="316" customWidth="1"/>
    <col min="5891" max="5891" width="13.88671875" style="316" customWidth="1"/>
    <col min="5892" max="5897" width="9.109375" style="316"/>
    <col min="5898" max="5898" width="13.88671875" style="316" bestFit="1" customWidth="1"/>
    <col min="5899" max="5900" width="11.6640625" style="316" bestFit="1" customWidth="1"/>
    <col min="5901" max="5901" width="11.5546875" style="316" customWidth="1"/>
    <col min="5902" max="5902" width="16.5546875" style="316" customWidth="1"/>
    <col min="5903" max="6145" width="9.109375" style="316"/>
    <col min="6146" max="6146" width="25.88671875" style="316" customWidth="1"/>
    <col min="6147" max="6147" width="13.88671875" style="316" customWidth="1"/>
    <col min="6148" max="6153" width="9.109375" style="316"/>
    <col min="6154" max="6154" width="13.88671875" style="316" bestFit="1" customWidth="1"/>
    <col min="6155" max="6156" width="11.6640625" style="316" bestFit="1" customWidth="1"/>
    <col min="6157" max="6157" width="11.5546875" style="316" customWidth="1"/>
    <col min="6158" max="6158" width="16.5546875" style="316" customWidth="1"/>
    <col min="6159" max="6401" width="9.109375" style="316"/>
    <col min="6402" max="6402" width="25.88671875" style="316" customWidth="1"/>
    <col min="6403" max="6403" width="13.88671875" style="316" customWidth="1"/>
    <col min="6404" max="6409" width="9.109375" style="316"/>
    <col min="6410" max="6410" width="13.88671875" style="316" bestFit="1" customWidth="1"/>
    <col min="6411" max="6412" width="11.6640625" style="316" bestFit="1" customWidth="1"/>
    <col min="6413" max="6413" width="11.5546875" style="316" customWidth="1"/>
    <col min="6414" max="6414" width="16.5546875" style="316" customWidth="1"/>
    <col min="6415" max="6657" width="9.109375" style="316"/>
    <col min="6658" max="6658" width="25.88671875" style="316" customWidth="1"/>
    <col min="6659" max="6659" width="13.88671875" style="316" customWidth="1"/>
    <col min="6660" max="6665" width="9.109375" style="316"/>
    <col min="6666" max="6666" width="13.88671875" style="316" bestFit="1" customWidth="1"/>
    <col min="6667" max="6668" width="11.6640625" style="316" bestFit="1" customWidth="1"/>
    <col min="6669" max="6669" width="11.5546875" style="316" customWidth="1"/>
    <col min="6670" max="6670" width="16.5546875" style="316" customWidth="1"/>
    <col min="6671" max="6913" width="9.109375" style="316"/>
    <col min="6914" max="6914" width="25.88671875" style="316" customWidth="1"/>
    <col min="6915" max="6915" width="13.88671875" style="316" customWidth="1"/>
    <col min="6916" max="6921" width="9.109375" style="316"/>
    <col min="6922" max="6922" width="13.88671875" style="316" bestFit="1" customWidth="1"/>
    <col min="6923" max="6924" width="11.6640625" style="316" bestFit="1" customWidth="1"/>
    <col min="6925" max="6925" width="11.5546875" style="316" customWidth="1"/>
    <col min="6926" max="6926" width="16.5546875" style="316" customWidth="1"/>
    <col min="6927" max="7169" width="9.109375" style="316"/>
    <col min="7170" max="7170" width="25.88671875" style="316" customWidth="1"/>
    <col min="7171" max="7171" width="13.88671875" style="316" customWidth="1"/>
    <col min="7172" max="7177" width="9.109375" style="316"/>
    <col min="7178" max="7178" width="13.88671875" style="316" bestFit="1" customWidth="1"/>
    <col min="7179" max="7180" width="11.6640625" style="316" bestFit="1" customWidth="1"/>
    <col min="7181" max="7181" width="11.5546875" style="316" customWidth="1"/>
    <col min="7182" max="7182" width="16.5546875" style="316" customWidth="1"/>
    <col min="7183" max="7425" width="9.109375" style="316"/>
    <col min="7426" max="7426" width="25.88671875" style="316" customWidth="1"/>
    <col min="7427" max="7427" width="13.88671875" style="316" customWidth="1"/>
    <col min="7428" max="7433" width="9.109375" style="316"/>
    <col min="7434" max="7434" width="13.88671875" style="316" bestFit="1" customWidth="1"/>
    <col min="7435" max="7436" width="11.6640625" style="316" bestFit="1" customWidth="1"/>
    <col min="7437" max="7437" width="11.5546875" style="316" customWidth="1"/>
    <col min="7438" max="7438" width="16.5546875" style="316" customWidth="1"/>
    <col min="7439" max="7681" width="9.109375" style="316"/>
    <col min="7682" max="7682" width="25.88671875" style="316" customWidth="1"/>
    <col min="7683" max="7683" width="13.88671875" style="316" customWidth="1"/>
    <col min="7684" max="7689" width="9.109375" style="316"/>
    <col min="7690" max="7690" width="13.88671875" style="316" bestFit="1" customWidth="1"/>
    <col min="7691" max="7692" width="11.6640625" style="316" bestFit="1" customWidth="1"/>
    <col min="7693" max="7693" width="11.5546875" style="316" customWidth="1"/>
    <col min="7694" max="7694" width="16.5546875" style="316" customWidth="1"/>
    <col min="7695" max="7937" width="9.109375" style="316"/>
    <col min="7938" max="7938" width="25.88671875" style="316" customWidth="1"/>
    <col min="7939" max="7939" width="13.88671875" style="316" customWidth="1"/>
    <col min="7940" max="7945" width="9.109375" style="316"/>
    <col min="7946" max="7946" width="13.88671875" style="316" bestFit="1" customWidth="1"/>
    <col min="7947" max="7948" width="11.6640625" style="316" bestFit="1" customWidth="1"/>
    <col min="7949" max="7949" width="11.5546875" style="316" customWidth="1"/>
    <col min="7950" max="7950" width="16.5546875" style="316" customWidth="1"/>
    <col min="7951" max="8193" width="9.109375" style="316"/>
    <col min="8194" max="8194" width="25.88671875" style="316" customWidth="1"/>
    <col min="8195" max="8195" width="13.88671875" style="316" customWidth="1"/>
    <col min="8196" max="8201" width="9.109375" style="316"/>
    <col min="8202" max="8202" width="13.88671875" style="316" bestFit="1" customWidth="1"/>
    <col min="8203" max="8204" width="11.6640625" style="316" bestFit="1" customWidth="1"/>
    <col min="8205" max="8205" width="11.5546875" style="316" customWidth="1"/>
    <col min="8206" max="8206" width="16.5546875" style="316" customWidth="1"/>
    <col min="8207" max="8449" width="9.109375" style="316"/>
    <col min="8450" max="8450" width="25.88671875" style="316" customWidth="1"/>
    <col min="8451" max="8451" width="13.88671875" style="316" customWidth="1"/>
    <col min="8452" max="8457" width="9.109375" style="316"/>
    <col min="8458" max="8458" width="13.88671875" style="316" bestFit="1" customWidth="1"/>
    <col min="8459" max="8460" width="11.6640625" style="316" bestFit="1" customWidth="1"/>
    <col min="8461" max="8461" width="11.5546875" style="316" customWidth="1"/>
    <col min="8462" max="8462" width="16.5546875" style="316" customWidth="1"/>
    <col min="8463" max="8705" width="9.109375" style="316"/>
    <col min="8706" max="8706" width="25.88671875" style="316" customWidth="1"/>
    <col min="8707" max="8707" width="13.88671875" style="316" customWidth="1"/>
    <col min="8708" max="8713" width="9.109375" style="316"/>
    <col min="8714" max="8714" width="13.88671875" style="316" bestFit="1" customWidth="1"/>
    <col min="8715" max="8716" width="11.6640625" style="316" bestFit="1" customWidth="1"/>
    <col min="8717" max="8717" width="11.5546875" style="316" customWidth="1"/>
    <col min="8718" max="8718" width="16.5546875" style="316" customWidth="1"/>
    <col min="8719" max="8961" width="9.109375" style="316"/>
    <col min="8962" max="8962" width="25.88671875" style="316" customWidth="1"/>
    <col min="8963" max="8963" width="13.88671875" style="316" customWidth="1"/>
    <col min="8964" max="8969" width="9.109375" style="316"/>
    <col min="8970" max="8970" width="13.88671875" style="316" bestFit="1" customWidth="1"/>
    <col min="8971" max="8972" width="11.6640625" style="316" bestFit="1" customWidth="1"/>
    <col min="8973" max="8973" width="11.5546875" style="316" customWidth="1"/>
    <col min="8974" max="8974" width="16.5546875" style="316" customWidth="1"/>
    <col min="8975" max="9217" width="9.109375" style="316"/>
    <col min="9218" max="9218" width="25.88671875" style="316" customWidth="1"/>
    <col min="9219" max="9219" width="13.88671875" style="316" customWidth="1"/>
    <col min="9220" max="9225" width="9.109375" style="316"/>
    <col min="9226" max="9226" width="13.88671875" style="316" bestFit="1" customWidth="1"/>
    <col min="9227" max="9228" width="11.6640625" style="316" bestFit="1" customWidth="1"/>
    <col min="9229" max="9229" width="11.5546875" style="316" customWidth="1"/>
    <col min="9230" max="9230" width="16.5546875" style="316" customWidth="1"/>
    <col min="9231" max="9473" width="9.109375" style="316"/>
    <col min="9474" max="9474" width="25.88671875" style="316" customWidth="1"/>
    <col min="9475" max="9475" width="13.88671875" style="316" customWidth="1"/>
    <col min="9476" max="9481" width="9.109375" style="316"/>
    <col min="9482" max="9482" width="13.88671875" style="316" bestFit="1" customWidth="1"/>
    <col min="9483" max="9484" width="11.6640625" style="316" bestFit="1" customWidth="1"/>
    <col min="9485" max="9485" width="11.5546875" style="316" customWidth="1"/>
    <col min="9486" max="9486" width="16.5546875" style="316" customWidth="1"/>
    <col min="9487" max="9729" width="9.109375" style="316"/>
    <col min="9730" max="9730" width="25.88671875" style="316" customWidth="1"/>
    <col min="9731" max="9731" width="13.88671875" style="316" customWidth="1"/>
    <col min="9732" max="9737" width="9.109375" style="316"/>
    <col min="9738" max="9738" width="13.88671875" style="316" bestFit="1" customWidth="1"/>
    <col min="9739" max="9740" width="11.6640625" style="316" bestFit="1" customWidth="1"/>
    <col min="9741" max="9741" width="11.5546875" style="316" customWidth="1"/>
    <col min="9742" max="9742" width="16.5546875" style="316" customWidth="1"/>
    <col min="9743" max="9985" width="9.109375" style="316"/>
    <col min="9986" max="9986" width="25.88671875" style="316" customWidth="1"/>
    <col min="9987" max="9987" width="13.88671875" style="316" customWidth="1"/>
    <col min="9988" max="9993" width="9.109375" style="316"/>
    <col min="9994" max="9994" width="13.88671875" style="316" bestFit="1" customWidth="1"/>
    <col min="9995" max="9996" width="11.6640625" style="316" bestFit="1" customWidth="1"/>
    <col min="9997" max="9997" width="11.5546875" style="316" customWidth="1"/>
    <col min="9998" max="9998" width="16.5546875" style="316" customWidth="1"/>
    <col min="9999" max="10241" width="9.109375" style="316"/>
    <col min="10242" max="10242" width="25.88671875" style="316" customWidth="1"/>
    <col min="10243" max="10243" width="13.88671875" style="316" customWidth="1"/>
    <col min="10244" max="10249" width="9.109375" style="316"/>
    <col min="10250" max="10250" width="13.88671875" style="316" bestFit="1" customWidth="1"/>
    <col min="10251" max="10252" width="11.6640625" style="316" bestFit="1" customWidth="1"/>
    <col min="10253" max="10253" width="11.5546875" style="316" customWidth="1"/>
    <col min="10254" max="10254" width="16.5546875" style="316" customWidth="1"/>
    <col min="10255" max="10497" width="9.109375" style="316"/>
    <col min="10498" max="10498" width="25.88671875" style="316" customWidth="1"/>
    <col min="10499" max="10499" width="13.88671875" style="316" customWidth="1"/>
    <col min="10500" max="10505" width="9.109375" style="316"/>
    <col min="10506" max="10506" width="13.88671875" style="316" bestFit="1" customWidth="1"/>
    <col min="10507" max="10508" width="11.6640625" style="316" bestFit="1" customWidth="1"/>
    <col min="10509" max="10509" width="11.5546875" style="316" customWidth="1"/>
    <col min="10510" max="10510" width="16.5546875" style="316" customWidth="1"/>
    <col min="10511" max="10753" width="9.109375" style="316"/>
    <col min="10754" max="10754" width="25.88671875" style="316" customWidth="1"/>
    <col min="10755" max="10755" width="13.88671875" style="316" customWidth="1"/>
    <col min="10756" max="10761" width="9.109375" style="316"/>
    <col min="10762" max="10762" width="13.88671875" style="316" bestFit="1" customWidth="1"/>
    <col min="10763" max="10764" width="11.6640625" style="316" bestFit="1" customWidth="1"/>
    <col min="10765" max="10765" width="11.5546875" style="316" customWidth="1"/>
    <col min="10766" max="10766" width="16.5546875" style="316" customWidth="1"/>
    <col min="10767" max="11009" width="9.109375" style="316"/>
    <col min="11010" max="11010" width="25.88671875" style="316" customWidth="1"/>
    <col min="11011" max="11011" width="13.88671875" style="316" customWidth="1"/>
    <col min="11012" max="11017" width="9.109375" style="316"/>
    <col min="11018" max="11018" width="13.88671875" style="316" bestFit="1" customWidth="1"/>
    <col min="11019" max="11020" width="11.6640625" style="316" bestFit="1" customWidth="1"/>
    <col min="11021" max="11021" width="11.5546875" style="316" customWidth="1"/>
    <col min="11022" max="11022" width="16.5546875" style="316" customWidth="1"/>
    <col min="11023" max="11265" width="9.109375" style="316"/>
    <col min="11266" max="11266" width="25.88671875" style="316" customWidth="1"/>
    <col min="11267" max="11267" width="13.88671875" style="316" customWidth="1"/>
    <col min="11268" max="11273" width="9.109375" style="316"/>
    <col min="11274" max="11274" width="13.88671875" style="316" bestFit="1" customWidth="1"/>
    <col min="11275" max="11276" width="11.6640625" style="316" bestFit="1" customWidth="1"/>
    <col min="11277" max="11277" width="11.5546875" style="316" customWidth="1"/>
    <col min="11278" max="11278" width="16.5546875" style="316" customWidth="1"/>
    <col min="11279" max="11521" width="9.109375" style="316"/>
    <col min="11522" max="11522" width="25.88671875" style="316" customWidth="1"/>
    <col min="11523" max="11523" width="13.88671875" style="316" customWidth="1"/>
    <col min="11524" max="11529" width="9.109375" style="316"/>
    <col min="11530" max="11530" width="13.88671875" style="316" bestFit="1" customWidth="1"/>
    <col min="11531" max="11532" width="11.6640625" style="316" bestFit="1" customWidth="1"/>
    <col min="11533" max="11533" width="11.5546875" style="316" customWidth="1"/>
    <col min="11534" max="11534" width="16.5546875" style="316" customWidth="1"/>
    <col min="11535" max="11777" width="9.109375" style="316"/>
    <col min="11778" max="11778" width="25.88671875" style="316" customWidth="1"/>
    <col min="11779" max="11779" width="13.88671875" style="316" customWidth="1"/>
    <col min="11780" max="11785" width="9.109375" style="316"/>
    <col min="11786" max="11786" width="13.88671875" style="316" bestFit="1" customWidth="1"/>
    <col min="11787" max="11788" width="11.6640625" style="316" bestFit="1" customWidth="1"/>
    <col min="11789" max="11789" width="11.5546875" style="316" customWidth="1"/>
    <col min="11790" max="11790" width="16.5546875" style="316" customWidth="1"/>
    <col min="11791" max="12033" width="9.109375" style="316"/>
    <col min="12034" max="12034" width="25.88671875" style="316" customWidth="1"/>
    <col min="12035" max="12035" width="13.88671875" style="316" customWidth="1"/>
    <col min="12036" max="12041" width="9.109375" style="316"/>
    <col min="12042" max="12042" width="13.88671875" style="316" bestFit="1" customWidth="1"/>
    <col min="12043" max="12044" width="11.6640625" style="316" bestFit="1" customWidth="1"/>
    <col min="12045" max="12045" width="11.5546875" style="316" customWidth="1"/>
    <col min="12046" max="12046" width="16.5546875" style="316" customWidth="1"/>
    <col min="12047" max="12289" width="9.109375" style="316"/>
    <col min="12290" max="12290" width="25.88671875" style="316" customWidth="1"/>
    <col min="12291" max="12291" width="13.88671875" style="316" customWidth="1"/>
    <col min="12292" max="12297" width="9.109375" style="316"/>
    <col min="12298" max="12298" width="13.88671875" style="316" bestFit="1" customWidth="1"/>
    <col min="12299" max="12300" width="11.6640625" style="316" bestFit="1" customWidth="1"/>
    <col min="12301" max="12301" width="11.5546875" style="316" customWidth="1"/>
    <col min="12302" max="12302" width="16.5546875" style="316" customWidth="1"/>
    <col min="12303" max="12545" width="9.109375" style="316"/>
    <col min="12546" max="12546" width="25.88671875" style="316" customWidth="1"/>
    <col min="12547" max="12547" width="13.88671875" style="316" customWidth="1"/>
    <col min="12548" max="12553" width="9.109375" style="316"/>
    <col min="12554" max="12554" width="13.88671875" style="316" bestFit="1" customWidth="1"/>
    <col min="12555" max="12556" width="11.6640625" style="316" bestFit="1" customWidth="1"/>
    <col min="12557" max="12557" width="11.5546875" style="316" customWidth="1"/>
    <col min="12558" max="12558" width="16.5546875" style="316" customWidth="1"/>
    <col min="12559" max="12801" width="9.109375" style="316"/>
    <col min="12802" max="12802" width="25.88671875" style="316" customWidth="1"/>
    <col min="12803" max="12803" width="13.88671875" style="316" customWidth="1"/>
    <col min="12804" max="12809" width="9.109375" style="316"/>
    <col min="12810" max="12810" width="13.88671875" style="316" bestFit="1" customWidth="1"/>
    <col min="12811" max="12812" width="11.6640625" style="316" bestFit="1" customWidth="1"/>
    <col min="12813" max="12813" width="11.5546875" style="316" customWidth="1"/>
    <col min="12814" max="12814" width="16.5546875" style="316" customWidth="1"/>
    <col min="12815" max="13057" width="9.109375" style="316"/>
    <col min="13058" max="13058" width="25.88671875" style="316" customWidth="1"/>
    <col min="13059" max="13059" width="13.88671875" style="316" customWidth="1"/>
    <col min="13060" max="13065" width="9.109375" style="316"/>
    <col min="13066" max="13066" width="13.88671875" style="316" bestFit="1" customWidth="1"/>
    <col min="13067" max="13068" width="11.6640625" style="316" bestFit="1" customWidth="1"/>
    <col min="13069" max="13069" width="11.5546875" style="316" customWidth="1"/>
    <col min="13070" max="13070" width="16.5546875" style="316" customWidth="1"/>
    <col min="13071" max="13313" width="9.109375" style="316"/>
    <col min="13314" max="13314" width="25.88671875" style="316" customWidth="1"/>
    <col min="13315" max="13315" width="13.88671875" style="316" customWidth="1"/>
    <col min="13316" max="13321" width="9.109375" style="316"/>
    <col min="13322" max="13322" width="13.88671875" style="316" bestFit="1" customWidth="1"/>
    <col min="13323" max="13324" width="11.6640625" style="316" bestFit="1" customWidth="1"/>
    <col min="13325" max="13325" width="11.5546875" style="316" customWidth="1"/>
    <col min="13326" max="13326" width="16.5546875" style="316" customWidth="1"/>
    <col min="13327" max="13569" width="9.109375" style="316"/>
    <col min="13570" max="13570" width="25.88671875" style="316" customWidth="1"/>
    <col min="13571" max="13571" width="13.88671875" style="316" customWidth="1"/>
    <col min="13572" max="13577" width="9.109375" style="316"/>
    <col min="13578" max="13578" width="13.88671875" style="316" bestFit="1" customWidth="1"/>
    <col min="13579" max="13580" width="11.6640625" style="316" bestFit="1" customWidth="1"/>
    <col min="13581" max="13581" width="11.5546875" style="316" customWidth="1"/>
    <col min="13582" max="13582" width="16.5546875" style="316" customWidth="1"/>
    <col min="13583" max="13825" width="9.109375" style="316"/>
    <col min="13826" max="13826" width="25.88671875" style="316" customWidth="1"/>
    <col min="13827" max="13827" width="13.88671875" style="316" customWidth="1"/>
    <col min="13828" max="13833" width="9.109375" style="316"/>
    <col min="13834" max="13834" width="13.88671875" style="316" bestFit="1" customWidth="1"/>
    <col min="13835" max="13836" width="11.6640625" style="316" bestFit="1" customWidth="1"/>
    <col min="13837" max="13837" width="11.5546875" style="316" customWidth="1"/>
    <col min="13838" max="13838" width="16.5546875" style="316" customWidth="1"/>
    <col min="13839" max="14081" width="9.109375" style="316"/>
    <col min="14082" max="14082" width="25.88671875" style="316" customWidth="1"/>
    <col min="14083" max="14083" width="13.88671875" style="316" customWidth="1"/>
    <col min="14084" max="14089" width="9.109375" style="316"/>
    <col min="14090" max="14090" width="13.88671875" style="316" bestFit="1" customWidth="1"/>
    <col min="14091" max="14092" width="11.6640625" style="316" bestFit="1" customWidth="1"/>
    <col min="14093" max="14093" width="11.5546875" style="316" customWidth="1"/>
    <col min="14094" max="14094" width="16.5546875" style="316" customWidth="1"/>
    <col min="14095" max="14337" width="9.109375" style="316"/>
    <col min="14338" max="14338" width="25.88671875" style="316" customWidth="1"/>
    <col min="14339" max="14339" width="13.88671875" style="316" customWidth="1"/>
    <col min="14340" max="14345" width="9.109375" style="316"/>
    <col min="14346" max="14346" width="13.88671875" style="316" bestFit="1" customWidth="1"/>
    <col min="14347" max="14348" width="11.6640625" style="316" bestFit="1" customWidth="1"/>
    <col min="14349" max="14349" width="11.5546875" style="316" customWidth="1"/>
    <col min="14350" max="14350" width="16.5546875" style="316" customWidth="1"/>
    <col min="14351" max="14593" width="9.109375" style="316"/>
    <col min="14594" max="14594" width="25.88671875" style="316" customWidth="1"/>
    <col min="14595" max="14595" width="13.88671875" style="316" customWidth="1"/>
    <col min="14596" max="14601" width="9.109375" style="316"/>
    <col min="14602" max="14602" width="13.88671875" style="316" bestFit="1" customWidth="1"/>
    <col min="14603" max="14604" width="11.6640625" style="316" bestFit="1" customWidth="1"/>
    <col min="14605" max="14605" width="11.5546875" style="316" customWidth="1"/>
    <col min="14606" max="14606" width="16.5546875" style="316" customWidth="1"/>
    <col min="14607" max="14849" width="9.109375" style="316"/>
    <col min="14850" max="14850" width="25.88671875" style="316" customWidth="1"/>
    <col min="14851" max="14851" width="13.88671875" style="316" customWidth="1"/>
    <col min="14852" max="14857" width="9.109375" style="316"/>
    <col min="14858" max="14858" width="13.88671875" style="316" bestFit="1" customWidth="1"/>
    <col min="14859" max="14860" width="11.6640625" style="316" bestFit="1" customWidth="1"/>
    <col min="14861" max="14861" width="11.5546875" style="316" customWidth="1"/>
    <col min="14862" max="14862" width="16.5546875" style="316" customWidth="1"/>
    <col min="14863" max="15105" width="9.109375" style="316"/>
    <col min="15106" max="15106" width="25.88671875" style="316" customWidth="1"/>
    <col min="15107" max="15107" width="13.88671875" style="316" customWidth="1"/>
    <col min="15108" max="15113" width="9.109375" style="316"/>
    <col min="15114" max="15114" width="13.88671875" style="316" bestFit="1" customWidth="1"/>
    <col min="15115" max="15116" width="11.6640625" style="316" bestFit="1" customWidth="1"/>
    <col min="15117" max="15117" width="11.5546875" style="316" customWidth="1"/>
    <col min="15118" max="15118" width="16.5546875" style="316" customWidth="1"/>
    <col min="15119" max="15361" width="9.109375" style="316"/>
    <col min="15362" max="15362" width="25.88671875" style="316" customWidth="1"/>
    <col min="15363" max="15363" width="13.88671875" style="316" customWidth="1"/>
    <col min="15364" max="15369" width="9.109375" style="316"/>
    <col min="15370" max="15370" width="13.88671875" style="316" bestFit="1" customWidth="1"/>
    <col min="15371" max="15372" width="11.6640625" style="316" bestFit="1" customWidth="1"/>
    <col min="15373" max="15373" width="11.5546875" style="316" customWidth="1"/>
    <col min="15374" max="15374" width="16.5546875" style="316" customWidth="1"/>
    <col min="15375" max="15617" width="9.109375" style="316"/>
    <col min="15618" max="15618" width="25.88671875" style="316" customWidth="1"/>
    <col min="15619" max="15619" width="13.88671875" style="316" customWidth="1"/>
    <col min="15620" max="15625" width="9.109375" style="316"/>
    <col min="15626" max="15626" width="13.88671875" style="316" bestFit="1" customWidth="1"/>
    <col min="15627" max="15628" width="11.6640625" style="316" bestFit="1" customWidth="1"/>
    <col min="15629" max="15629" width="11.5546875" style="316" customWidth="1"/>
    <col min="15630" max="15630" width="16.5546875" style="316" customWidth="1"/>
    <col min="15631" max="15873" width="9.109375" style="316"/>
    <col min="15874" max="15874" width="25.88671875" style="316" customWidth="1"/>
    <col min="15875" max="15875" width="13.88671875" style="316" customWidth="1"/>
    <col min="15876" max="15881" width="9.109375" style="316"/>
    <col min="15882" max="15882" width="13.88671875" style="316" bestFit="1" customWidth="1"/>
    <col min="15883" max="15884" width="11.6640625" style="316" bestFit="1" customWidth="1"/>
    <col min="15885" max="15885" width="11.5546875" style="316" customWidth="1"/>
    <col min="15886" max="15886" width="16.5546875" style="316" customWidth="1"/>
    <col min="15887" max="16129" width="9.109375" style="316"/>
    <col min="16130" max="16130" width="25.88671875" style="316" customWidth="1"/>
    <col min="16131" max="16131" width="13.88671875" style="316" customWidth="1"/>
    <col min="16132" max="16137" width="9.109375" style="316"/>
    <col min="16138" max="16138" width="13.88671875" style="316" bestFit="1" customWidth="1"/>
    <col min="16139" max="16140" width="11.6640625" style="316" bestFit="1" customWidth="1"/>
    <col min="16141" max="16141" width="11.5546875" style="316" customWidth="1"/>
    <col min="16142" max="16142" width="16.5546875" style="316" customWidth="1"/>
    <col min="16143" max="16384" width="9.109375" style="316"/>
  </cols>
  <sheetData>
    <row r="1" spans="1:17" ht="12.75" customHeight="1">
      <c r="A1" s="1313" t="s">
        <v>434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Cover'!A20</f>
        <v>2100</v>
      </c>
    </row>
    <row r="2" spans="1:17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7">
      <c r="A3" s="407" t="s">
        <v>389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7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7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7" ht="40.200000000000003" thickBot="1">
      <c r="A6" s="393" t="s">
        <v>92</v>
      </c>
      <c r="B6" s="394" t="s">
        <v>0</v>
      </c>
      <c r="C6" s="39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7" ht="31.5" customHeight="1">
      <c r="A7" s="317">
        <f>'Pricing Schedule'!A34</f>
        <v>2100</v>
      </c>
      <c r="B7" s="318" t="str">
        <f>'Pricing Schedule'!B34</f>
        <v>PROCUREMENT AND CONTRACT PARTICIPATION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7" ht="31.5" customHeight="1">
      <c r="A8" s="454">
        <f>'Pricing Schedule'!A35</f>
        <v>21.01</v>
      </c>
      <c r="B8" s="322" t="str">
        <f>'Pricing Schedule'!B35</f>
        <v>Preparation of annual subcontracting plan and programme</v>
      </c>
      <c r="C8" s="401" t="str">
        <f>'Pricing Schedule'!C35</f>
        <v>No.</v>
      </c>
      <c r="D8" s="335">
        <f>'Pricing Schedule'!D35</f>
        <v>5</v>
      </c>
      <c r="E8" s="389">
        <f t="shared" ref="E8" si="0">D8</f>
        <v>5</v>
      </c>
      <c r="F8" s="490">
        <f>DATA!$AF$52</f>
        <v>0</v>
      </c>
      <c r="G8" s="389"/>
      <c r="H8" s="324">
        <f>F8+G8</f>
        <v>0</v>
      </c>
      <c r="I8" s="402">
        <f>'Pricing Schedule'!E35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  <c r="Q8" s="762"/>
    </row>
    <row r="9" spans="1:17" ht="31.5" customHeight="1">
      <c r="A9" s="454">
        <f>'Pricing Schedule'!A36</f>
        <v>21.02</v>
      </c>
      <c r="B9" s="322" t="str">
        <f>'Pricing Schedule'!B36</f>
        <v>Preparation of proforma quotation documents</v>
      </c>
      <c r="C9" s="401" t="str">
        <f>'Pricing Schedule'!C36</f>
        <v>No.</v>
      </c>
      <c r="D9" s="335">
        <f>'Pricing Schedule'!D36</f>
        <v>5</v>
      </c>
      <c r="E9" s="389">
        <f>D9</f>
        <v>5</v>
      </c>
      <c r="F9" s="490">
        <f>DATA!$AG$52</f>
        <v>0</v>
      </c>
      <c r="G9" s="389"/>
      <c r="H9" s="324">
        <f>F9+G9</f>
        <v>0</v>
      </c>
      <c r="I9" s="402">
        <f>'Pricing Schedule'!E36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  <c r="Q9" s="762"/>
    </row>
    <row r="10" spans="1:17" ht="31.5" customHeight="1">
      <c r="A10" s="454">
        <f>'Pricing Schedule'!A37</f>
        <v>21.03</v>
      </c>
      <c r="B10" s="322" t="str">
        <f>'Pricing Schedule'!B37</f>
        <v>Preparation of proforma tender documents</v>
      </c>
      <c r="C10" s="401" t="str">
        <f>'Pricing Schedule'!C37</f>
        <v>No.</v>
      </c>
      <c r="D10" s="335">
        <f>'Pricing Schedule'!D37</f>
        <v>10</v>
      </c>
      <c r="E10" s="389">
        <f>D10</f>
        <v>10</v>
      </c>
      <c r="F10" s="490">
        <f>DATA!$AH$52</f>
        <v>0</v>
      </c>
      <c r="G10" s="389"/>
      <c r="H10" s="324">
        <f>F10+G10</f>
        <v>0</v>
      </c>
      <c r="I10" s="402">
        <f>'Pricing Schedule'!E37</f>
        <v>0</v>
      </c>
      <c r="J10" s="323">
        <f>D10*I10</f>
        <v>0</v>
      </c>
      <c r="K10" s="323">
        <f>E10*I10</f>
        <v>0</v>
      </c>
      <c r="L10" s="323">
        <f>F10*I10</f>
        <v>0</v>
      </c>
      <c r="M10" s="323">
        <f>G10*I10</f>
        <v>0</v>
      </c>
      <c r="N10" s="324">
        <f>H10*I10</f>
        <v>0</v>
      </c>
      <c r="Q10" s="762"/>
    </row>
    <row r="11" spans="1:17" ht="31.5" customHeight="1">
      <c r="A11" s="400">
        <f>'Pricing Schedule'!A38</f>
        <v>21.04</v>
      </c>
      <c r="B11" s="322" t="str">
        <f>'Pricing Schedule'!B38</f>
        <v>Compiling of  documents:</v>
      </c>
      <c r="C11" s="401"/>
      <c r="D11" s="335"/>
      <c r="E11" s="539"/>
      <c r="F11" s="323"/>
      <c r="G11" s="539"/>
      <c r="H11" s="324"/>
      <c r="I11" s="402"/>
      <c r="J11" s="323"/>
      <c r="K11" s="323"/>
      <c r="L11" s="323"/>
      <c r="M11" s="323"/>
      <c r="N11" s="324"/>
      <c r="Q11" s="762"/>
    </row>
    <row r="12" spans="1:17" ht="31.5" customHeight="1">
      <c r="A12" s="454" t="str">
        <f>'Pricing Schedule'!A39</f>
        <v>21.04(a)</v>
      </c>
      <c r="B12" s="322" t="str">
        <f>'Pricing Schedule'!B39</f>
        <v>Quotations</v>
      </c>
      <c r="C12" s="401" t="str">
        <f>'Pricing Schedule'!C39</f>
        <v>No.</v>
      </c>
      <c r="D12" s="335">
        <f>'Pricing Schedule'!D39</f>
        <v>10</v>
      </c>
      <c r="E12" s="389">
        <f>D12</f>
        <v>10</v>
      </c>
      <c r="F12" s="490">
        <f>DATA!$AI$52</f>
        <v>0</v>
      </c>
      <c r="G12" s="389"/>
      <c r="H12" s="324">
        <f>F12+G12</f>
        <v>0</v>
      </c>
      <c r="I12" s="402">
        <f>'Pricing Schedule'!E39</f>
        <v>0</v>
      </c>
      <c r="J12" s="323">
        <f>D12*I12</f>
        <v>0</v>
      </c>
      <c r="K12" s="323">
        <f>E12*I12</f>
        <v>0</v>
      </c>
      <c r="L12" s="323">
        <f>F12*I12</f>
        <v>0</v>
      </c>
      <c r="M12" s="323">
        <f>G12*I12</f>
        <v>0</v>
      </c>
      <c r="N12" s="324">
        <f>H12*I12</f>
        <v>0</v>
      </c>
      <c r="Q12" s="762"/>
    </row>
    <row r="13" spans="1:17" ht="31.5" customHeight="1">
      <c r="A13" s="454" t="str">
        <f>'Pricing Schedule'!A40</f>
        <v>21.04(b)</v>
      </c>
      <c r="B13" s="322" t="str">
        <f>'Pricing Schedule'!B40</f>
        <v>Tenders</v>
      </c>
      <c r="C13" s="401" t="str">
        <f>'Pricing Schedule'!C40</f>
        <v>No.</v>
      </c>
      <c r="D13" s="335">
        <f>'Pricing Schedule'!D40</f>
        <v>20</v>
      </c>
      <c r="E13" s="389">
        <f>D13</f>
        <v>20</v>
      </c>
      <c r="F13" s="490">
        <f>DATA!$AJ$52</f>
        <v>0</v>
      </c>
      <c r="G13" s="389"/>
      <c r="H13" s="324">
        <f>F13+G13</f>
        <v>0</v>
      </c>
      <c r="I13" s="402">
        <f>'Pricing Schedule'!E40</f>
        <v>0</v>
      </c>
      <c r="J13" s="323">
        <f>D13*I13</f>
        <v>0</v>
      </c>
      <c r="K13" s="323">
        <f>E13*I13</f>
        <v>0</v>
      </c>
      <c r="L13" s="323">
        <f>F13*I13</f>
        <v>0</v>
      </c>
      <c r="M13" s="323">
        <f>G13*I13</f>
        <v>0</v>
      </c>
      <c r="N13" s="324">
        <f>H13*I13</f>
        <v>0</v>
      </c>
      <c r="Q13" s="762"/>
    </row>
    <row r="14" spans="1:17" ht="31.5" customHeight="1">
      <c r="A14" s="400">
        <f>'Pricing Schedule'!A41</f>
        <v>21.05</v>
      </c>
      <c r="B14" s="322" t="str">
        <f>'Pricing Schedule'!B41</f>
        <v>Tender advertisements</v>
      </c>
      <c r="C14" s="401" t="str">
        <f>'Pricing Schedule'!C41</f>
        <v>Prov. Sum</v>
      </c>
      <c r="D14" s="335">
        <v>1</v>
      </c>
      <c r="E14" s="389">
        <f>D14</f>
        <v>1</v>
      </c>
      <c r="F14" s="490">
        <f>DATA!$AK$52</f>
        <v>0</v>
      </c>
      <c r="G14" s="634">
        <f>'Pg 4 P Sums'!K70-F14</f>
        <v>0</v>
      </c>
      <c r="H14" s="324">
        <f>F14+G14</f>
        <v>0</v>
      </c>
      <c r="I14" s="335">
        <f>'Pricing Schedule'!F41</f>
        <v>100000</v>
      </c>
      <c r="J14" s="323">
        <f>D14*I14</f>
        <v>100000</v>
      </c>
      <c r="K14" s="323">
        <f>E14*I14</f>
        <v>100000</v>
      </c>
      <c r="L14" s="323">
        <f>F14*I14</f>
        <v>0</v>
      </c>
      <c r="M14" s="323">
        <f>G14*I14</f>
        <v>0</v>
      </c>
      <c r="N14" s="324">
        <f>H14*I14</f>
        <v>0</v>
      </c>
      <c r="Q14" s="762"/>
    </row>
    <row r="15" spans="1:17" ht="31.5" customHeight="1">
      <c r="A15" s="400" t="str">
        <f>'Pricing Schedule'!A42</f>
        <v>21.05(a)</v>
      </c>
      <c r="B15" s="322" t="str">
        <f>'Pricing Schedule'!B42</f>
        <v>Service Provider’s mark up on tender advertisement costs - Item 21.05</v>
      </c>
      <c r="C15" s="401" t="str">
        <f>'Pricing Schedule'!C42</f>
        <v>Percent</v>
      </c>
      <c r="D15" s="335">
        <f>'Pricing Schedule'!D42</f>
        <v>100000</v>
      </c>
      <c r="E15" s="635">
        <f>K14</f>
        <v>100000</v>
      </c>
      <c r="F15" s="323">
        <f t="shared" ref="F15:G15" si="1">L14</f>
        <v>0</v>
      </c>
      <c r="G15" s="323">
        <f t="shared" si="1"/>
        <v>0</v>
      </c>
      <c r="H15" s="324">
        <f>F15+G15</f>
        <v>0</v>
      </c>
      <c r="I15" s="405">
        <f>'Pricing Schedule'!E42</f>
        <v>0</v>
      </c>
      <c r="J15" s="323">
        <f>D15*I15</f>
        <v>0</v>
      </c>
      <c r="K15" s="323">
        <f>E15*I15</f>
        <v>0</v>
      </c>
      <c r="L15" s="323">
        <f>F15*I15</f>
        <v>0</v>
      </c>
      <c r="M15" s="323">
        <f>G15*I15</f>
        <v>0</v>
      </c>
      <c r="N15" s="324">
        <f>H15*I15</f>
        <v>0</v>
      </c>
      <c r="Q15" s="762"/>
    </row>
    <row r="16" spans="1:17" ht="31.5" customHeight="1">
      <c r="A16" s="400">
        <f>'Pricing Schedule'!A43</f>
        <v>21.06</v>
      </c>
      <c r="B16" s="322" t="str">
        <f>'Pricing Schedule'!B43</f>
        <v>Evaluation, writing reports and adjudication in the case of;</v>
      </c>
      <c r="C16" s="401"/>
      <c r="D16" s="335"/>
      <c r="E16" s="539"/>
      <c r="F16" s="323"/>
      <c r="G16" s="539"/>
      <c r="H16" s="324"/>
      <c r="I16" s="402"/>
      <c r="J16" s="323"/>
      <c r="K16" s="323"/>
      <c r="L16" s="323"/>
      <c r="M16" s="323"/>
      <c r="N16" s="324"/>
      <c r="Q16" s="762"/>
    </row>
    <row r="17" spans="1:17" ht="31.5" customHeight="1">
      <c r="A17" s="454" t="str">
        <f>'Pricing Schedule'!A44</f>
        <v>21.06(a)</v>
      </c>
      <c r="B17" s="322" t="str">
        <f>'Pricing Schedule'!B44</f>
        <v>Quotations</v>
      </c>
      <c r="C17" s="401" t="str">
        <f>'Pricing Schedule'!C44</f>
        <v>No.</v>
      </c>
      <c r="D17" s="335">
        <f>'Pricing Schedule'!D44</f>
        <v>10</v>
      </c>
      <c r="E17" s="389">
        <f>D17</f>
        <v>10</v>
      </c>
      <c r="F17" s="490">
        <f>DATA!$AL$52</f>
        <v>0</v>
      </c>
      <c r="G17" s="389"/>
      <c r="H17" s="324">
        <f>F17+G17</f>
        <v>0</v>
      </c>
      <c r="I17" s="402">
        <f>'Pricing Schedule'!E44</f>
        <v>0</v>
      </c>
      <c r="J17" s="323">
        <f>D17*I17</f>
        <v>0</v>
      </c>
      <c r="K17" s="323">
        <f>E17*I17</f>
        <v>0</v>
      </c>
      <c r="L17" s="323">
        <f>F17*I17</f>
        <v>0</v>
      </c>
      <c r="M17" s="323">
        <f>G17*I17</f>
        <v>0</v>
      </c>
      <c r="N17" s="324">
        <f>H17*I17</f>
        <v>0</v>
      </c>
      <c r="Q17" s="762"/>
    </row>
    <row r="18" spans="1:17" ht="31.5" customHeight="1">
      <c r="A18" s="454" t="str">
        <f>'Pricing Schedule'!A45</f>
        <v>21.06(b)</v>
      </c>
      <c r="B18" s="322" t="str">
        <f>'Pricing Schedule'!B45</f>
        <v>Tenders</v>
      </c>
      <c r="C18" s="401" t="str">
        <f>'Pricing Schedule'!C45</f>
        <v>No.</v>
      </c>
      <c r="D18" s="335">
        <f>'Pricing Schedule'!D45</f>
        <v>20</v>
      </c>
      <c r="E18" s="389">
        <f>D18</f>
        <v>20</v>
      </c>
      <c r="F18" s="490">
        <f>DATA!$AM$52</f>
        <v>0</v>
      </c>
      <c r="G18" s="739"/>
      <c r="H18" s="324">
        <f>F18+G18</f>
        <v>0</v>
      </c>
      <c r="I18" s="402">
        <f>'Pricing Schedule'!E45</f>
        <v>0</v>
      </c>
      <c r="J18" s="323">
        <f>D18*I18</f>
        <v>0</v>
      </c>
      <c r="K18" s="323">
        <f>E18*I18</f>
        <v>0</v>
      </c>
      <c r="L18" s="323">
        <f>F18*I18</f>
        <v>0</v>
      </c>
      <c r="M18" s="323">
        <f>G18*I18</f>
        <v>0</v>
      </c>
      <c r="N18" s="324">
        <f>H18*I18</f>
        <v>0</v>
      </c>
      <c r="Q18" s="762"/>
    </row>
    <row r="19" spans="1:17" ht="31.5" customHeight="1">
      <c r="A19" s="400">
        <f>'Pricing Schedule'!A46</f>
        <v>21.07</v>
      </c>
      <c r="B19" s="322" t="str">
        <f>'Pricing Schedule'!B46</f>
        <v>Payment of subcontractors</v>
      </c>
      <c r="C19" s="401"/>
      <c r="D19" s="335"/>
      <c r="E19" s="539"/>
      <c r="F19" s="323"/>
      <c r="G19" s="539"/>
      <c r="H19" s="324"/>
      <c r="I19" s="402"/>
      <c r="J19" s="323"/>
      <c r="K19" s="323"/>
      <c r="L19" s="323"/>
      <c r="M19" s="323"/>
      <c r="N19" s="324"/>
      <c r="Q19" s="762"/>
    </row>
    <row r="20" spans="1:17" ht="31.5" customHeight="1">
      <c r="A20" s="400" t="str">
        <f>'Pricing Schedule'!A47</f>
        <v>21.07 (a)</v>
      </c>
      <c r="B20" s="322" t="str">
        <f>'Pricing Schedule'!B47</f>
        <v>Fire Fighting Equipment &amp; Sprinklers</v>
      </c>
      <c r="C20" s="401" t="str">
        <f>'Pricing Schedule'!C47</f>
        <v>Prov. Sum</v>
      </c>
      <c r="D20" s="335">
        <v>1</v>
      </c>
      <c r="E20" s="389">
        <f t="shared" ref="E20:E32" si="2">D20</f>
        <v>1</v>
      </c>
      <c r="F20" s="490">
        <f>DATA!$AN$52</f>
        <v>0</v>
      </c>
      <c r="G20" s="634">
        <f>'Pg 4 P Sums'!K79-F20</f>
        <v>0</v>
      </c>
      <c r="H20" s="324">
        <f t="shared" ref="H20:H32" si="3">F20+G20</f>
        <v>0</v>
      </c>
      <c r="I20" s="335">
        <f>'Pricing Schedule'!F47</f>
        <v>3000000</v>
      </c>
      <c r="J20" s="323">
        <f t="shared" ref="J20:J31" si="4">D20*I20</f>
        <v>3000000</v>
      </c>
      <c r="K20" s="323">
        <f t="shared" ref="K20:K32" si="5">E20*I20</f>
        <v>3000000</v>
      </c>
      <c r="L20" s="323">
        <f t="shared" ref="L20:L32" si="6">F20*I20</f>
        <v>0</v>
      </c>
      <c r="M20" s="323">
        <f t="shared" ref="M20:M31" si="7">G20*I20</f>
        <v>0</v>
      </c>
      <c r="N20" s="324">
        <f t="shared" ref="N20:N32" si="8">H20*I20</f>
        <v>0</v>
      </c>
      <c r="Q20" s="762"/>
    </row>
    <row r="21" spans="1:17" ht="31.5" customHeight="1">
      <c r="A21" s="400" t="str">
        <f>'Pricing Schedule'!A48</f>
        <v>21.07 (b)</v>
      </c>
      <c r="B21" s="322" t="str">
        <f>'Pricing Schedule'!B48</f>
        <v>Security</v>
      </c>
      <c r="C21" s="401" t="str">
        <f>'Pricing Schedule'!C48</f>
        <v>Prov. Sum</v>
      </c>
      <c r="D21" s="335">
        <v>1</v>
      </c>
      <c r="E21" s="389">
        <f>D21</f>
        <v>1</v>
      </c>
      <c r="F21" s="490">
        <f>DATA!$AO$52</f>
        <v>0</v>
      </c>
      <c r="G21" s="634">
        <f>'Pg 4 P Sums'!K93-F21</f>
        <v>0</v>
      </c>
      <c r="H21" s="324">
        <f t="shared" si="3"/>
        <v>0</v>
      </c>
      <c r="I21" s="335">
        <f>'Pricing Schedule'!F48</f>
        <v>7500000</v>
      </c>
      <c r="J21" s="323">
        <f t="shared" si="4"/>
        <v>7500000</v>
      </c>
      <c r="K21" s="323">
        <f t="shared" si="5"/>
        <v>7500000</v>
      </c>
      <c r="L21" s="323">
        <f t="shared" si="6"/>
        <v>0</v>
      </c>
      <c r="M21" s="323">
        <f>G21*I21</f>
        <v>0</v>
      </c>
      <c r="N21" s="324">
        <f t="shared" si="8"/>
        <v>0</v>
      </c>
      <c r="Q21" s="762"/>
    </row>
    <row r="22" spans="1:17" ht="31.5" customHeight="1">
      <c r="A22" s="400" t="str">
        <f>'Pricing Schedule'!A49</f>
        <v>21.07 (c)</v>
      </c>
      <c r="B22" s="322" t="str">
        <f>'Pricing Schedule'!B49</f>
        <v>Cleaning</v>
      </c>
      <c r="C22" s="401" t="str">
        <f>'Pricing Schedule'!C49</f>
        <v>Prov. Sum</v>
      </c>
      <c r="D22" s="335">
        <v>1</v>
      </c>
      <c r="E22" s="389">
        <f t="shared" si="2"/>
        <v>1</v>
      </c>
      <c r="F22" s="490">
        <f>DATA!$AP$52</f>
        <v>0</v>
      </c>
      <c r="G22" s="634">
        <f>'Pg 4 P Sums'!K124-F22</f>
        <v>0</v>
      </c>
      <c r="H22" s="324">
        <f t="shared" si="3"/>
        <v>0</v>
      </c>
      <c r="I22" s="335">
        <f>'Pricing Schedule'!F49</f>
        <v>5000000</v>
      </c>
      <c r="J22" s="323">
        <f t="shared" si="4"/>
        <v>5000000</v>
      </c>
      <c r="K22" s="323">
        <f t="shared" si="5"/>
        <v>5000000</v>
      </c>
      <c r="L22" s="323">
        <f t="shared" si="6"/>
        <v>0</v>
      </c>
      <c r="M22" s="323">
        <f t="shared" si="7"/>
        <v>0</v>
      </c>
      <c r="N22" s="324">
        <f t="shared" si="8"/>
        <v>0</v>
      </c>
      <c r="Q22" s="762"/>
    </row>
    <row r="23" spans="1:17" ht="31.5" customHeight="1">
      <c r="A23" s="400" t="str">
        <f>'Pricing Schedule'!A50</f>
        <v>21.07 (d)</v>
      </c>
      <c r="B23" s="322" t="str">
        <f>'Pricing Schedule'!B50</f>
        <v>Hygiene</v>
      </c>
      <c r="C23" s="401" t="str">
        <f>'Pricing Schedule'!C50</f>
        <v>Prov. Sum</v>
      </c>
      <c r="D23" s="335">
        <v>1</v>
      </c>
      <c r="E23" s="389">
        <f t="shared" si="2"/>
        <v>1</v>
      </c>
      <c r="F23" s="490">
        <f>DATA!$AQ$52</f>
        <v>0</v>
      </c>
      <c r="G23" s="634">
        <f>'Pg 4 P Sums'!K156-F23</f>
        <v>0</v>
      </c>
      <c r="H23" s="324">
        <f t="shared" si="3"/>
        <v>0</v>
      </c>
      <c r="I23" s="335">
        <f>'Pricing Schedule'!F50</f>
        <v>3000000</v>
      </c>
      <c r="J23" s="323">
        <f t="shared" si="4"/>
        <v>3000000</v>
      </c>
      <c r="K23" s="323">
        <f t="shared" si="5"/>
        <v>3000000</v>
      </c>
      <c r="L23" s="323">
        <f t="shared" si="6"/>
        <v>0</v>
      </c>
      <c r="M23" s="323">
        <f t="shared" si="7"/>
        <v>0</v>
      </c>
      <c r="N23" s="324">
        <f t="shared" si="8"/>
        <v>0</v>
      </c>
      <c r="Q23" s="762"/>
    </row>
    <row r="24" spans="1:17" ht="31.5" customHeight="1">
      <c r="A24" s="400" t="str">
        <f>'Pricing Schedule'!A51</f>
        <v>21.07 (e)</v>
      </c>
      <c r="B24" s="322" t="str">
        <f>'Pricing Schedule'!B51</f>
        <v>Pest Control</v>
      </c>
      <c r="C24" s="401" t="str">
        <f>'Pricing Schedule'!C51</f>
        <v>Prov. Sum</v>
      </c>
      <c r="D24" s="335">
        <v>1</v>
      </c>
      <c r="E24" s="389">
        <f t="shared" si="2"/>
        <v>1</v>
      </c>
      <c r="F24" s="490">
        <f>DATA!$AR$52</f>
        <v>0</v>
      </c>
      <c r="G24" s="634">
        <f>'Pg 4 P Sums'!K187-F24</f>
        <v>0</v>
      </c>
      <c r="H24" s="324">
        <f t="shared" si="3"/>
        <v>0</v>
      </c>
      <c r="I24" s="335">
        <f>'Pricing Schedule'!F51</f>
        <v>500000</v>
      </c>
      <c r="J24" s="323">
        <f t="shared" si="4"/>
        <v>500000</v>
      </c>
      <c r="K24" s="323">
        <f t="shared" si="5"/>
        <v>500000</v>
      </c>
      <c r="L24" s="323">
        <f>F24*I24</f>
        <v>0</v>
      </c>
      <c r="M24" s="323">
        <f t="shared" si="7"/>
        <v>0</v>
      </c>
      <c r="N24" s="324">
        <f t="shared" si="8"/>
        <v>0</v>
      </c>
      <c r="Q24" s="762"/>
    </row>
    <row r="25" spans="1:17" ht="31.5" customHeight="1">
      <c r="A25" s="400" t="str">
        <f>'Pricing Schedule'!A52</f>
        <v>21.07 (f)</v>
      </c>
      <c r="B25" s="322" t="str">
        <f>'Pricing Schedule'!B52</f>
        <v>Water Supply &amp; Cups</v>
      </c>
      <c r="C25" s="401" t="str">
        <f>'Pricing Schedule'!C52</f>
        <v>Prov. Sum</v>
      </c>
      <c r="D25" s="335">
        <v>1</v>
      </c>
      <c r="E25" s="389">
        <f t="shared" si="2"/>
        <v>1</v>
      </c>
      <c r="F25" s="490">
        <f>DATA!$AS$52</f>
        <v>0</v>
      </c>
      <c r="G25" s="634">
        <f>'Pg 4 P Sums'!K218-F25</f>
        <v>0</v>
      </c>
      <c r="H25" s="324">
        <f t="shared" si="3"/>
        <v>0</v>
      </c>
      <c r="I25" s="335">
        <f>'Pricing Schedule'!F52</f>
        <v>250000</v>
      </c>
      <c r="J25" s="323">
        <f t="shared" si="4"/>
        <v>250000</v>
      </c>
      <c r="K25" s="323">
        <f t="shared" si="5"/>
        <v>250000</v>
      </c>
      <c r="L25" s="323">
        <f>F25*I25</f>
        <v>0</v>
      </c>
      <c r="M25" s="323">
        <f>G25*I25</f>
        <v>0</v>
      </c>
      <c r="N25" s="324">
        <f t="shared" si="8"/>
        <v>0</v>
      </c>
      <c r="Q25" s="762"/>
    </row>
    <row r="26" spans="1:17" ht="31.5" customHeight="1">
      <c r="A26" s="400" t="str">
        <f>'Pricing Schedule'!A53</f>
        <v>21.07 (g)</v>
      </c>
      <c r="B26" s="322" t="str">
        <f>'Pricing Schedule'!B53</f>
        <v>Elevator Maintenance</v>
      </c>
      <c r="C26" s="401" t="str">
        <f>'Pricing Schedule'!C53</f>
        <v>Prov. Sum</v>
      </c>
      <c r="D26" s="335">
        <v>1</v>
      </c>
      <c r="E26" s="389">
        <f t="shared" si="2"/>
        <v>1</v>
      </c>
      <c r="F26" s="490">
        <f>DATA!$AT$52</f>
        <v>0</v>
      </c>
      <c r="G26" s="634">
        <f>'Pg 4 P Sums'!K262-F26</f>
        <v>0</v>
      </c>
      <c r="H26" s="324">
        <f t="shared" si="3"/>
        <v>0</v>
      </c>
      <c r="I26" s="335">
        <f>'Pricing Schedule'!F53</f>
        <v>750000</v>
      </c>
      <c r="J26" s="323">
        <f t="shared" si="4"/>
        <v>750000</v>
      </c>
      <c r="K26" s="323">
        <f t="shared" si="5"/>
        <v>750000</v>
      </c>
      <c r="L26" s="323">
        <f t="shared" si="6"/>
        <v>0</v>
      </c>
      <c r="M26" s="323">
        <f t="shared" si="7"/>
        <v>0</v>
      </c>
      <c r="N26" s="324">
        <f t="shared" si="8"/>
        <v>0</v>
      </c>
      <c r="Q26" s="762"/>
    </row>
    <row r="27" spans="1:17" ht="31.5" customHeight="1">
      <c r="A27" s="400" t="str">
        <f>'Pricing Schedule'!A54</f>
        <v>21.07 (h)</v>
      </c>
      <c r="B27" s="322" t="str">
        <f>'Pricing Schedule'!B54</f>
        <v>Maintenance of Electric and Electronic Installations &amp; Generator</v>
      </c>
      <c r="C27" s="401" t="str">
        <f>'Pricing Schedule'!C54</f>
        <v>Prov. Sum</v>
      </c>
      <c r="D27" s="335">
        <v>1</v>
      </c>
      <c r="E27" s="389">
        <f t="shared" si="2"/>
        <v>1</v>
      </c>
      <c r="F27" s="490">
        <f>DATA!$AU$52</f>
        <v>0</v>
      </c>
      <c r="G27" s="634">
        <f>'Pg 4 P Sums'!K292-F27</f>
        <v>0</v>
      </c>
      <c r="H27" s="324">
        <f t="shared" si="3"/>
        <v>0</v>
      </c>
      <c r="I27" s="335">
        <f>'Pricing Schedule'!F54</f>
        <v>25000000</v>
      </c>
      <c r="J27" s="323">
        <f t="shared" si="4"/>
        <v>25000000</v>
      </c>
      <c r="K27" s="323">
        <f t="shared" si="5"/>
        <v>25000000</v>
      </c>
      <c r="L27" s="323">
        <f t="shared" si="6"/>
        <v>0</v>
      </c>
      <c r="M27" s="323">
        <f t="shared" si="7"/>
        <v>0</v>
      </c>
      <c r="N27" s="324">
        <f t="shared" si="8"/>
        <v>0</v>
      </c>
      <c r="Q27" s="762"/>
    </row>
    <row r="28" spans="1:17" ht="31.5" customHeight="1">
      <c r="A28" s="400" t="str">
        <f>'Pricing Schedule'!A55</f>
        <v>21.07 (i)</v>
      </c>
      <c r="B28" s="322" t="str">
        <f>'Pricing Schedule'!B55</f>
        <v>Heating, ventilation, air conditioning, BMS, rainwater harvesting and vacuum system control</v>
      </c>
      <c r="C28" s="401" t="str">
        <f>'Pricing Schedule'!C55</f>
        <v>Prov. Sum</v>
      </c>
      <c r="D28" s="335">
        <v>1</v>
      </c>
      <c r="E28" s="389">
        <f t="shared" si="2"/>
        <v>1</v>
      </c>
      <c r="F28" s="490">
        <f>DATA!$AV$52</f>
        <v>0</v>
      </c>
      <c r="G28" s="634">
        <f>'Pg 4 P Sums'!K325-F28</f>
        <v>0</v>
      </c>
      <c r="H28" s="324">
        <f t="shared" si="3"/>
        <v>0</v>
      </c>
      <c r="I28" s="335">
        <f>'Pricing Schedule'!F55</f>
        <v>3500000</v>
      </c>
      <c r="J28" s="323">
        <f t="shared" si="4"/>
        <v>3500000</v>
      </c>
      <c r="K28" s="323">
        <f t="shared" si="5"/>
        <v>3500000</v>
      </c>
      <c r="L28" s="323">
        <f t="shared" si="6"/>
        <v>0</v>
      </c>
      <c r="M28" s="323">
        <f t="shared" si="7"/>
        <v>0</v>
      </c>
      <c r="N28" s="324">
        <f t="shared" si="8"/>
        <v>0</v>
      </c>
      <c r="Q28" s="762"/>
    </row>
    <row r="29" spans="1:17" ht="31.5" customHeight="1">
      <c r="A29" s="400" t="str">
        <f>'Pricing Schedule'!A56</f>
        <v>21.07 (j)</v>
      </c>
      <c r="B29" s="322" t="str">
        <f>'Pricing Schedule'!B56</f>
        <v>Armed Response</v>
      </c>
      <c r="C29" s="401" t="str">
        <f>'Pricing Schedule'!C56</f>
        <v>Prov. Sum</v>
      </c>
      <c r="D29" s="335">
        <v>1</v>
      </c>
      <c r="E29" s="389">
        <f t="shared" si="2"/>
        <v>1</v>
      </c>
      <c r="F29" s="490">
        <f>DATA!$AW$52</f>
        <v>0</v>
      </c>
      <c r="G29" s="634">
        <f>'Pg 4 P Sums'!K357-F29</f>
        <v>0</v>
      </c>
      <c r="H29" s="324">
        <f t="shared" si="3"/>
        <v>0</v>
      </c>
      <c r="I29" s="335">
        <f>'Pricing Schedule'!F56</f>
        <v>250000</v>
      </c>
      <c r="J29" s="323">
        <f t="shared" si="4"/>
        <v>250000</v>
      </c>
      <c r="K29" s="323">
        <f t="shared" si="5"/>
        <v>250000</v>
      </c>
      <c r="L29" s="323">
        <f t="shared" si="6"/>
        <v>0</v>
      </c>
      <c r="M29" s="323">
        <f t="shared" si="7"/>
        <v>0</v>
      </c>
      <c r="N29" s="324">
        <f t="shared" si="8"/>
        <v>0</v>
      </c>
      <c r="Q29" s="762"/>
    </row>
    <row r="30" spans="1:17" ht="31.5" customHeight="1">
      <c r="A30" s="400" t="str">
        <f>'Pricing Schedule'!A57</f>
        <v>21.07 (k)</v>
      </c>
      <c r="B30" s="322" t="str">
        <f>'Pricing Schedule'!B57</f>
        <v>Landscaping and irrigation</v>
      </c>
      <c r="C30" s="401" t="str">
        <f>'Pricing Schedule'!C57</f>
        <v>Prov. Sum</v>
      </c>
      <c r="D30" s="335">
        <v>1</v>
      </c>
      <c r="E30" s="389">
        <f t="shared" si="2"/>
        <v>1</v>
      </c>
      <c r="F30" s="490">
        <f>DATA!$AX$52</f>
        <v>0</v>
      </c>
      <c r="G30" s="634">
        <f>'Pg 4 P Sums'!K391-F30</f>
        <v>0</v>
      </c>
      <c r="H30" s="324">
        <f t="shared" si="3"/>
        <v>0</v>
      </c>
      <c r="I30" s="335">
        <f>'Pricing Schedule'!F57</f>
        <v>3000000</v>
      </c>
      <c r="J30" s="323">
        <f t="shared" si="4"/>
        <v>3000000</v>
      </c>
      <c r="K30" s="323">
        <f t="shared" si="5"/>
        <v>3000000</v>
      </c>
      <c r="L30" s="323">
        <f t="shared" si="6"/>
        <v>0</v>
      </c>
      <c r="M30" s="323">
        <f t="shared" si="7"/>
        <v>0</v>
      </c>
      <c r="N30" s="324">
        <f t="shared" si="8"/>
        <v>0</v>
      </c>
      <c r="Q30" s="762"/>
    </row>
    <row r="31" spans="1:17" ht="31.5" customHeight="1">
      <c r="A31" s="400">
        <f>'Pricing Schedule'!A62</f>
        <v>21.08</v>
      </c>
      <c r="B31" s="322" t="str">
        <f>'Pricing Schedule'!B62</f>
        <v>Third Party assistance</v>
      </c>
      <c r="C31" s="401" t="str">
        <f>'Pricing Schedule'!C62</f>
        <v>PC Sum</v>
      </c>
      <c r="D31" s="335">
        <v>1</v>
      </c>
      <c r="E31" s="389">
        <f t="shared" si="2"/>
        <v>1</v>
      </c>
      <c r="F31" s="490">
        <f>DATA!$AY$52</f>
        <v>0</v>
      </c>
      <c r="G31" s="634">
        <f>'Pg 4 P Sums'!K423-F31</f>
        <v>0</v>
      </c>
      <c r="H31" s="324">
        <f t="shared" si="3"/>
        <v>0</v>
      </c>
      <c r="I31" s="335">
        <f>'Pricing Schedule'!F62</f>
        <v>600000</v>
      </c>
      <c r="J31" s="323">
        <f t="shared" si="4"/>
        <v>600000</v>
      </c>
      <c r="K31" s="323">
        <f t="shared" si="5"/>
        <v>600000</v>
      </c>
      <c r="L31" s="323">
        <f t="shared" si="6"/>
        <v>0</v>
      </c>
      <c r="M31" s="323">
        <f t="shared" si="7"/>
        <v>0</v>
      </c>
      <c r="N31" s="324">
        <f t="shared" si="8"/>
        <v>0</v>
      </c>
      <c r="Q31" s="762"/>
    </row>
    <row r="32" spans="1:17" ht="31.5" customHeight="1" thickBot="1">
      <c r="A32" s="454">
        <f>'Pricing Schedule'!A63</f>
        <v>21.09</v>
      </c>
      <c r="B32" s="322" t="str">
        <f>'Pricing Schedule'!B63</f>
        <v>Subcontract supervision and administration</v>
      </c>
      <c r="C32" s="401" t="str">
        <f>'Pricing Schedule'!C63</f>
        <v>Month</v>
      </c>
      <c r="D32" s="335">
        <f>'Pricing Schedule'!D63</f>
        <v>60</v>
      </c>
      <c r="E32" s="389">
        <f t="shared" si="2"/>
        <v>60</v>
      </c>
      <c r="F32" s="490">
        <f>DATA!$AZ$52</f>
        <v>0</v>
      </c>
      <c r="G32" s="389"/>
      <c r="H32" s="324">
        <f t="shared" si="3"/>
        <v>0</v>
      </c>
      <c r="I32" s="402">
        <f>'Pricing Schedule'!E63</f>
        <v>0</v>
      </c>
      <c r="J32" s="323">
        <f>D32*I32</f>
        <v>0</v>
      </c>
      <c r="K32" s="323">
        <f t="shared" si="5"/>
        <v>0</v>
      </c>
      <c r="L32" s="323">
        <f t="shared" si="6"/>
        <v>0</v>
      </c>
      <c r="M32" s="323">
        <f>G32*I32</f>
        <v>0</v>
      </c>
      <c r="N32" s="324">
        <f t="shared" si="8"/>
        <v>0</v>
      </c>
      <c r="Q32" s="762"/>
    </row>
    <row r="33" spans="1:17" ht="31.5" customHeight="1" thickBot="1">
      <c r="A33" s="1291" t="s">
        <v>283</v>
      </c>
      <c r="B33" s="1292"/>
      <c r="C33" s="1293"/>
      <c r="D33" s="383"/>
      <c r="E33" s="384"/>
      <c r="F33" s="384"/>
      <c r="G33" s="384"/>
      <c r="H33" s="385"/>
      <c r="I33" s="383"/>
      <c r="J33" s="387">
        <f>SUM(J8:J32)</f>
        <v>52450000</v>
      </c>
      <c r="K33" s="387">
        <f>SUM(K8:K32)</f>
        <v>52450000</v>
      </c>
      <c r="L33" s="387">
        <f>SUM(L8:L32)</f>
        <v>0</v>
      </c>
      <c r="M33" s="387">
        <f>SUM(M8:M32)</f>
        <v>0</v>
      </c>
      <c r="N33" s="388">
        <f>SUM(N8:N32)</f>
        <v>0</v>
      </c>
      <c r="Q33" s="762"/>
    </row>
    <row r="36" spans="1:17" ht="30.9" customHeight="1">
      <c r="A36" s="456" t="s">
        <v>329</v>
      </c>
      <c r="B36" s="456"/>
      <c r="J36" s="404">
        <f>J8+J9+J10+J12+J13+J17+J18+J32</f>
        <v>0</v>
      </c>
      <c r="K36" s="404">
        <f t="shared" ref="K36:N36" si="9">K8+K9+K10+K12+K13+K17+K18+K32</f>
        <v>0</v>
      </c>
      <c r="L36" s="404">
        <f t="shared" si="9"/>
        <v>0</v>
      </c>
      <c r="M36" s="404">
        <f t="shared" si="9"/>
        <v>0</v>
      </c>
      <c r="N36" s="404">
        <f t="shared" si="9"/>
        <v>0</v>
      </c>
    </row>
    <row r="37" spans="1:17" ht="30.9" customHeight="1">
      <c r="A37" s="316" t="s">
        <v>331</v>
      </c>
      <c r="J37" s="404">
        <f>J14+J15+J20+J21+J22+J23+J24+J25+J26+J27+J28+J29+J30+J31</f>
        <v>52450000</v>
      </c>
      <c r="K37" s="404">
        <f t="shared" ref="K37:N37" si="10">K14+K15+K20+K21+K22+K23+K24+K25+K26+K27+K28+K29+K30+K31</f>
        <v>52450000</v>
      </c>
      <c r="L37" s="404">
        <f t="shared" si="10"/>
        <v>0</v>
      </c>
      <c r="M37" s="404">
        <f t="shared" si="10"/>
        <v>0</v>
      </c>
      <c r="N37" s="404">
        <f t="shared" si="10"/>
        <v>0</v>
      </c>
    </row>
    <row r="38" spans="1:17" ht="30.9" customHeight="1" thickBot="1">
      <c r="A38" s="316" t="s">
        <v>330</v>
      </c>
      <c r="J38" s="455">
        <f>SUM(J36:J37)</f>
        <v>52450000</v>
      </c>
      <c r="K38" s="455">
        <f t="shared" ref="K38:N38" si="11">SUM(K36:K37)</f>
        <v>52450000</v>
      </c>
      <c r="L38" s="455">
        <f t="shared" si="11"/>
        <v>0</v>
      </c>
      <c r="M38" s="455">
        <f t="shared" si="11"/>
        <v>0</v>
      </c>
      <c r="N38" s="455">
        <f t="shared" si="11"/>
        <v>0</v>
      </c>
    </row>
    <row r="39" spans="1:17" ht="13.8" thickTop="1"/>
  </sheetData>
  <mergeCells count="10">
    <mergeCell ref="A33:C33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conditionalFormatting sqref="H8">
    <cfRule type="expression" dxfId="30" priority="15">
      <formula>H8&gt;E8</formula>
    </cfRule>
  </conditionalFormatting>
  <conditionalFormatting sqref="H14">
    <cfRule type="expression" dxfId="29" priority="14">
      <formula>H14&gt;E14</formula>
    </cfRule>
  </conditionalFormatting>
  <conditionalFormatting sqref="H15">
    <cfRule type="containsText" dxfId="28" priority="13" operator="containsText" text="ERROR">
      <formula>NOT(ISERROR(SEARCH("ERROR",H15)))</formula>
    </cfRule>
  </conditionalFormatting>
  <conditionalFormatting sqref="H20">
    <cfRule type="expression" dxfId="27" priority="12">
      <formula>H20&gt;E20</formula>
    </cfRule>
  </conditionalFormatting>
  <conditionalFormatting sqref="H21">
    <cfRule type="expression" dxfId="26" priority="11">
      <formula>H21&gt;E21</formula>
    </cfRule>
  </conditionalFormatting>
  <conditionalFormatting sqref="H22">
    <cfRule type="expression" dxfId="25" priority="10">
      <formula>H22&gt;E22</formula>
    </cfRule>
  </conditionalFormatting>
  <conditionalFormatting sqref="H23">
    <cfRule type="expression" dxfId="24" priority="9">
      <formula>H23&gt;E23</formula>
    </cfRule>
  </conditionalFormatting>
  <conditionalFormatting sqref="H24">
    <cfRule type="expression" dxfId="23" priority="8">
      <formula>H24&gt;E24</formula>
    </cfRule>
  </conditionalFormatting>
  <conditionalFormatting sqref="H25">
    <cfRule type="expression" dxfId="22" priority="7">
      <formula>H25&gt;E25</formula>
    </cfRule>
  </conditionalFormatting>
  <conditionalFormatting sqref="H26">
    <cfRule type="expression" dxfId="21" priority="6">
      <formula>H26&gt;E26</formula>
    </cfRule>
  </conditionalFormatting>
  <conditionalFormatting sqref="H27">
    <cfRule type="expression" dxfId="20" priority="5">
      <formula>H27&gt;E27</formula>
    </cfRule>
  </conditionalFormatting>
  <conditionalFormatting sqref="H28">
    <cfRule type="expression" dxfId="19" priority="4">
      <formula>H28&gt;E28</formula>
    </cfRule>
  </conditionalFormatting>
  <conditionalFormatting sqref="H29">
    <cfRule type="expression" dxfId="18" priority="3">
      <formula>H29&gt;E29</formula>
    </cfRule>
  </conditionalFormatting>
  <conditionalFormatting sqref="H30">
    <cfRule type="expression" dxfId="17" priority="2">
      <formula>H30&gt;E30</formula>
    </cfRule>
  </conditionalFormatting>
  <conditionalFormatting sqref="H31">
    <cfRule type="expression" dxfId="16" priority="1">
      <formula>H31&gt;E31</formula>
    </cfRule>
  </conditionalFormatting>
  <dataValidations count="1">
    <dataValidation type="decimal" operator="lessThanOrEqual" allowBlank="1" showInputMessage="1" showErrorMessage="1" sqref="H15" xr:uid="{00000000-0002-0000-1300-000000000000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41">
    <tabColor rgb="FF0070C0"/>
    <pageSetUpPr fitToPage="1"/>
  </sheetPr>
  <dimension ref="A1:N20"/>
  <sheetViews>
    <sheetView zoomScaleNormal="100" workbookViewId="0">
      <selection activeCell="M43" sqref="M43"/>
    </sheetView>
  </sheetViews>
  <sheetFormatPr defaultRowHeight="13.2"/>
  <cols>
    <col min="1" max="1" width="9.109375" style="316"/>
    <col min="2" max="2" width="36.88671875" style="316" customWidth="1"/>
    <col min="3" max="3" width="19.5546875" style="316" customWidth="1"/>
    <col min="4" max="8" width="11.6640625" style="316" customWidth="1"/>
    <col min="9" max="9" width="12.33203125" style="316" bestFit="1" customWidth="1"/>
    <col min="10" max="11" width="12.88671875" style="316" bestFit="1" customWidth="1"/>
    <col min="12" max="12" width="12.44140625" style="316" customWidth="1"/>
    <col min="13" max="13" width="11.33203125" style="316" customWidth="1"/>
    <col min="14" max="14" width="11.6640625" style="316" bestFit="1" customWidth="1"/>
    <col min="15" max="257" width="9.109375" style="316"/>
    <col min="258" max="258" width="21.5546875" style="316" customWidth="1"/>
    <col min="259" max="259" width="9.109375" style="316"/>
    <col min="260" max="261" width="10.109375" style="316" bestFit="1" customWidth="1"/>
    <col min="262" max="262" width="9.109375" style="316"/>
    <col min="263" max="264" width="9.33203125" style="316" bestFit="1" customWidth="1"/>
    <col min="265" max="265" width="9.109375" style="316"/>
    <col min="266" max="267" width="11.6640625" style="316" bestFit="1" customWidth="1"/>
    <col min="268" max="270" width="10.109375" style="316" bestFit="1" customWidth="1"/>
    <col min="271" max="513" width="9.109375" style="316"/>
    <col min="514" max="514" width="21.5546875" style="316" customWidth="1"/>
    <col min="515" max="515" width="9.109375" style="316"/>
    <col min="516" max="517" width="10.109375" style="316" bestFit="1" customWidth="1"/>
    <col min="518" max="518" width="9.109375" style="316"/>
    <col min="519" max="520" width="9.33203125" style="316" bestFit="1" customWidth="1"/>
    <col min="521" max="521" width="9.109375" style="316"/>
    <col min="522" max="523" width="11.6640625" style="316" bestFit="1" customWidth="1"/>
    <col min="524" max="526" width="10.109375" style="316" bestFit="1" customWidth="1"/>
    <col min="527" max="769" width="9.109375" style="316"/>
    <col min="770" max="770" width="21.5546875" style="316" customWidth="1"/>
    <col min="771" max="771" width="9.109375" style="316"/>
    <col min="772" max="773" width="10.109375" style="316" bestFit="1" customWidth="1"/>
    <col min="774" max="774" width="9.109375" style="316"/>
    <col min="775" max="776" width="9.33203125" style="316" bestFit="1" customWidth="1"/>
    <col min="777" max="777" width="9.109375" style="316"/>
    <col min="778" max="779" width="11.6640625" style="316" bestFit="1" customWidth="1"/>
    <col min="780" max="782" width="10.109375" style="316" bestFit="1" customWidth="1"/>
    <col min="783" max="1025" width="9.109375" style="316"/>
    <col min="1026" max="1026" width="21.5546875" style="316" customWidth="1"/>
    <col min="1027" max="1027" width="9.109375" style="316"/>
    <col min="1028" max="1029" width="10.109375" style="316" bestFit="1" customWidth="1"/>
    <col min="1030" max="1030" width="9.109375" style="316"/>
    <col min="1031" max="1032" width="9.33203125" style="316" bestFit="1" customWidth="1"/>
    <col min="1033" max="1033" width="9.109375" style="316"/>
    <col min="1034" max="1035" width="11.6640625" style="316" bestFit="1" customWidth="1"/>
    <col min="1036" max="1038" width="10.109375" style="316" bestFit="1" customWidth="1"/>
    <col min="1039" max="1281" width="9.109375" style="316"/>
    <col min="1282" max="1282" width="21.5546875" style="316" customWidth="1"/>
    <col min="1283" max="1283" width="9.109375" style="316"/>
    <col min="1284" max="1285" width="10.109375" style="316" bestFit="1" customWidth="1"/>
    <col min="1286" max="1286" width="9.109375" style="316"/>
    <col min="1287" max="1288" width="9.33203125" style="316" bestFit="1" customWidth="1"/>
    <col min="1289" max="1289" width="9.109375" style="316"/>
    <col min="1290" max="1291" width="11.6640625" style="316" bestFit="1" customWidth="1"/>
    <col min="1292" max="1294" width="10.109375" style="316" bestFit="1" customWidth="1"/>
    <col min="1295" max="1537" width="9.109375" style="316"/>
    <col min="1538" max="1538" width="21.5546875" style="316" customWidth="1"/>
    <col min="1539" max="1539" width="9.109375" style="316"/>
    <col min="1540" max="1541" width="10.109375" style="316" bestFit="1" customWidth="1"/>
    <col min="1542" max="1542" width="9.109375" style="316"/>
    <col min="1543" max="1544" width="9.33203125" style="316" bestFit="1" customWidth="1"/>
    <col min="1545" max="1545" width="9.109375" style="316"/>
    <col min="1546" max="1547" width="11.6640625" style="316" bestFit="1" customWidth="1"/>
    <col min="1548" max="1550" width="10.109375" style="316" bestFit="1" customWidth="1"/>
    <col min="1551" max="1793" width="9.109375" style="316"/>
    <col min="1794" max="1794" width="21.5546875" style="316" customWidth="1"/>
    <col min="1795" max="1795" width="9.109375" style="316"/>
    <col min="1796" max="1797" width="10.109375" style="316" bestFit="1" customWidth="1"/>
    <col min="1798" max="1798" width="9.109375" style="316"/>
    <col min="1799" max="1800" width="9.33203125" style="316" bestFit="1" customWidth="1"/>
    <col min="1801" max="1801" width="9.109375" style="316"/>
    <col min="1802" max="1803" width="11.6640625" style="316" bestFit="1" customWidth="1"/>
    <col min="1804" max="1806" width="10.109375" style="316" bestFit="1" customWidth="1"/>
    <col min="1807" max="2049" width="9.109375" style="316"/>
    <col min="2050" max="2050" width="21.5546875" style="316" customWidth="1"/>
    <col min="2051" max="2051" width="9.109375" style="316"/>
    <col min="2052" max="2053" width="10.109375" style="316" bestFit="1" customWidth="1"/>
    <col min="2054" max="2054" width="9.109375" style="316"/>
    <col min="2055" max="2056" width="9.33203125" style="316" bestFit="1" customWidth="1"/>
    <col min="2057" max="2057" width="9.109375" style="316"/>
    <col min="2058" max="2059" width="11.6640625" style="316" bestFit="1" customWidth="1"/>
    <col min="2060" max="2062" width="10.109375" style="316" bestFit="1" customWidth="1"/>
    <col min="2063" max="2305" width="9.109375" style="316"/>
    <col min="2306" max="2306" width="21.5546875" style="316" customWidth="1"/>
    <col min="2307" max="2307" width="9.109375" style="316"/>
    <col min="2308" max="2309" width="10.109375" style="316" bestFit="1" customWidth="1"/>
    <col min="2310" max="2310" width="9.109375" style="316"/>
    <col min="2311" max="2312" width="9.33203125" style="316" bestFit="1" customWidth="1"/>
    <col min="2313" max="2313" width="9.109375" style="316"/>
    <col min="2314" max="2315" width="11.6640625" style="316" bestFit="1" customWidth="1"/>
    <col min="2316" max="2318" width="10.109375" style="316" bestFit="1" customWidth="1"/>
    <col min="2319" max="2561" width="9.109375" style="316"/>
    <col min="2562" max="2562" width="21.5546875" style="316" customWidth="1"/>
    <col min="2563" max="2563" width="9.109375" style="316"/>
    <col min="2564" max="2565" width="10.109375" style="316" bestFit="1" customWidth="1"/>
    <col min="2566" max="2566" width="9.109375" style="316"/>
    <col min="2567" max="2568" width="9.33203125" style="316" bestFit="1" customWidth="1"/>
    <col min="2569" max="2569" width="9.109375" style="316"/>
    <col min="2570" max="2571" width="11.6640625" style="316" bestFit="1" customWidth="1"/>
    <col min="2572" max="2574" width="10.109375" style="316" bestFit="1" customWidth="1"/>
    <col min="2575" max="2817" width="9.109375" style="316"/>
    <col min="2818" max="2818" width="21.5546875" style="316" customWidth="1"/>
    <col min="2819" max="2819" width="9.109375" style="316"/>
    <col min="2820" max="2821" width="10.109375" style="316" bestFit="1" customWidth="1"/>
    <col min="2822" max="2822" width="9.109375" style="316"/>
    <col min="2823" max="2824" width="9.33203125" style="316" bestFit="1" customWidth="1"/>
    <col min="2825" max="2825" width="9.109375" style="316"/>
    <col min="2826" max="2827" width="11.6640625" style="316" bestFit="1" customWidth="1"/>
    <col min="2828" max="2830" width="10.109375" style="316" bestFit="1" customWidth="1"/>
    <col min="2831" max="3073" width="9.109375" style="316"/>
    <col min="3074" max="3074" width="21.5546875" style="316" customWidth="1"/>
    <col min="3075" max="3075" width="9.109375" style="316"/>
    <col min="3076" max="3077" width="10.109375" style="316" bestFit="1" customWidth="1"/>
    <col min="3078" max="3078" width="9.109375" style="316"/>
    <col min="3079" max="3080" width="9.33203125" style="316" bestFit="1" customWidth="1"/>
    <col min="3081" max="3081" width="9.109375" style="316"/>
    <col min="3082" max="3083" width="11.6640625" style="316" bestFit="1" customWidth="1"/>
    <col min="3084" max="3086" width="10.109375" style="316" bestFit="1" customWidth="1"/>
    <col min="3087" max="3329" width="9.109375" style="316"/>
    <col min="3330" max="3330" width="21.5546875" style="316" customWidth="1"/>
    <col min="3331" max="3331" width="9.109375" style="316"/>
    <col min="3332" max="3333" width="10.109375" style="316" bestFit="1" customWidth="1"/>
    <col min="3334" max="3334" width="9.109375" style="316"/>
    <col min="3335" max="3336" width="9.33203125" style="316" bestFit="1" customWidth="1"/>
    <col min="3337" max="3337" width="9.109375" style="316"/>
    <col min="3338" max="3339" width="11.6640625" style="316" bestFit="1" customWidth="1"/>
    <col min="3340" max="3342" width="10.109375" style="316" bestFit="1" customWidth="1"/>
    <col min="3343" max="3585" width="9.109375" style="316"/>
    <col min="3586" max="3586" width="21.5546875" style="316" customWidth="1"/>
    <col min="3587" max="3587" width="9.109375" style="316"/>
    <col min="3588" max="3589" width="10.109375" style="316" bestFit="1" customWidth="1"/>
    <col min="3590" max="3590" width="9.109375" style="316"/>
    <col min="3591" max="3592" width="9.33203125" style="316" bestFit="1" customWidth="1"/>
    <col min="3593" max="3593" width="9.109375" style="316"/>
    <col min="3594" max="3595" width="11.6640625" style="316" bestFit="1" customWidth="1"/>
    <col min="3596" max="3598" width="10.109375" style="316" bestFit="1" customWidth="1"/>
    <col min="3599" max="3841" width="9.109375" style="316"/>
    <col min="3842" max="3842" width="21.5546875" style="316" customWidth="1"/>
    <col min="3843" max="3843" width="9.109375" style="316"/>
    <col min="3844" max="3845" width="10.109375" style="316" bestFit="1" customWidth="1"/>
    <col min="3846" max="3846" width="9.109375" style="316"/>
    <col min="3847" max="3848" width="9.33203125" style="316" bestFit="1" customWidth="1"/>
    <col min="3849" max="3849" width="9.109375" style="316"/>
    <col min="3850" max="3851" width="11.6640625" style="316" bestFit="1" customWidth="1"/>
    <col min="3852" max="3854" width="10.109375" style="316" bestFit="1" customWidth="1"/>
    <col min="3855" max="4097" width="9.109375" style="316"/>
    <col min="4098" max="4098" width="21.5546875" style="316" customWidth="1"/>
    <col min="4099" max="4099" width="9.109375" style="316"/>
    <col min="4100" max="4101" width="10.109375" style="316" bestFit="1" customWidth="1"/>
    <col min="4102" max="4102" width="9.109375" style="316"/>
    <col min="4103" max="4104" width="9.33203125" style="316" bestFit="1" customWidth="1"/>
    <col min="4105" max="4105" width="9.109375" style="316"/>
    <col min="4106" max="4107" width="11.6640625" style="316" bestFit="1" customWidth="1"/>
    <col min="4108" max="4110" width="10.109375" style="316" bestFit="1" customWidth="1"/>
    <col min="4111" max="4353" width="9.109375" style="316"/>
    <col min="4354" max="4354" width="21.5546875" style="316" customWidth="1"/>
    <col min="4355" max="4355" width="9.109375" style="316"/>
    <col min="4356" max="4357" width="10.109375" style="316" bestFit="1" customWidth="1"/>
    <col min="4358" max="4358" width="9.109375" style="316"/>
    <col min="4359" max="4360" width="9.33203125" style="316" bestFit="1" customWidth="1"/>
    <col min="4361" max="4361" width="9.109375" style="316"/>
    <col min="4362" max="4363" width="11.6640625" style="316" bestFit="1" customWidth="1"/>
    <col min="4364" max="4366" width="10.109375" style="316" bestFit="1" customWidth="1"/>
    <col min="4367" max="4609" width="9.109375" style="316"/>
    <col min="4610" max="4610" width="21.5546875" style="316" customWidth="1"/>
    <col min="4611" max="4611" width="9.109375" style="316"/>
    <col min="4612" max="4613" width="10.109375" style="316" bestFit="1" customWidth="1"/>
    <col min="4614" max="4614" width="9.109375" style="316"/>
    <col min="4615" max="4616" width="9.33203125" style="316" bestFit="1" customWidth="1"/>
    <col min="4617" max="4617" width="9.109375" style="316"/>
    <col min="4618" max="4619" width="11.6640625" style="316" bestFit="1" customWidth="1"/>
    <col min="4620" max="4622" width="10.109375" style="316" bestFit="1" customWidth="1"/>
    <col min="4623" max="4865" width="9.109375" style="316"/>
    <col min="4866" max="4866" width="21.5546875" style="316" customWidth="1"/>
    <col min="4867" max="4867" width="9.109375" style="316"/>
    <col min="4868" max="4869" width="10.109375" style="316" bestFit="1" customWidth="1"/>
    <col min="4870" max="4870" width="9.109375" style="316"/>
    <col min="4871" max="4872" width="9.33203125" style="316" bestFit="1" customWidth="1"/>
    <col min="4873" max="4873" width="9.109375" style="316"/>
    <col min="4874" max="4875" width="11.6640625" style="316" bestFit="1" customWidth="1"/>
    <col min="4876" max="4878" width="10.109375" style="316" bestFit="1" customWidth="1"/>
    <col min="4879" max="5121" width="9.109375" style="316"/>
    <col min="5122" max="5122" width="21.5546875" style="316" customWidth="1"/>
    <col min="5123" max="5123" width="9.109375" style="316"/>
    <col min="5124" max="5125" width="10.109375" style="316" bestFit="1" customWidth="1"/>
    <col min="5126" max="5126" width="9.109375" style="316"/>
    <col min="5127" max="5128" width="9.33203125" style="316" bestFit="1" customWidth="1"/>
    <col min="5129" max="5129" width="9.109375" style="316"/>
    <col min="5130" max="5131" width="11.6640625" style="316" bestFit="1" customWidth="1"/>
    <col min="5132" max="5134" width="10.109375" style="316" bestFit="1" customWidth="1"/>
    <col min="5135" max="5377" width="9.109375" style="316"/>
    <col min="5378" max="5378" width="21.5546875" style="316" customWidth="1"/>
    <col min="5379" max="5379" width="9.109375" style="316"/>
    <col min="5380" max="5381" width="10.109375" style="316" bestFit="1" customWidth="1"/>
    <col min="5382" max="5382" width="9.109375" style="316"/>
    <col min="5383" max="5384" width="9.33203125" style="316" bestFit="1" customWidth="1"/>
    <col min="5385" max="5385" width="9.109375" style="316"/>
    <col min="5386" max="5387" width="11.6640625" style="316" bestFit="1" customWidth="1"/>
    <col min="5388" max="5390" width="10.109375" style="316" bestFit="1" customWidth="1"/>
    <col min="5391" max="5633" width="9.109375" style="316"/>
    <col min="5634" max="5634" width="21.5546875" style="316" customWidth="1"/>
    <col min="5635" max="5635" width="9.109375" style="316"/>
    <col min="5636" max="5637" width="10.109375" style="316" bestFit="1" customWidth="1"/>
    <col min="5638" max="5638" width="9.109375" style="316"/>
    <col min="5639" max="5640" width="9.33203125" style="316" bestFit="1" customWidth="1"/>
    <col min="5641" max="5641" width="9.109375" style="316"/>
    <col min="5642" max="5643" width="11.6640625" style="316" bestFit="1" customWidth="1"/>
    <col min="5644" max="5646" width="10.109375" style="316" bestFit="1" customWidth="1"/>
    <col min="5647" max="5889" width="9.109375" style="316"/>
    <col min="5890" max="5890" width="21.5546875" style="316" customWidth="1"/>
    <col min="5891" max="5891" width="9.109375" style="316"/>
    <col min="5892" max="5893" width="10.109375" style="316" bestFit="1" customWidth="1"/>
    <col min="5894" max="5894" width="9.109375" style="316"/>
    <col min="5895" max="5896" width="9.33203125" style="316" bestFit="1" customWidth="1"/>
    <col min="5897" max="5897" width="9.109375" style="316"/>
    <col min="5898" max="5899" width="11.6640625" style="316" bestFit="1" customWidth="1"/>
    <col min="5900" max="5902" width="10.109375" style="316" bestFit="1" customWidth="1"/>
    <col min="5903" max="6145" width="9.109375" style="316"/>
    <col min="6146" max="6146" width="21.5546875" style="316" customWidth="1"/>
    <col min="6147" max="6147" width="9.109375" style="316"/>
    <col min="6148" max="6149" width="10.109375" style="316" bestFit="1" customWidth="1"/>
    <col min="6150" max="6150" width="9.109375" style="316"/>
    <col min="6151" max="6152" width="9.33203125" style="316" bestFit="1" customWidth="1"/>
    <col min="6153" max="6153" width="9.109375" style="316"/>
    <col min="6154" max="6155" width="11.6640625" style="316" bestFit="1" customWidth="1"/>
    <col min="6156" max="6158" width="10.109375" style="316" bestFit="1" customWidth="1"/>
    <col min="6159" max="6401" width="9.109375" style="316"/>
    <col min="6402" max="6402" width="21.5546875" style="316" customWidth="1"/>
    <col min="6403" max="6403" width="9.109375" style="316"/>
    <col min="6404" max="6405" width="10.109375" style="316" bestFit="1" customWidth="1"/>
    <col min="6406" max="6406" width="9.109375" style="316"/>
    <col min="6407" max="6408" width="9.33203125" style="316" bestFit="1" customWidth="1"/>
    <col min="6409" max="6409" width="9.109375" style="316"/>
    <col min="6410" max="6411" width="11.6640625" style="316" bestFit="1" customWidth="1"/>
    <col min="6412" max="6414" width="10.109375" style="316" bestFit="1" customWidth="1"/>
    <col min="6415" max="6657" width="9.109375" style="316"/>
    <col min="6658" max="6658" width="21.5546875" style="316" customWidth="1"/>
    <col min="6659" max="6659" width="9.109375" style="316"/>
    <col min="6660" max="6661" width="10.109375" style="316" bestFit="1" customWidth="1"/>
    <col min="6662" max="6662" width="9.109375" style="316"/>
    <col min="6663" max="6664" width="9.33203125" style="316" bestFit="1" customWidth="1"/>
    <col min="6665" max="6665" width="9.109375" style="316"/>
    <col min="6666" max="6667" width="11.6640625" style="316" bestFit="1" customWidth="1"/>
    <col min="6668" max="6670" width="10.109375" style="316" bestFit="1" customWidth="1"/>
    <col min="6671" max="6913" width="9.109375" style="316"/>
    <col min="6914" max="6914" width="21.5546875" style="316" customWidth="1"/>
    <col min="6915" max="6915" width="9.109375" style="316"/>
    <col min="6916" max="6917" width="10.109375" style="316" bestFit="1" customWidth="1"/>
    <col min="6918" max="6918" width="9.109375" style="316"/>
    <col min="6919" max="6920" width="9.33203125" style="316" bestFit="1" customWidth="1"/>
    <col min="6921" max="6921" width="9.109375" style="316"/>
    <col min="6922" max="6923" width="11.6640625" style="316" bestFit="1" customWidth="1"/>
    <col min="6924" max="6926" width="10.109375" style="316" bestFit="1" customWidth="1"/>
    <col min="6927" max="7169" width="9.109375" style="316"/>
    <col min="7170" max="7170" width="21.5546875" style="316" customWidth="1"/>
    <col min="7171" max="7171" width="9.109375" style="316"/>
    <col min="7172" max="7173" width="10.109375" style="316" bestFit="1" customWidth="1"/>
    <col min="7174" max="7174" width="9.109375" style="316"/>
    <col min="7175" max="7176" width="9.33203125" style="316" bestFit="1" customWidth="1"/>
    <col min="7177" max="7177" width="9.109375" style="316"/>
    <col min="7178" max="7179" width="11.6640625" style="316" bestFit="1" customWidth="1"/>
    <col min="7180" max="7182" width="10.109375" style="316" bestFit="1" customWidth="1"/>
    <col min="7183" max="7425" width="9.109375" style="316"/>
    <col min="7426" max="7426" width="21.5546875" style="316" customWidth="1"/>
    <col min="7427" max="7427" width="9.109375" style="316"/>
    <col min="7428" max="7429" width="10.109375" style="316" bestFit="1" customWidth="1"/>
    <col min="7430" max="7430" width="9.109375" style="316"/>
    <col min="7431" max="7432" width="9.33203125" style="316" bestFit="1" customWidth="1"/>
    <col min="7433" max="7433" width="9.109375" style="316"/>
    <col min="7434" max="7435" width="11.6640625" style="316" bestFit="1" customWidth="1"/>
    <col min="7436" max="7438" width="10.109375" style="316" bestFit="1" customWidth="1"/>
    <col min="7439" max="7681" width="9.109375" style="316"/>
    <col min="7682" max="7682" width="21.5546875" style="316" customWidth="1"/>
    <col min="7683" max="7683" width="9.109375" style="316"/>
    <col min="7684" max="7685" width="10.109375" style="316" bestFit="1" customWidth="1"/>
    <col min="7686" max="7686" width="9.109375" style="316"/>
    <col min="7687" max="7688" width="9.33203125" style="316" bestFit="1" customWidth="1"/>
    <col min="7689" max="7689" width="9.109375" style="316"/>
    <col min="7690" max="7691" width="11.6640625" style="316" bestFit="1" customWidth="1"/>
    <col min="7692" max="7694" width="10.109375" style="316" bestFit="1" customWidth="1"/>
    <col min="7695" max="7937" width="9.109375" style="316"/>
    <col min="7938" max="7938" width="21.5546875" style="316" customWidth="1"/>
    <col min="7939" max="7939" width="9.109375" style="316"/>
    <col min="7940" max="7941" width="10.109375" style="316" bestFit="1" customWidth="1"/>
    <col min="7942" max="7942" width="9.109375" style="316"/>
    <col min="7943" max="7944" width="9.33203125" style="316" bestFit="1" customWidth="1"/>
    <col min="7945" max="7945" width="9.109375" style="316"/>
    <col min="7946" max="7947" width="11.6640625" style="316" bestFit="1" customWidth="1"/>
    <col min="7948" max="7950" width="10.109375" style="316" bestFit="1" customWidth="1"/>
    <col min="7951" max="8193" width="9.109375" style="316"/>
    <col min="8194" max="8194" width="21.5546875" style="316" customWidth="1"/>
    <col min="8195" max="8195" width="9.109375" style="316"/>
    <col min="8196" max="8197" width="10.109375" style="316" bestFit="1" customWidth="1"/>
    <col min="8198" max="8198" width="9.109375" style="316"/>
    <col min="8199" max="8200" width="9.33203125" style="316" bestFit="1" customWidth="1"/>
    <col min="8201" max="8201" width="9.109375" style="316"/>
    <col min="8202" max="8203" width="11.6640625" style="316" bestFit="1" customWidth="1"/>
    <col min="8204" max="8206" width="10.109375" style="316" bestFit="1" customWidth="1"/>
    <col min="8207" max="8449" width="9.109375" style="316"/>
    <col min="8450" max="8450" width="21.5546875" style="316" customWidth="1"/>
    <col min="8451" max="8451" width="9.109375" style="316"/>
    <col min="8452" max="8453" width="10.109375" style="316" bestFit="1" customWidth="1"/>
    <col min="8454" max="8454" width="9.109375" style="316"/>
    <col min="8455" max="8456" width="9.33203125" style="316" bestFit="1" customWidth="1"/>
    <col min="8457" max="8457" width="9.109375" style="316"/>
    <col min="8458" max="8459" width="11.6640625" style="316" bestFit="1" customWidth="1"/>
    <col min="8460" max="8462" width="10.109375" style="316" bestFit="1" customWidth="1"/>
    <col min="8463" max="8705" width="9.109375" style="316"/>
    <col min="8706" max="8706" width="21.5546875" style="316" customWidth="1"/>
    <col min="8707" max="8707" width="9.109375" style="316"/>
    <col min="8708" max="8709" width="10.109375" style="316" bestFit="1" customWidth="1"/>
    <col min="8710" max="8710" width="9.109375" style="316"/>
    <col min="8711" max="8712" width="9.33203125" style="316" bestFit="1" customWidth="1"/>
    <col min="8713" max="8713" width="9.109375" style="316"/>
    <col min="8714" max="8715" width="11.6640625" style="316" bestFit="1" customWidth="1"/>
    <col min="8716" max="8718" width="10.109375" style="316" bestFit="1" customWidth="1"/>
    <col min="8719" max="8961" width="9.109375" style="316"/>
    <col min="8962" max="8962" width="21.5546875" style="316" customWidth="1"/>
    <col min="8963" max="8963" width="9.109375" style="316"/>
    <col min="8964" max="8965" width="10.109375" style="316" bestFit="1" customWidth="1"/>
    <col min="8966" max="8966" width="9.109375" style="316"/>
    <col min="8967" max="8968" width="9.33203125" style="316" bestFit="1" customWidth="1"/>
    <col min="8969" max="8969" width="9.109375" style="316"/>
    <col min="8970" max="8971" width="11.6640625" style="316" bestFit="1" customWidth="1"/>
    <col min="8972" max="8974" width="10.109375" style="316" bestFit="1" customWidth="1"/>
    <col min="8975" max="9217" width="9.109375" style="316"/>
    <col min="9218" max="9218" width="21.5546875" style="316" customWidth="1"/>
    <col min="9219" max="9219" width="9.109375" style="316"/>
    <col min="9220" max="9221" width="10.109375" style="316" bestFit="1" customWidth="1"/>
    <col min="9222" max="9222" width="9.109375" style="316"/>
    <col min="9223" max="9224" width="9.33203125" style="316" bestFit="1" customWidth="1"/>
    <col min="9225" max="9225" width="9.109375" style="316"/>
    <col min="9226" max="9227" width="11.6640625" style="316" bestFit="1" customWidth="1"/>
    <col min="9228" max="9230" width="10.109375" style="316" bestFit="1" customWidth="1"/>
    <col min="9231" max="9473" width="9.109375" style="316"/>
    <col min="9474" max="9474" width="21.5546875" style="316" customWidth="1"/>
    <col min="9475" max="9475" width="9.109375" style="316"/>
    <col min="9476" max="9477" width="10.109375" style="316" bestFit="1" customWidth="1"/>
    <col min="9478" max="9478" width="9.109375" style="316"/>
    <col min="9479" max="9480" width="9.33203125" style="316" bestFit="1" customWidth="1"/>
    <col min="9481" max="9481" width="9.109375" style="316"/>
    <col min="9482" max="9483" width="11.6640625" style="316" bestFit="1" customWidth="1"/>
    <col min="9484" max="9486" width="10.109375" style="316" bestFit="1" customWidth="1"/>
    <col min="9487" max="9729" width="9.109375" style="316"/>
    <col min="9730" max="9730" width="21.5546875" style="316" customWidth="1"/>
    <col min="9731" max="9731" width="9.109375" style="316"/>
    <col min="9732" max="9733" width="10.109375" style="316" bestFit="1" customWidth="1"/>
    <col min="9734" max="9734" width="9.109375" style="316"/>
    <col min="9735" max="9736" width="9.33203125" style="316" bestFit="1" customWidth="1"/>
    <col min="9737" max="9737" width="9.109375" style="316"/>
    <col min="9738" max="9739" width="11.6640625" style="316" bestFit="1" customWidth="1"/>
    <col min="9740" max="9742" width="10.109375" style="316" bestFit="1" customWidth="1"/>
    <col min="9743" max="9985" width="9.109375" style="316"/>
    <col min="9986" max="9986" width="21.5546875" style="316" customWidth="1"/>
    <col min="9987" max="9987" width="9.109375" style="316"/>
    <col min="9988" max="9989" width="10.109375" style="316" bestFit="1" customWidth="1"/>
    <col min="9990" max="9990" width="9.109375" style="316"/>
    <col min="9991" max="9992" width="9.33203125" style="316" bestFit="1" customWidth="1"/>
    <col min="9993" max="9993" width="9.109375" style="316"/>
    <col min="9994" max="9995" width="11.6640625" style="316" bestFit="1" customWidth="1"/>
    <col min="9996" max="9998" width="10.109375" style="316" bestFit="1" customWidth="1"/>
    <col min="9999" max="10241" width="9.109375" style="316"/>
    <col min="10242" max="10242" width="21.5546875" style="316" customWidth="1"/>
    <col min="10243" max="10243" width="9.109375" style="316"/>
    <col min="10244" max="10245" width="10.109375" style="316" bestFit="1" customWidth="1"/>
    <col min="10246" max="10246" width="9.109375" style="316"/>
    <col min="10247" max="10248" width="9.33203125" style="316" bestFit="1" customWidth="1"/>
    <col min="10249" max="10249" width="9.109375" style="316"/>
    <col min="10250" max="10251" width="11.6640625" style="316" bestFit="1" customWidth="1"/>
    <col min="10252" max="10254" width="10.109375" style="316" bestFit="1" customWidth="1"/>
    <col min="10255" max="10497" width="9.109375" style="316"/>
    <col min="10498" max="10498" width="21.5546875" style="316" customWidth="1"/>
    <col min="10499" max="10499" width="9.109375" style="316"/>
    <col min="10500" max="10501" width="10.109375" style="316" bestFit="1" customWidth="1"/>
    <col min="10502" max="10502" width="9.109375" style="316"/>
    <col min="10503" max="10504" width="9.33203125" style="316" bestFit="1" customWidth="1"/>
    <col min="10505" max="10505" width="9.109375" style="316"/>
    <col min="10506" max="10507" width="11.6640625" style="316" bestFit="1" customWidth="1"/>
    <col min="10508" max="10510" width="10.109375" style="316" bestFit="1" customWidth="1"/>
    <col min="10511" max="10753" width="9.109375" style="316"/>
    <col min="10754" max="10754" width="21.5546875" style="316" customWidth="1"/>
    <col min="10755" max="10755" width="9.109375" style="316"/>
    <col min="10756" max="10757" width="10.109375" style="316" bestFit="1" customWidth="1"/>
    <col min="10758" max="10758" width="9.109375" style="316"/>
    <col min="10759" max="10760" width="9.33203125" style="316" bestFit="1" customWidth="1"/>
    <col min="10761" max="10761" width="9.109375" style="316"/>
    <col min="10762" max="10763" width="11.6640625" style="316" bestFit="1" customWidth="1"/>
    <col min="10764" max="10766" width="10.109375" style="316" bestFit="1" customWidth="1"/>
    <col min="10767" max="11009" width="9.109375" style="316"/>
    <col min="11010" max="11010" width="21.5546875" style="316" customWidth="1"/>
    <col min="11011" max="11011" width="9.109375" style="316"/>
    <col min="11012" max="11013" width="10.109375" style="316" bestFit="1" customWidth="1"/>
    <col min="11014" max="11014" width="9.109375" style="316"/>
    <col min="11015" max="11016" width="9.33203125" style="316" bestFit="1" customWidth="1"/>
    <col min="11017" max="11017" width="9.109375" style="316"/>
    <col min="11018" max="11019" width="11.6640625" style="316" bestFit="1" customWidth="1"/>
    <col min="11020" max="11022" width="10.109375" style="316" bestFit="1" customWidth="1"/>
    <col min="11023" max="11265" width="9.109375" style="316"/>
    <col min="11266" max="11266" width="21.5546875" style="316" customWidth="1"/>
    <col min="11267" max="11267" width="9.109375" style="316"/>
    <col min="11268" max="11269" width="10.109375" style="316" bestFit="1" customWidth="1"/>
    <col min="11270" max="11270" width="9.109375" style="316"/>
    <col min="11271" max="11272" width="9.33203125" style="316" bestFit="1" customWidth="1"/>
    <col min="11273" max="11273" width="9.109375" style="316"/>
    <col min="11274" max="11275" width="11.6640625" style="316" bestFit="1" customWidth="1"/>
    <col min="11276" max="11278" width="10.109375" style="316" bestFit="1" customWidth="1"/>
    <col min="11279" max="11521" width="9.109375" style="316"/>
    <col min="11522" max="11522" width="21.5546875" style="316" customWidth="1"/>
    <col min="11523" max="11523" width="9.109375" style="316"/>
    <col min="11524" max="11525" width="10.109375" style="316" bestFit="1" customWidth="1"/>
    <col min="11526" max="11526" width="9.109375" style="316"/>
    <col min="11527" max="11528" width="9.33203125" style="316" bestFit="1" customWidth="1"/>
    <col min="11529" max="11529" width="9.109375" style="316"/>
    <col min="11530" max="11531" width="11.6640625" style="316" bestFit="1" customWidth="1"/>
    <col min="11532" max="11534" width="10.109375" style="316" bestFit="1" customWidth="1"/>
    <col min="11535" max="11777" width="9.109375" style="316"/>
    <col min="11778" max="11778" width="21.5546875" style="316" customWidth="1"/>
    <col min="11779" max="11779" width="9.109375" style="316"/>
    <col min="11780" max="11781" width="10.109375" style="316" bestFit="1" customWidth="1"/>
    <col min="11782" max="11782" width="9.109375" style="316"/>
    <col min="11783" max="11784" width="9.33203125" style="316" bestFit="1" customWidth="1"/>
    <col min="11785" max="11785" width="9.109375" style="316"/>
    <col min="11786" max="11787" width="11.6640625" style="316" bestFit="1" customWidth="1"/>
    <col min="11788" max="11790" width="10.109375" style="316" bestFit="1" customWidth="1"/>
    <col min="11791" max="12033" width="9.109375" style="316"/>
    <col min="12034" max="12034" width="21.5546875" style="316" customWidth="1"/>
    <col min="12035" max="12035" width="9.109375" style="316"/>
    <col min="12036" max="12037" width="10.109375" style="316" bestFit="1" customWidth="1"/>
    <col min="12038" max="12038" width="9.109375" style="316"/>
    <col min="12039" max="12040" width="9.33203125" style="316" bestFit="1" customWidth="1"/>
    <col min="12041" max="12041" width="9.109375" style="316"/>
    <col min="12042" max="12043" width="11.6640625" style="316" bestFit="1" customWidth="1"/>
    <col min="12044" max="12046" width="10.109375" style="316" bestFit="1" customWidth="1"/>
    <col min="12047" max="12289" width="9.109375" style="316"/>
    <col min="12290" max="12290" width="21.5546875" style="316" customWidth="1"/>
    <col min="12291" max="12291" width="9.109375" style="316"/>
    <col min="12292" max="12293" width="10.109375" style="316" bestFit="1" customWidth="1"/>
    <col min="12294" max="12294" width="9.109375" style="316"/>
    <col min="12295" max="12296" width="9.33203125" style="316" bestFit="1" customWidth="1"/>
    <col min="12297" max="12297" width="9.109375" style="316"/>
    <col min="12298" max="12299" width="11.6640625" style="316" bestFit="1" customWidth="1"/>
    <col min="12300" max="12302" width="10.109375" style="316" bestFit="1" customWidth="1"/>
    <col min="12303" max="12545" width="9.109375" style="316"/>
    <col min="12546" max="12546" width="21.5546875" style="316" customWidth="1"/>
    <col min="12547" max="12547" width="9.109375" style="316"/>
    <col min="12548" max="12549" width="10.109375" style="316" bestFit="1" customWidth="1"/>
    <col min="12550" max="12550" width="9.109375" style="316"/>
    <col min="12551" max="12552" width="9.33203125" style="316" bestFit="1" customWidth="1"/>
    <col min="12553" max="12553" width="9.109375" style="316"/>
    <col min="12554" max="12555" width="11.6640625" style="316" bestFit="1" customWidth="1"/>
    <col min="12556" max="12558" width="10.109375" style="316" bestFit="1" customWidth="1"/>
    <col min="12559" max="12801" width="9.109375" style="316"/>
    <col min="12802" max="12802" width="21.5546875" style="316" customWidth="1"/>
    <col min="12803" max="12803" width="9.109375" style="316"/>
    <col min="12804" max="12805" width="10.109375" style="316" bestFit="1" customWidth="1"/>
    <col min="12806" max="12806" width="9.109375" style="316"/>
    <col min="12807" max="12808" width="9.33203125" style="316" bestFit="1" customWidth="1"/>
    <col min="12809" max="12809" width="9.109375" style="316"/>
    <col min="12810" max="12811" width="11.6640625" style="316" bestFit="1" customWidth="1"/>
    <col min="12812" max="12814" width="10.109375" style="316" bestFit="1" customWidth="1"/>
    <col min="12815" max="13057" width="9.109375" style="316"/>
    <col min="13058" max="13058" width="21.5546875" style="316" customWidth="1"/>
    <col min="13059" max="13059" width="9.109375" style="316"/>
    <col min="13060" max="13061" width="10.109375" style="316" bestFit="1" customWidth="1"/>
    <col min="13062" max="13062" width="9.109375" style="316"/>
    <col min="13063" max="13064" width="9.33203125" style="316" bestFit="1" customWidth="1"/>
    <col min="13065" max="13065" width="9.109375" style="316"/>
    <col min="13066" max="13067" width="11.6640625" style="316" bestFit="1" customWidth="1"/>
    <col min="13068" max="13070" width="10.109375" style="316" bestFit="1" customWidth="1"/>
    <col min="13071" max="13313" width="9.109375" style="316"/>
    <col min="13314" max="13314" width="21.5546875" style="316" customWidth="1"/>
    <col min="13315" max="13315" width="9.109375" style="316"/>
    <col min="13316" max="13317" width="10.109375" style="316" bestFit="1" customWidth="1"/>
    <col min="13318" max="13318" width="9.109375" style="316"/>
    <col min="13319" max="13320" width="9.33203125" style="316" bestFit="1" customWidth="1"/>
    <col min="13321" max="13321" width="9.109375" style="316"/>
    <col min="13322" max="13323" width="11.6640625" style="316" bestFit="1" customWidth="1"/>
    <col min="13324" max="13326" width="10.109375" style="316" bestFit="1" customWidth="1"/>
    <col min="13327" max="13569" width="9.109375" style="316"/>
    <col min="13570" max="13570" width="21.5546875" style="316" customWidth="1"/>
    <col min="13571" max="13571" width="9.109375" style="316"/>
    <col min="13572" max="13573" width="10.109375" style="316" bestFit="1" customWidth="1"/>
    <col min="13574" max="13574" width="9.109375" style="316"/>
    <col min="13575" max="13576" width="9.33203125" style="316" bestFit="1" customWidth="1"/>
    <col min="13577" max="13577" width="9.109375" style="316"/>
    <col min="13578" max="13579" width="11.6640625" style="316" bestFit="1" customWidth="1"/>
    <col min="13580" max="13582" width="10.109375" style="316" bestFit="1" customWidth="1"/>
    <col min="13583" max="13825" width="9.109375" style="316"/>
    <col min="13826" max="13826" width="21.5546875" style="316" customWidth="1"/>
    <col min="13827" max="13827" width="9.109375" style="316"/>
    <col min="13828" max="13829" width="10.109375" style="316" bestFit="1" customWidth="1"/>
    <col min="13830" max="13830" width="9.109375" style="316"/>
    <col min="13831" max="13832" width="9.33203125" style="316" bestFit="1" customWidth="1"/>
    <col min="13833" max="13833" width="9.109375" style="316"/>
    <col min="13834" max="13835" width="11.6640625" style="316" bestFit="1" customWidth="1"/>
    <col min="13836" max="13838" width="10.109375" style="316" bestFit="1" customWidth="1"/>
    <col min="13839" max="14081" width="9.109375" style="316"/>
    <col min="14082" max="14082" width="21.5546875" style="316" customWidth="1"/>
    <col min="14083" max="14083" width="9.109375" style="316"/>
    <col min="14084" max="14085" width="10.109375" style="316" bestFit="1" customWidth="1"/>
    <col min="14086" max="14086" width="9.109375" style="316"/>
    <col min="14087" max="14088" width="9.33203125" style="316" bestFit="1" customWidth="1"/>
    <col min="14089" max="14089" width="9.109375" style="316"/>
    <col min="14090" max="14091" width="11.6640625" style="316" bestFit="1" customWidth="1"/>
    <col min="14092" max="14094" width="10.109375" style="316" bestFit="1" customWidth="1"/>
    <col min="14095" max="14337" width="9.109375" style="316"/>
    <col min="14338" max="14338" width="21.5546875" style="316" customWidth="1"/>
    <col min="14339" max="14339" width="9.109375" style="316"/>
    <col min="14340" max="14341" width="10.109375" style="316" bestFit="1" customWidth="1"/>
    <col min="14342" max="14342" width="9.109375" style="316"/>
    <col min="14343" max="14344" width="9.33203125" style="316" bestFit="1" customWidth="1"/>
    <col min="14345" max="14345" width="9.109375" style="316"/>
    <col min="14346" max="14347" width="11.6640625" style="316" bestFit="1" customWidth="1"/>
    <col min="14348" max="14350" width="10.109375" style="316" bestFit="1" customWidth="1"/>
    <col min="14351" max="14593" width="9.109375" style="316"/>
    <col min="14594" max="14594" width="21.5546875" style="316" customWidth="1"/>
    <col min="14595" max="14595" width="9.109375" style="316"/>
    <col min="14596" max="14597" width="10.109375" style="316" bestFit="1" customWidth="1"/>
    <col min="14598" max="14598" width="9.109375" style="316"/>
    <col min="14599" max="14600" width="9.33203125" style="316" bestFit="1" customWidth="1"/>
    <col min="14601" max="14601" width="9.109375" style="316"/>
    <col min="14602" max="14603" width="11.6640625" style="316" bestFit="1" customWidth="1"/>
    <col min="14604" max="14606" width="10.109375" style="316" bestFit="1" customWidth="1"/>
    <col min="14607" max="14849" width="9.109375" style="316"/>
    <col min="14850" max="14850" width="21.5546875" style="316" customWidth="1"/>
    <col min="14851" max="14851" width="9.109375" style="316"/>
    <col min="14852" max="14853" width="10.109375" style="316" bestFit="1" customWidth="1"/>
    <col min="14854" max="14854" width="9.109375" style="316"/>
    <col min="14855" max="14856" width="9.33203125" style="316" bestFit="1" customWidth="1"/>
    <col min="14857" max="14857" width="9.109375" style="316"/>
    <col min="14858" max="14859" width="11.6640625" style="316" bestFit="1" customWidth="1"/>
    <col min="14860" max="14862" width="10.109375" style="316" bestFit="1" customWidth="1"/>
    <col min="14863" max="15105" width="9.109375" style="316"/>
    <col min="15106" max="15106" width="21.5546875" style="316" customWidth="1"/>
    <col min="15107" max="15107" width="9.109375" style="316"/>
    <col min="15108" max="15109" width="10.109375" style="316" bestFit="1" customWidth="1"/>
    <col min="15110" max="15110" width="9.109375" style="316"/>
    <col min="15111" max="15112" width="9.33203125" style="316" bestFit="1" customWidth="1"/>
    <col min="15113" max="15113" width="9.109375" style="316"/>
    <col min="15114" max="15115" width="11.6640625" style="316" bestFit="1" customWidth="1"/>
    <col min="15116" max="15118" width="10.109375" style="316" bestFit="1" customWidth="1"/>
    <col min="15119" max="15361" width="9.109375" style="316"/>
    <col min="15362" max="15362" width="21.5546875" style="316" customWidth="1"/>
    <col min="15363" max="15363" width="9.109375" style="316"/>
    <col min="15364" max="15365" width="10.109375" style="316" bestFit="1" customWidth="1"/>
    <col min="15366" max="15366" width="9.109375" style="316"/>
    <col min="15367" max="15368" width="9.33203125" style="316" bestFit="1" customWidth="1"/>
    <col min="15369" max="15369" width="9.109375" style="316"/>
    <col min="15370" max="15371" width="11.6640625" style="316" bestFit="1" customWidth="1"/>
    <col min="15372" max="15374" width="10.109375" style="316" bestFit="1" customWidth="1"/>
    <col min="15375" max="15617" width="9.109375" style="316"/>
    <col min="15618" max="15618" width="21.5546875" style="316" customWidth="1"/>
    <col min="15619" max="15619" width="9.109375" style="316"/>
    <col min="15620" max="15621" width="10.109375" style="316" bestFit="1" customWidth="1"/>
    <col min="15622" max="15622" width="9.109375" style="316"/>
    <col min="15623" max="15624" width="9.33203125" style="316" bestFit="1" customWidth="1"/>
    <col min="15625" max="15625" width="9.109375" style="316"/>
    <col min="15626" max="15627" width="11.6640625" style="316" bestFit="1" customWidth="1"/>
    <col min="15628" max="15630" width="10.109375" style="316" bestFit="1" customWidth="1"/>
    <col min="15631" max="15873" width="9.109375" style="316"/>
    <col min="15874" max="15874" width="21.5546875" style="316" customWidth="1"/>
    <col min="15875" max="15875" width="9.109375" style="316"/>
    <col min="15876" max="15877" width="10.109375" style="316" bestFit="1" customWidth="1"/>
    <col min="15878" max="15878" width="9.109375" style="316"/>
    <col min="15879" max="15880" width="9.33203125" style="316" bestFit="1" customWidth="1"/>
    <col min="15881" max="15881" width="9.109375" style="316"/>
    <col min="15882" max="15883" width="11.6640625" style="316" bestFit="1" customWidth="1"/>
    <col min="15884" max="15886" width="10.109375" style="316" bestFit="1" customWidth="1"/>
    <col min="15887" max="16129" width="9.109375" style="316"/>
    <col min="16130" max="16130" width="21.5546875" style="316" customWidth="1"/>
    <col min="16131" max="16131" width="9.109375" style="316"/>
    <col min="16132" max="16133" width="10.109375" style="316" bestFit="1" customWidth="1"/>
    <col min="16134" max="16134" width="9.109375" style="316"/>
    <col min="16135" max="16136" width="9.33203125" style="316" bestFit="1" customWidth="1"/>
    <col min="16137" max="16137" width="9.109375" style="316"/>
    <col min="16138" max="16139" width="11.6640625" style="316" bestFit="1" customWidth="1"/>
    <col min="16140" max="16142" width="10.109375" style="316" bestFit="1" customWidth="1"/>
    <col min="16143" max="16384" width="9.109375" style="316"/>
  </cols>
  <sheetData>
    <row r="1" spans="1:14" ht="12.75" customHeight="1">
      <c r="A1" s="1322" t="s">
        <v>269</v>
      </c>
      <c r="B1" s="948"/>
      <c r="C1" s="948"/>
      <c r="D1" s="948"/>
      <c r="E1" s="948"/>
      <c r="F1" s="948"/>
      <c r="G1" s="948"/>
      <c r="H1" s="1323"/>
      <c r="I1" s="1324" t="str">
        <f>'1200'!I1</f>
        <v xml:space="preserve">CLAIM:  Serivce Provider Fees                                                                                                </v>
      </c>
      <c r="J1" s="1279"/>
      <c r="K1" s="1279"/>
      <c r="L1" s="1279"/>
      <c r="M1" s="1279"/>
      <c r="N1" s="1283">
        <f>'F1  Cover'!A22</f>
        <v>2200</v>
      </c>
    </row>
    <row r="2" spans="1:14">
      <c r="A2" s="1326"/>
      <c r="B2" s="1327"/>
      <c r="C2" s="1327"/>
      <c r="D2" s="1327"/>
      <c r="E2" s="1327"/>
      <c r="F2" s="1327"/>
      <c r="G2" s="1327"/>
      <c r="H2" s="1327"/>
      <c r="I2" s="1325"/>
      <c r="J2" s="1281"/>
      <c r="K2" s="1281"/>
      <c r="L2" s="1281"/>
      <c r="M2" s="1281"/>
      <c r="N2" s="1284"/>
    </row>
    <row r="3" spans="1:14">
      <c r="A3" s="407" t="s">
        <v>389</v>
      </c>
      <c r="B3" s="406" t="str">
        <f>'F1 Forecast Serivce Provider'!C3</f>
        <v>WESTERN</v>
      </c>
      <c r="I3" s="1328" t="s">
        <v>270</v>
      </c>
      <c r="J3" s="1287"/>
      <c r="K3" s="1288">
        <f>'F1  Cover'!K8</f>
        <v>1</v>
      </c>
      <c r="L3" s="1289"/>
      <c r="M3" s="1289"/>
      <c r="N3" s="1290"/>
    </row>
    <row r="4" spans="1:14" ht="13.8" thickBot="1">
      <c r="A4" s="1318"/>
      <c r="B4" s="1319"/>
      <c r="C4" s="1319"/>
      <c r="D4" s="1319"/>
      <c r="E4" s="1319"/>
      <c r="F4" s="1319"/>
      <c r="G4" s="1319"/>
      <c r="H4" s="1319"/>
      <c r="I4" s="1320" t="s">
        <v>271</v>
      </c>
      <c r="J4" s="1321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38.25" customHeight="1" thickBot="1">
      <c r="A6" s="317" t="s">
        <v>92</v>
      </c>
      <c r="B6" s="318" t="s">
        <v>0</v>
      </c>
      <c r="C6" s="408" t="s">
        <v>1</v>
      </c>
      <c r="D6" s="409" t="s">
        <v>273</v>
      </c>
      <c r="E6" s="166" t="s">
        <v>274</v>
      </c>
      <c r="F6" s="166" t="s">
        <v>275</v>
      </c>
      <c r="G6" s="166" t="s">
        <v>276</v>
      </c>
      <c r="H6" s="408" t="s">
        <v>277</v>
      </c>
      <c r="I6" s="409" t="s">
        <v>3</v>
      </c>
      <c r="J6" s="166" t="s">
        <v>278</v>
      </c>
      <c r="K6" s="166" t="s">
        <v>279</v>
      </c>
      <c r="L6" s="166" t="s">
        <v>280</v>
      </c>
      <c r="M6" s="166" t="s">
        <v>281</v>
      </c>
      <c r="N6" s="408" t="s">
        <v>282</v>
      </c>
    </row>
    <row r="7" spans="1:14" ht="31.5" customHeight="1">
      <c r="A7" s="317">
        <f>'Pricing Schedule'!A66</f>
        <v>2200</v>
      </c>
      <c r="B7" s="318" t="str">
        <f>'Pricing Schedule'!B66</f>
        <v>UNSPECIFIED MINOR WORKS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Schedule'!A67</f>
        <v>22.01</v>
      </c>
      <c r="B8" s="322" t="str">
        <f>'Pricing Schedule'!B67</f>
        <v>Materials and other direct costs for minor works</v>
      </c>
      <c r="C8" s="401" t="str">
        <f>'Pricing Schedule'!C67</f>
        <v>PC Sum</v>
      </c>
      <c r="D8" s="335">
        <v>1</v>
      </c>
      <c r="E8" s="389">
        <f>D8</f>
        <v>1</v>
      </c>
      <c r="F8" s="490">
        <f>DATA!$BA$52</f>
        <v>0</v>
      </c>
      <c r="G8" s="634">
        <f>'Pg 4 P Sums'!K444-F8</f>
        <v>0</v>
      </c>
      <c r="H8" s="324">
        <f t="shared" ref="H8:H13" si="0">F8+G8</f>
        <v>0</v>
      </c>
      <c r="I8" s="335">
        <f>'Pricing Schedule'!F67</f>
        <v>3500000</v>
      </c>
      <c r="J8" s="323">
        <f t="shared" ref="J8:J13" si="1">D8*I8</f>
        <v>3500000</v>
      </c>
      <c r="K8" s="323">
        <f t="shared" ref="K8:K13" si="2">E8*I8</f>
        <v>3500000</v>
      </c>
      <c r="L8" s="323">
        <f>F8*I8</f>
        <v>0</v>
      </c>
      <c r="M8" s="323">
        <f>G8*I8</f>
        <v>0</v>
      </c>
      <c r="N8" s="324">
        <f t="shared" ref="N8:N13" si="3">H8*I8</f>
        <v>0</v>
      </c>
    </row>
    <row r="9" spans="1:14" ht="31.5" customHeight="1">
      <c r="A9" s="400" t="str">
        <f>'Pricing Schedule'!A68</f>
        <v>22.01(a)</v>
      </c>
      <c r="B9" s="322" t="str">
        <f>'Pricing Schedule'!B68</f>
        <v>Percentage mark up on materials and direct costs - Item 22.01</v>
      </c>
      <c r="C9" s="401" t="str">
        <f>'Pricing Schedule'!C68</f>
        <v>Percent</v>
      </c>
      <c r="D9" s="335">
        <f>'Pricing Schedule'!D68</f>
        <v>3500000</v>
      </c>
      <c r="E9" s="635">
        <f>K8</f>
        <v>3500000</v>
      </c>
      <c r="F9" s="323">
        <f t="shared" ref="F9:G9" si="4">L8</f>
        <v>0</v>
      </c>
      <c r="G9" s="323">
        <f t="shared" si="4"/>
        <v>0</v>
      </c>
      <c r="H9" s="324">
        <f t="shared" si="0"/>
        <v>0</v>
      </c>
      <c r="I9" s="405">
        <f>'Pricing Schedule'!E68</f>
        <v>0</v>
      </c>
      <c r="J9" s="323">
        <f t="shared" si="1"/>
        <v>0</v>
      </c>
      <c r="K9" s="323">
        <f t="shared" si="2"/>
        <v>0</v>
      </c>
      <c r="L9" s="323">
        <f t="shared" ref="L9:L13" si="5">F9*I9</f>
        <v>0</v>
      </c>
      <c r="M9" s="323">
        <f t="shared" ref="M9:M13" si="6">G9*I9</f>
        <v>0</v>
      </c>
      <c r="N9" s="324">
        <f t="shared" si="3"/>
        <v>0</v>
      </c>
    </row>
    <row r="10" spans="1:14" ht="31.5" customHeight="1">
      <c r="A10" s="454">
        <f>'Pricing Schedule'!A69</f>
        <v>22.02</v>
      </c>
      <c r="B10" s="322" t="str">
        <f>'Pricing Schedule'!B69</f>
        <v>Own skilled, but unqualified artisan / technician / labourer</v>
      </c>
      <c r="C10" s="401" t="str">
        <f>'Pricing Schedule'!C69</f>
        <v>Hr</v>
      </c>
      <c r="D10" s="335">
        <f>'Pricing Schedule'!D69</f>
        <v>1500</v>
      </c>
      <c r="E10" s="389">
        <f t="shared" ref="E10" si="7">D10</f>
        <v>1500</v>
      </c>
      <c r="F10" s="490">
        <f>DATA!$BB$52</f>
        <v>0</v>
      </c>
      <c r="G10" s="389"/>
      <c r="H10" s="324">
        <f t="shared" si="0"/>
        <v>0</v>
      </c>
      <c r="I10" s="402">
        <f>'Pricing Schedule'!E69</f>
        <v>0</v>
      </c>
      <c r="J10" s="323">
        <f t="shared" si="1"/>
        <v>0</v>
      </c>
      <c r="K10" s="323">
        <f t="shared" si="2"/>
        <v>0</v>
      </c>
      <c r="L10" s="323">
        <f t="shared" si="5"/>
        <v>0</v>
      </c>
      <c r="M10" s="323">
        <f>G10*I10</f>
        <v>0</v>
      </c>
      <c r="N10" s="324">
        <f t="shared" si="3"/>
        <v>0</v>
      </c>
    </row>
    <row r="11" spans="1:14" ht="31.5" customHeight="1">
      <c r="A11" s="454">
        <f>'Pricing Schedule'!A70</f>
        <v>22.03</v>
      </c>
      <c r="B11" s="322" t="str">
        <f>'Pricing Schedule'!B70</f>
        <v>Own qualified artisan / technician / supervisor</v>
      </c>
      <c r="C11" s="401" t="str">
        <f>'Pricing Schedule'!C70</f>
        <v>Hr</v>
      </c>
      <c r="D11" s="335">
        <f>'Pricing Schedule'!D70</f>
        <v>500</v>
      </c>
      <c r="E11" s="389">
        <f t="shared" ref="E11" si="8">D11</f>
        <v>500</v>
      </c>
      <c r="F11" s="490">
        <f>DATA!$BC$52</f>
        <v>0</v>
      </c>
      <c r="G11" s="389"/>
      <c r="H11" s="324">
        <f t="shared" si="0"/>
        <v>0</v>
      </c>
      <c r="I11" s="402">
        <f>'Pricing Schedule'!E70</f>
        <v>0</v>
      </c>
      <c r="J11" s="323">
        <f t="shared" si="1"/>
        <v>0</v>
      </c>
      <c r="K11" s="323">
        <f t="shared" si="2"/>
        <v>0</v>
      </c>
      <c r="L11" s="323">
        <f t="shared" si="5"/>
        <v>0</v>
      </c>
      <c r="M11" s="323">
        <f t="shared" si="6"/>
        <v>0</v>
      </c>
      <c r="N11" s="324">
        <f t="shared" si="3"/>
        <v>0</v>
      </c>
    </row>
    <row r="12" spans="1:14" ht="31.5" customHeight="1">
      <c r="A12" s="400">
        <f>'Pricing Schedule'!A71</f>
        <v>22.04</v>
      </c>
      <c r="B12" s="322" t="str">
        <f>'Pricing Schedule'!B71</f>
        <v>Third Party engagements in minor repairs and services</v>
      </c>
      <c r="C12" s="401" t="str">
        <f>'Pricing Schedule'!C71</f>
        <v>PC Sum</v>
      </c>
      <c r="D12" s="335">
        <v>1</v>
      </c>
      <c r="E12" s="389">
        <f>D12</f>
        <v>1</v>
      </c>
      <c r="F12" s="490">
        <f>DATA!$BD$52</f>
        <v>0</v>
      </c>
      <c r="G12" s="634">
        <f>'Pg 4 P Sums'!K517-F12</f>
        <v>0</v>
      </c>
      <c r="H12" s="324">
        <f t="shared" si="0"/>
        <v>0</v>
      </c>
      <c r="I12" s="335">
        <f>'Pricing Schedule'!F71</f>
        <v>2000000</v>
      </c>
      <c r="J12" s="323">
        <f t="shared" si="1"/>
        <v>2000000</v>
      </c>
      <c r="K12" s="323">
        <f t="shared" si="2"/>
        <v>2000000</v>
      </c>
      <c r="L12" s="323">
        <f t="shared" si="5"/>
        <v>0</v>
      </c>
      <c r="M12" s="323">
        <f t="shared" si="6"/>
        <v>0</v>
      </c>
      <c r="N12" s="324">
        <f t="shared" si="3"/>
        <v>0</v>
      </c>
    </row>
    <row r="13" spans="1:14" ht="31.5" customHeight="1" thickBot="1">
      <c r="A13" s="454">
        <f>'Pricing Schedule'!A72</f>
        <v>22.05</v>
      </c>
      <c r="B13" s="322" t="str">
        <f>'Pricing Schedule'!B72</f>
        <v>Management attendance</v>
      </c>
      <c r="C13" s="401" t="str">
        <f>'Pricing Schedule'!C72</f>
        <v>Hr</v>
      </c>
      <c r="D13" s="335">
        <f>'Pricing Schedule'!D72</f>
        <v>1000</v>
      </c>
      <c r="E13" s="389">
        <f t="shared" ref="E13" si="9">D13</f>
        <v>1000</v>
      </c>
      <c r="F13" s="490">
        <f>DATA!$BE$52</f>
        <v>0</v>
      </c>
      <c r="G13" s="389"/>
      <c r="H13" s="324">
        <f t="shared" si="0"/>
        <v>0</v>
      </c>
      <c r="I13" s="402">
        <f>'Pricing Schedule'!E72</f>
        <v>0</v>
      </c>
      <c r="J13" s="323">
        <f t="shared" si="1"/>
        <v>0</v>
      </c>
      <c r="K13" s="323">
        <f t="shared" si="2"/>
        <v>0</v>
      </c>
      <c r="L13" s="323">
        <f t="shared" si="5"/>
        <v>0</v>
      </c>
      <c r="M13" s="323">
        <f t="shared" si="6"/>
        <v>0</v>
      </c>
      <c r="N13" s="324">
        <f t="shared" si="3"/>
        <v>0</v>
      </c>
    </row>
    <row r="14" spans="1:14" ht="31.5" customHeight="1" thickBot="1">
      <c r="A14" s="1270" t="s">
        <v>283</v>
      </c>
      <c r="B14" s="1270"/>
      <c r="C14" s="1270"/>
      <c r="D14" s="383"/>
      <c r="E14" s="384"/>
      <c r="F14" s="384"/>
      <c r="G14" s="384"/>
      <c r="H14" s="385"/>
      <c r="I14" s="383"/>
      <c r="J14" s="387">
        <f>SUM(J8:J13)</f>
        <v>5500000</v>
      </c>
      <c r="K14" s="387">
        <f>SUM(K8:K13)</f>
        <v>5500000</v>
      </c>
      <c r="L14" s="387">
        <f>SUM(L8:L13)</f>
        <v>0</v>
      </c>
      <c r="M14" s="387">
        <f>SUM(M8:M13)</f>
        <v>0</v>
      </c>
      <c r="N14" s="388">
        <f>SUM(N8:N13)</f>
        <v>0</v>
      </c>
    </row>
    <row r="17" spans="1:14" ht="30.9" customHeight="1">
      <c r="A17" s="456" t="s">
        <v>329</v>
      </c>
      <c r="B17" s="456"/>
      <c r="J17" s="404">
        <f>J10+J11+J13</f>
        <v>0</v>
      </c>
      <c r="K17" s="404">
        <f t="shared" ref="K17:N17" si="10">K10+K11+K13</f>
        <v>0</v>
      </c>
      <c r="L17" s="404">
        <f t="shared" si="10"/>
        <v>0</v>
      </c>
      <c r="M17" s="404">
        <f t="shared" si="10"/>
        <v>0</v>
      </c>
      <c r="N17" s="404">
        <f t="shared" si="10"/>
        <v>0</v>
      </c>
    </row>
    <row r="18" spans="1:14" ht="30.9" customHeight="1">
      <c r="A18" s="316" t="s">
        <v>331</v>
      </c>
      <c r="J18" s="404">
        <f>J8+J9+J12</f>
        <v>5500000</v>
      </c>
      <c r="K18" s="404">
        <f t="shared" ref="K18:N18" si="11">K8+K9+K12</f>
        <v>5500000</v>
      </c>
      <c r="L18" s="404">
        <f t="shared" si="11"/>
        <v>0</v>
      </c>
      <c r="M18" s="404">
        <f t="shared" si="11"/>
        <v>0</v>
      </c>
      <c r="N18" s="404">
        <f t="shared" si="11"/>
        <v>0</v>
      </c>
    </row>
    <row r="19" spans="1:14" ht="30.9" customHeight="1" thickBot="1">
      <c r="A19" s="316" t="s">
        <v>330</v>
      </c>
      <c r="J19" s="455">
        <f>SUM(J17:J18)</f>
        <v>5500000</v>
      </c>
      <c r="K19" s="455">
        <f t="shared" ref="K19:N19" si="12">SUM(K17:K18)</f>
        <v>5500000</v>
      </c>
      <c r="L19" s="455">
        <f t="shared" si="12"/>
        <v>0</v>
      </c>
      <c r="M19" s="455">
        <f t="shared" si="12"/>
        <v>0</v>
      </c>
      <c r="N19" s="455">
        <f t="shared" si="12"/>
        <v>0</v>
      </c>
    </row>
    <row r="20" spans="1:14" ht="13.8" thickTop="1"/>
  </sheetData>
  <mergeCells count="10">
    <mergeCell ref="A14:C14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containsText" dxfId="15" priority="5" operator="containsText" text="ERROR">
      <formula>NOT(ISERROR(SEARCH("ERROR",H9)))</formula>
    </cfRule>
  </conditionalFormatting>
  <conditionalFormatting sqref="H8">
    <cfRule type="expression" dxfId="14" priority="6">
      <formula>H8&gt;E8</formula>
    </cfRule>
  </conditionalFormatting>
  <conditionalFormatting sqref="H12">
    <cfRule type="expression" dxfId="13" priority="4">
      <formula>H12&gt;E12</formula>
    </cfRule>
  </conditionalFormatting>
  <conditionalFormatting sqref="H10">
    <cfRule type="expression" dxfId="12" priority="3">
      <formula>H10&gt;E10</formula>
    </cfRule>
  </conditionalFormatting>
  <conditionalFormatting sqref="H11">
    <cfRule type="expression" dxfId="11" priority="2">
      <formula>H11&gt;E11</formula>
    </cfRule>
  </conditionalFormatting>
  <conditionalFormatting sqref="H13">
    <cfRule type="expression" dxfId="10" priority="1">
      <formula>H13&gt;E13</formula>
    </cfRule>
  </conditionalFormatting>
  <dataValidations count="1">
    <dataValidation type="decimal" operator="lessThanOrEqual" allowBlank="1" showInputMessage="1" showErrorMessage="1" sqref="H9" xr:uid="{00000000-0002-0000-1400-000000000000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42">
    <tabColor rgb="FF0070C0"/>
    <pageSetUpPr fitToPage="1"/>
  </sheetPr>
  <dimension ref="A1:N19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Cover'!A24</f>
        <v>2300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Schedule'!A75</f>
        <v>2300</v>
      </c>
      <c r="B7" s="318" t="str">
        <f>'Pricing Schedule'!B75</f>
        <v>OFFICE FACILITY MAINTENANCE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00">
        <f>'Pricing Schedule'!A76</f>
        <v>23.01</v>
      </c>
      <c r="B8" s="322" t="str">
        <f>'Pricing Schedule'!B76</f>
        <v>Facility maintenance subcontract costs (Ad-hoc)</v>
      </c>
      <c r="C8" s="322" t="str">
        <f>'Pricing Schedule'!C76</f>
        <v>PC Sum</v>
      </c>
      <c r="D8" s="335">
        <v>1</v>
      </c>
      <c r="E8" s="389">
        <f>D8</f>
        <v>1</v>
      </c>
      <c r="F8" s="490">
        <f>DATA!$BF$52</f>
        <v>0</v>
      </c>
      <c r="G8" s="634">
        <f>'Pg 4 P Sums'!K545-F8</f>
        <v>0</v>
      </c>
      <c r="H8" s="324">
        <f>F8+G8</f>
        <v>0</v>
      </c>
      <c r="I8" s="335">
        <f>'Pricing Schedule'!F76</f>
        <v>5000000</v>
      </c>
      <c r="J8" s="323">
        <f>D8*I8</f>
        <v>5000000</v>
      </c>
      <c r="K8" s="323">
        <f>E8*I8</f>
        <v>5000000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>
      <c r="A9" s="400" t="str">
        <f>'Pricing Schedule'!A77</f>
        <v>23.01(a)</v>
      </c>
      <c r="B9" s="322" t="str">
        <f>'Pricing Schedule'!B77</f>
        <v>Facility maintenance subcontract costs (Security, OHS and other)</v>
      </c>
      <c r="C9" s="322" t="str">
        <f>'Pricing Schedule'!C77</f>
        <v>PC Sum</v>
      </c>
      <c r="D9" s="335">
        <v>1</v>
      </c>
      <c r="E9" s="389">
        <f>D9</f>
        <v>1</v>
      </c>
      <c r="F9" s="490">
        <f>DATA!$BG$52</f>
        <v>0</v>
      </c>
      <c r="G9" s="634">
        <f>'Pg 4 P Sums'!K546-F9</f>
        <v>0</v>
      </c>
      <c r="H9" s="324">
        <f>F9+G9</f>
        <v>0</v>
      </c>
      <c r="I9" s="335">
        <f>'Pricing Schedule'!F77</f>
        <v>150000</v>
      </c>
      <c r="J9" s="323">
        <f>D9*I9</f>
        <v>150000</v>
      </c>
      <c r="K9" s="323">
        <f>E9*I9</f>
        <v>150000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>
      <c r="A10" s="454">
        <f>'Pricing Schedule'!A78</f>
        <v>23.02</v>
      </c>
      <c r="B10" s="322" t="str">
        <f>'Pricing Schedule'!B78</f>
        <v>Maintaining the ITIS/SAP building management system</v>
      </c>
      <c r="C10" s="322" t="str">
        <f>'Pricing Schedule'!C78</f>
        <v>Month</v>
      </c>
      <c r="D10" s="335">
        <f>'Pricing Schedule'!D78</f>
        <v>60</v>
      </c>
      <c r="E10" s="389">
        <f t="shared" ref="E10" si="0">D10</f>
        <v>60</v>
      </c>
      <c r="F10" s="490">
        <f>DATA!$BH$52</f>
        <v>0</v>
      </c>
      <c r="G10" s="389"/>
      <c r="H10" s="324">
        <f>F10+G10</f>
        <v>0</v>
      </c>
      <c r="I10" s="402">
        <f>'Pricing Schedule'!E78</f>
        <v>0</v>
      </c>
      <c r="J10" s="323">
        <f>D10*I10</f>
        <v>0</v>
      </c>
      <c r="K10" s="323">
        <f>E10*I10</f>
        <v>0</v>
      </c>
      <c r="L10" s="323">
        <f>F10*I10</f>
        <v>0</v>
      </c>
      <c r="M10" s="323">
        <f>G10*I10</f>
        <v>0</v>
      </c>
      <c r="N10" s="324">
        <f>H10*I10</f>
        <v>0</v>
      </c>
    </row>
    <row r="11" spans="1:14" ht="31.5" customHeight="1">
      <c r="A11" s="454">
        <f>'Pricing Schedule'!A79</f>
        <v>23.03</v>
      </c>
      <c r="B11" s="322" t="str">
        <f>'Pricing Schedule'!B79</f>
        <v>Tender briefing meeting</v>
      </c>
      <c r="C11" s="322" t="str">
        <f>'Pricing Schedule'!C79</f>
        <v>No.</v>
      </c>
      <c r="D11" s="335">
        <f>'Pricing Schedule'!D79</f>
        <v>30</v>
      </c>
      <c r="E11" s="389">
        <f t="shared" ref="E11" si="1">D11</f>
        <v>30</v>
      </c>
      <c r="F11" s="490">
        <f>DATA!$BI$52</f>
        <v>0</v>
      </c>
      <c r="G11" s="389"/>
      <c r="H11" s="324">
        <f>F11+G11</f>
        <v>0</v>
      </c>
      <c r="I11" s="402">
        <f>'Pricing Schedule'!E79</f>
        <v>0</v>
      </c>
      <c r="J11" s="323">
        <f>D11*I11</f>
        <v>0</v>
      </c>
      <c r="K11" s="323">
        <f>E11*I11</f>
        <v>0</v>
      </c>
      <c r="L11" s="323">
        <f>F11*I11</f>
        <v>0</v>
      </c>
      <c r="M11" s="323">
        <f>G11*I11</f>
        <v>0</v>
      </c>
      <c r="N11" s="324">
        <f>H11*I11</f>
        <v>0</v>
      </c>
    </row>
    <row r="12" spans="1:14" ht="31.5" customHeight="1" thickBot="1">
      <c r="A12" s="454">
        <f>'Pricing Schedule'!A80</f>
        <v>23.04</v>
      </c>
      <c r="B12" s="322" t="str">
        <f>'Pricing Schedule'!B80</f>
        <v>Tender opening meeting</v>
      </c>
      <c r="C12" s="322" t="str">
        <f>'Pricing Schedule'!C80</f>
        <v>No.</v>
      </c>
      <c r="D12" s="335">
        <f>'Pricing Schedule'!D80</f>
        <v>30</v>
      </c>
      <c r="E12" s="389">
        <f t="shared" ref="E12" si="2">D12</f>
        <v>30</v>
      </c>
      <c r="F12" s="490">
        <f>DATA!$BJ$52</f>
        <v>0</v>
      </c>
      <c r="G12" s="389"/>
      <c r="H12" s="324">
        <f>F12+G12</f>
        <v>0</v>
      </c>
      <c r="I12" s="402">
        <f>'Pricing Schedule'!E80</f>
        <v>0</v>
      </c>
      <c r="J12" s="323">
        <f>D12*I12</f>
        <v>0</v>
      </c>
      <c r="K12" s="323">
        <f>E12*I12</f>
        <v>0</v>
      </c>
      <c r="L12" s="323">
        <f>F12*I12</f>
        <v>0</v>
      </c>
      <c r="M12" s="323">
        <f>G12*I12</f>
        <v>0</v>
      </c>
      <c r="N12" s="324">
        <f>H12*I12</f>
        <v>0</v>
      </c>
    </row>
    <row r="13" spans="1:14" ht="31.5" customHeight="1" thickBot="1">
      <c r="A13" s="1270" t="s">
        <v>283</v>
      </c>
      <c r="B13" s="1270"/>
      <c r="C13" s="1270"/>
      <c r="D13" s="383"/>
      <c r="E13" s="384"/>
      <c r="F13" s="384"/>
      <c r="G13" s="384"/>
      <c r="H13" s="385"/>
      <c r="I13" s="383"/>
      <c r="J13" s="387">
        <f>SUM(J8:J12)</f>
        <v>5150000</v>
      </c>
      <c r="K13" s="387">
        <f t="shared" ref="K13:N13" si="3">SUM(K8:K12)</f>
        <v>5150000</v>
      </c>
      <c r="L13" s="387">
        <f t="shared" si="3"/>
        <v>0</v>
      </c>
      <c r="M13" s="387">
        <f t="shared" si="3"/>
        <v>0</v>
      </c>
      <c r="N13" s="387">
        <f t="shared" si="3"/>
        <v>0</v>
      </c>
    </row>
    <row r="16" spans="1:14" ht="30.9" customHeight="1">
      <c r="A16" s="456" t="s">
        <v>329</v>
      </c>
      <c r="B16" s="456"/>
      <c r="J16" s="404">
        <f>J10+J11+J12</f>
        <v>0</v>
      </c>
      <c r="K16" s="404">
        <f t="shared" ref="K16:N16" si="4">K10+K11+K12</f>
        <v>0</v>
      </c>
      <c r="L16" s="404">
        <f t="shared" si="4"/>
        <v>0</v>
      </c>
      <c r="M16" s="404">
        <f t="shared" si="4"/>
        <v>0</v>
      </c>
      <c r="N16" s="404">
        <f t="shared" si="4"/>
        <v>0</v>
      </c>
    </row>
    <row r="17" spans="1:14" ht="30.9" customHeight="1">
      <c r="A17" s="316" t="s">
        <v>331</v>
      </c>
      <c r="J17" s="404">
        <f>J8+J9</f>
        <v>5150000</v>
      </c>
      <c r="K17" s="404">
        <f t="shared" ref="K17:N17" si="5">K8+K9</f>
        <v>5150000</v>
      </c>
      <c r="L17" s="404">
        <f t="shared" si="5"/>
        <v>0</v>
      </c>
      <c r="M17" s="404">
        <f t="shared" si="5"/>
        <v>0</v>
      </c>
      <c r="N17" s="404">
        <f t="shared" si="5"/>
        <v>0</v>
      </c>
    </row>
    <row r="18" spans="1:14" ht="30.9" customHeight="1" thickBot="1">
      <c r="A18" s="316" t="s">
        <v>330</v>
      </c>
      <c r="J18" s="455">
        <f>SUM(J16:J17)</f>
        <v>5150000</v>
      </c>
      <c r="K18" s="455">
        <f t="shared" ref="K18:N18" si="6">SUM(K16:K17)</f>
        <v>5150000</v>
      </c>
      <c r="L18" s="455">
        <f t="shared" si="6"/>
        <v>0</v>
      </c>
      <c r="M18" s="455">
        <f t="shared" si="6"/>
        <v>0</v>
      </c>
      <c r="N18" s="455">
        <f t="shared" si="6"/>
        <v>0</v>
      </c>
    </row>
    <row r="19" spans="1:14" ht="13.8" thickTop="1"/>
  </sheetData>
  <mergeCells count="10">
    <mergeCell ref="A4:H4"/>
    <mergeCell ref="I4:J4"/>
    <mergeCell ref="K4:N4"/>
    <mergeCell ref="A13:C13"/>
    <mergeCell ref="A1:H1"/>
    <mergeCell ref="I1:M2"/>
    <mergeCell ref="N1:N2"/>
    <mergeCell ref="A2:H2"/>
    <mergeCell ref="I3:J3"/>
    <mergeCell ref="K3:N3"/>
  </mergeCells>
  <conditionalFormatting sqref="H8">
    <cfRule type="expression" dxfId="9" priority="5">
      <formula>H8&gt;E8</formula>
    </cfRule>
  </conditionalFormatting>
  <conditionalFormatting sqref="H9">
    <cfRule type="expression" dxfId="8" priority="4">
      <formula>H9&gt;E9</formula>
    </cfRule>
  </conditionalFormatting>
  <conditionalFormatting sqref="H11">
    <cfRule type="expression" dxfId="7" priority="3">
      <formula>H11&gt;E11</formula>
    </cfRule>
  </conditionalFormatting>
  <conditionalFormatting sqref="H12">
    <cfRule type="expression" dxfId="6" priority="2">
      <formula>H12&gt;E12</formula>
    </cfRule>
  </conditionalFormatting>
  <conditionalFormatting sqref="H10">
    <cfRule type="expression" dxfId="5" priority="1">
      <formula>H10&gt;E10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6">
    <tabColor rgb="FF0070C0"/>
    <pageSetUpPr fitToPage="1"/>
  </sheetPr>
  <dimension ref="A1:H46"/>
  <sheetViews>
    <sheetView workbookViewId="0">
      <selection sqref="A1:H1"/>
    </sheetView>
  </sheetViews>
  <sheetFormatPr defaultRowHeight="13.2"/>
  <cols>
    <col min="1" max="1" width="10.88671875" style="2" customWidth="1"/>
    <col min="2" max="2" width="16.88671875" style="2" customWidth="1"/>
    <col min="3" max="3" width="12.88671875" style="2" customWidth="1"/>
    <col min="4" max="4" width="12.109375" style="2" customWidth="1"/>
    <col min="5" max="5" width="7.6640625" style="2" customWidth="1"/>
    <col min="6" max="6" width="7.33203125" style="2" customWidth="1"/>
    <col min="7" max="7" width="28.6640625" style="2" customWidth="1"/>
    <col min="8" max="8" width="42.6640625" style="2" customWidth="1"/>
    <col min="9" max="256" width="9.109375" style="2"/>
    <col min="257" max="257" width="10.88671875" style="2" customWidth="1"/>
    <col min="258" max="258" width="15.6640625" style="2" customWidth="1"/>
    <col min="259" max="259" width="12.88671875" style="2" customWidth="1"/>
    <col min="260" max="260" width="12.109375" style="2" customWidth="1"/>
    <col min="261" max="261" width="7.6640625" style="2" customWidth="1"/>
    <col min="262" max="262" width="5.33203125" style="2" customWidth="1"/>
    <col min="263" max="263" width="28.6640625" style="2" customWidth="1"/>
    <col min="264" max="264" width="42.6640625" style="2" customWidth="1"/>
    <col min="265" max="512" width="9.109375" style="2"/>
    <col min="513" max="513" width="10.88671875" style="2" customWidth="1"/>
    <col min="514" max="514" width="15.6640625" style="2" customWidth="1"/>
    <col min="515" max="515" width="12.88671875" style="2" customWidth="1"/>
    <col min="516" max="516" width="12.109375" style="2" customWidth="1"/>
    <col min="517" max="517" width="7.6640625" style="2" customWidth="1"/>
    <col min="518" max="518" width="5.33203125" style="2" customWidth="1"/>
    <col min="519" max="519" width="28.6640625" style="2" customWidth="1"/>
    <col min="520" max="520" width="42.6640625" style="2" customWidth="1"/>
    <col min="521" max="768" width="9.109375" style="2"/>
    <col min="769" max="769" width="10.88671875" style="2" customWidth="1"/>
    <col min="770" max="770" width="15.6640625" style="2" customWidth="1"/>
    <col min="771" max="771" width="12.88671875" style="2" customWidth="1"/>
    <col min="772" max="772" width="12.109375" style="2" customWidth="1"/>
    <col min="773" max="773" width="7.6640625" style="2" customWidth="1"/>
    <col min="774" max="774" width="5.33203125" style="2" customWidth="1"/>
    <col min="775" max="775" width="28.6640625" style="2" customWidth="1"/>
    <col min="776" max="776" width="42.6640625" style="2" customWidth="1"/>
    <col min="777" max="1024" width="9.109375" style="2"/>
    <col min="1025" max="1025" width="10.88671875" style="2" customWidth="1"/>
    <col min="1026" max="1026" width="15.6640625" style="2" customWidth="1"/>
    <col min="1027" max="1027" width="12.88671875" style="2" customWidth="1"/>
    <col min="1028" max="1028" width="12.109375" style="2" customWidth="1"/>
    <col min="1029" max="1029" width="7.6640625" style="2" customWidth="1"/>
    <col min="1030" max="1030" width="5.33203125" style="2" customWidth="1"/>
    <col min="1031" max="1031" width="28.6640625" style="2" customWidth="1"/>
    <col min="1032" max="1032" width="42.6640625" style="2" customWidth="1"/>
    <col min="1033" max="1280" width="9.109375" style="2"/>
    <col min="1281" max="1281" width="10.88671875" style="2" customWidth="1"/>
    <col min="1282" max="1282" width="15.6640625" style="2" customWidth="1"/>
    <col min="1283" max="1283" width="12.88671875" style="2" customWidth="1"/>
    <col min="1284" max="1284" width="12.109375" style="2" customWidth="1"/>
    <col min="1285" max="1285" width="7.6640625" style="2" customWidth="1"/>
    <col min="1286" max="1286" width="5.33203125" style="2" customWidth="1"/>
    <col min="1287" max="1287" width="28.6640625" style="2" customWidth="1"/>
    <col min="1288" max="1288" width="42.6640625" style="2" customWidth="1"/>
    <col min="1289" max="1536" width="9.109375" style="2"/>
    <col min="1537" max="1537" width="10.88671875" style="2" customWidth="1"/>
    <col min="1538" max="1538" width="15.6640625" style="2" customWidth="1"/>
    <col min="1539" max="1539" width="12.88671875" style="2" customWidth="1"/>
    <col min="1540" max="1540" width="12.109375" style="2" customWidth="1"/>
    <col min="1541" max="1541" width="7.6640625" style="2" customWidth="1"/>
    <col min="1542" max="1542" width="5.33203125" style="2" customWidth="1"/>
    <col min="1543" max="1543" width="28.6640625" style="2" customWidth="1"/>
    <col min="1544" max="1544" width="42.6640625" style="2" customWidth="1"/>
    <col min="1545" max="1792" width="9.109375" style="2"/>
    <col min="1793" max="1793" width="10.88671875" style="2" customWidth="1"/>
    <col min="1794" max="1794" width="15.6640625" style="2" customWidth="1"/>
    <col min="1795" max="1795" width="12.88671875" style="2" customWidth="1"/>
    <col min="1796" max="1796" width="12.109375" style="2" customWidth="1"/>
    <col min="1797" max="1797" width="7.6640625" style="2" customWidth="1"/>
    <col min="1798" max="1798" width="5.33203125" style="2" customWidth="1"/>
    <col min="1799" max="1799" width="28.6640625" style="2" customWidth="1"/>
    <col min="1800" max="1800" width="42.6640625" style="2" customWidth="1"/>
    <col min="1801" max="2048" width="9.109375" style="2"/>
    <col min="2049" max="2049" width="10.88671875" style="2" customWidth="1"/>
    <col min="2050" max="2050" width="15.6640625" style="2" customWidth="1"/>
    <col min="2051" max="2051" width="12.88671875" style="2" customWidth="1"/>
    <col min="2052" max="2052" width="12.109375" style="2" customWidth="1"/>
    <col min="2053" max="2053" width="7.6640625" style="2" customWidth="1"/>
    <col min="2054" max="2054" width="5.33203125" style="2" customWidth="1"/>
    <col min="2055" max="2055" width="28.6640625" style="2" customWidth="1"/>
    <col min="2056" max="2056" width="42.6640625" style="2" customWidth="1"/>
    <col min="2057" max="2304" width="9.109375" style="2"/>
    <col min="2305" max="2305" width="10.88671875" style="2" customWidth="1"/>
    <col min="2306" max="2306" width="15.6640625" style="2" customWidth="1"/>
    <col min="2307" max="2307" width="12.88671875" style="2" customWidth="1"/>
    <col min="2308" max="2308" width="12.109375" style="2" customWidth="1"/>
    <col min="2309" max="2309" width="7.6640625" style="2" customWidth="1"/>
    <col min="2310" max="2310" width="5.33203125" style="2" customWidth="1"/>
    <col min="2311" max="2311" width="28.6640625" style="2" customWidth="1"/>
    <col min="2312" max="2312" width="42.6640625" style="2" customWidth="1"/>
    <col min="2313" max="2560" width="9.109375" style="2"/>
    <col min="2561" max="2561" width="10.88671875" style="2" customWidth="1"/>
    <col min="2562" max="2562" width="15.6640625" style="2" customWidth="1"/>
    <col min="2563" max="2563" width="12.88671875" style="2" customWidth="1"/>
    <col min="2564" max="2564" width="12.109375" style="2" customWidth="1"/>
    <col min="2565" max="2565" width="7.6640625" style="2" customWidth="1"/>
    <col min="2566" max="2566" width="5.33203125" style="2" customWidth="1"/>
    <col min="2567" max="2567" width="28.6640625" style="2" customWidth="1"/>
    <col min="2568" max="2568" width="42.6640625" style="2" customWidth="1"/>
    <col min="2569" max="2816" width="9.109375" style="2"/>
    <col min="2817" max="2817" width="10.88671875" style="2" customWidth="1"/>
    <col min="2818" max="2818" width="15.6640625" style="2" customWidth="1"/>
    <col min="2819" max="2819" width="12.88671875" style="2" customWidth="1"/>
    <col min="2820" max="2820" width="12.109375" style="2" customWidth="1"/>
    <col min="2821" max="2821" width="7.6640625" style="2" customWidth="1"/>
    <col min="2822" max="2822" width="5.33203125" style="2" customWidth="1"/>
    <col min="2823" max="2823" width="28.6640625" style="2" customWidth="1"/>
    <col min="2824" max="2824" width="42.6640625" style="2" customWidth="1"/>
    <col min="2825" max="3072" width="9.109375" style="2"/>
    <col min="3073" max="3073" width="10.88671875" style="2" customWidth="1"/>
    <col min="3074" max="3074" width="15.6640625" style="2" customWidth="1"/>
    <col min="3075" max="3075" width="12.88671875" style="2" customWidth="1"/>
    <col min="3076" max="3076" width="12.109375" style="2" customWidth="1"/>
    <col min="3077" max="3077" width="7.6640625" style="2" customWidth="1"/>
    <col min="3078" max="3078" width="5.33203125" style="2" customWidth="1"/>
    <col min="3079" max="3079" width="28.6640625" style="2" customWidth="1"/>
    <col min="3080" max="3080" width="42.6640625" style="2" customWidth="1"/>
    <col min="3081" max="3328" width="9.109375" style="2"/>
    <col min="3329" max="3329" width="10.88671875" style="2" customWidth="1"/>
    <col min="3330" max="3330" width="15.6640625" style="2" customWidth="1"/>
    <col min="3331" max="3331" width="12.88671875" style="2" customWidth="1"/>
    <col min="3332" max="3332" width="12.109375" style="2" customWidth="1"/>
    <col min="3333" max="3333" width="7.6640625" style="2" customWidth="1"/>
    <col min="3334" max="3334" width="5.33203125" style="2" customWidth="1"/>
    <col min="3335" max="3335" width="28.6640625" style="2" customWidth="1"/>
    <col min="3336" max="3336" width="42.6640625" style="2" customWidth="1"/>
    <col min="3337" max="3584" width="9.109375" style="2"/>
    <col min="3585" max="3585" width="10.88671875" style="2" customWidth="1"/>
    <col min="3586" max="3586" width="15.6640625" style="2" customWidth="1"/>
    <col min="3587" max="3587" width="12.88671875" style="2" customWidth="1"/>
    <col min="3588" max="3588" width="12.109375" style="2" customWidth="1"/>
    <col min="3589" max="3589" width="7.6640625" style="2" customWidth="1"/>
    <col min="3590" max="3590" width="5.33203125" style="2" customWidth="1"/>
    <col min="3591" max="3591" width="28.6640625" style="2" customWidth="1"/>
    <col min="3592" max="3592" width="42.6640625" style="2" customWidth="1"/>
    <col min="3593" max="3840" width="9.109375" style="2"/>
    <col min="3841" max="3841" width="10.88671875" style="2" customWidth="1"/>
    <col min="3842" max="3842" width="15.6640625" style="2" customWidth="1"/>
    <col min="3843" max="3843" width="12.88671875" style="2" customWidth="1"/>
    <col min="3844" max="3844" width="12.109375" style="2" customWidth="1"/>
    <col min="3845" max="3845" width="7.6640625" style="2" customWidth="1"/>
    <col min="3846" max="3846" width="5.33203125" style="2" customWidth="1"/>
    <col min="3847" max="3847" width="28.6640625" style="2" customWidth="1"/>
    <col min="3848" max="3848" width="42.6640625" style="2" customWidth="1"/>
    <col min="3849" max="4096" width="9.109375" style="2"/>
    <col min="4097" max="4097" width="10.88671875" style="2" customWidth="1"/>
    <col min="4098" max="4098" width="15.6640625" style="2" customWidth="1"/>
    <col min="4099" max="4099" width="12.88671875" style="2" customWidth="1"/>
    <col min="4100" max="4100" width="12.109375" style="2" customWidth="1"/>
    <col min="4101" max="4101" width="7.6640625" style="2" customWidth="1"/>
    <col min="4102" max="4102" width="5.33203125" style="2" customWidth="1"/>
    <col min="4103" max="4103" width="28.6640625" style="2" customWidth="1"/>
    <col min="4104" max="4104" width="42.6640625" style="2" customWidth="1"/>
    <col min="4105" max="4352" width="9.109375" style="2"/>
    <col min="4353" max="4353" width="10.88671875" style="2" customWidth="1"/>
    <col min="4354" max="4354" width="15.6640625" style="2" customWidth="1"/>
    <col min="4355" max="4355" width="12.88671875" style="2" customWidth="1"/>
    <col min="4356" max="4356" width="12.109375" style="2" customWidth="1"/>
    <col min="4357" max="4357" width="7.6640625" style="2" customWidth="1"/>
    <col min="4358" max="4358" width="5.33203125" style="2" customWidth="1"/>
    <col min="4359" max="4359" width="28.6640625" style="2" customWidth="1"/>
    <col min="4360" max="4360" width="42.6640625" style="2" customWidth="1"/>
    <col min="4361" max="4608" width="9.109375" style="2"/>
    <col min="4609" max="4609" width="10.88671875" style="2" customWidth="1"/>
    <col min="4610" max="4610" width="15.6640625" style="2" customWidth="1"/>
    <col min="4611" max="4611" width="12.88671875" style="2" customWidth="1"/>
    <col min="4612" max="4612" width="12.109375" style="2" customWidth="1"/>
    <col min="4613" max="4613" width="7.6640625" style="2" customWidth="1"/>
    <col min="4614" max="4614" width="5.33203125" style="2" customWidth="1"/>
    <col min="4615" max="4615" width="28.6640625" style="2" customWidth="1"/>
    <col min="4616" max="4616" width="42.6640625" style="2" customWidth="1"/>
    <col min="4617" max="4864" width="9.109375" style="2"/>
    <col min="4865" max="4865" width="10.88671875" style="2" customWidth="1"/>
    <col min="4866" max="4866" width="15.6640625" style="2" customWidth="1"/>
    <col min="4867" max="4867" width="12.88671875" style="2" customWidth="1"/>
    <col min="4868" max="4868" width="12.109375" style="2" customWidth="1"/>
    <col min="4869" max="4869" width="7.6640625" style="2" customWidth="1"/>
    <col min="4870" max="4870" width="5.33203125" style="2" customWidth="1"/>
    <col min="4871" max="4871" width="28.6640625" style="2" customWidth="1"/>
    <col min="4872" max="4872" width="42.6640625" style="2" customWidth="1"/>
    <col min="4873" max="5120" width="9.109375" style="2"/>
    <col min="5121" max="5121" width="10.88671875" style="2" customWidth="1"/>
    <col min="5122" max="5122" width="15.6640625" style="2" customWidth="1"/>
    <col min="5123" max="5123" width="12.88671875" style="2" customWidth="1"/>
    <col min="5124" max="5124" width="12.109375" style="2" customWidth="1"/>
    <col min="5125" max="5125" width="7.6640625" style="2" customWidth="1"/>
    <col min="5126" max="5126" width="5.33203125" style="2" customWidth="1"/>
    <col min="5127" max="5127" width="28.6640625" style="2" customWidth="1"/>
    <col min="5128" max="5128" width="42.6640625" style="2" customWidth="1"/>
    <col min="5129" max="5376" width="9.109375" style="2"/>
    <col min="5377" max="5377" width="10.88671875" style="2" customWidth="1"/>
    <col min="5378" max="5378" width="15.6640625" style="2" customWidth="1"/>
    <col min="5379" max="5379" width="12.88671875" style="2" customWidth="1"/>
    <col min="5380" max="5380" width="12.109375" style="2" customWidth="1"/>
    <col min="5381" max="5381" width="7.6640625" style="2" customWidth="1"/>
    <col min="5382" max="5382" width="5.33203125" style="2" customWidth="1"/>
    <col min="5383" max="5383" width="28.6640625" style="2" customWidth="1"/>
    <col min="5384" max="5384" width="42.6640625" style="2" customWidth="1"/>
    <col min="5385" max="5632" width="9.109375" style="2"/>
    <col min="5633" max="5633" width="10.88671875" style="2" customWidth="1"/>
    <col min="5634" max="5634" width="15.6640625" style="2" customWidth="1"/>
    <col min="5635" max="5635" width="12.88671875" style="2" customWidth="1"/>
    <col min="5636" max="5636" width="12.109375" style="2" customWidth="1"/>
    <col min="5637" max="5637" width="7.6640625" style="2" customWidth="1"/>
    <col min="5638" max="5638" width="5.33203125" style="2" customWidth="1"/>
    <col min="5639" max="5639" width="28.6640625" style="2" customWidth="1"/>
    <col min="5640" max="5640" width="42.6640625" style="2" customWidth="1"/>
    <col min="5641" max="5888" width="9.109375" style="2"/>
    <col min="5889" max="5889" width="10.88671875" style="2" customWidth="1"/>
    <col min="5890" max="5890" width="15.6640625" style="2" customWidth="1"/>
    <col min="5891" max="5891" width="12.88671875" style="2" customWidth="1"/>
    <col min="5892" max="5892" width="12.109375" style="2" customWidth="1"/>
    <col min="5893" max="5893" width="7.6640625" style="2" customWidth="1"/>
    <col min="5894" max="5894" width="5.33203125" style="2" customWidth="1"/>
    <col min="5895" max="5895" width="28.6640625" style="2" customWidth="1"/>
    <col min="5896" max="5896" width="42.6640625" style="2" customWidth="1"/>
    <col min="5897" max="6144" width="9.109375" style="2"/>
    <col min="6145" max="6145" width="10.88671875" style="2" customWidth="1"/>
    <col min="6146" max="6146" width="15.6640625" style="2" customWidth="1"/>
    <col min="6147" max="6147" width="12.88671875" style="2" customWidth="1"/>
    <col min="6148" max="6148" width="12.109375" style="2" customWidth="1"/>
    <col min="6149" max="6149" width="7.6640625" style="2" customWidth="1"/>
    <col min="6150" max="6150" width="5.33203125" style="2" customWidth="1"/>
    <col min="6151" max="6151" width="28.6640625" style="2" customWidth="1"/>
    <col min="6152" max="6152" width="42.6640625" style="2" customWidth="1"/>
    <col min="6153" max="6400" width="9.109375" style="2"/>
    <col min="6401" max="6401" width="10.88671875" style="2" customWidth="1"/>
    <col min="6402" max="6402" width="15.6640625" style="2" customWidth="1"/>
    <col min="6403" max="6403" width="12.88671875" style="2" customWidth="1"/>
    <col min="6404" max="6404" width="12.109375" style="2" customWidth="1"/>
    <col min="6405" max="6405" width="7.6640625" style="2" customWidth="1"/>
    <col min="6406" max="6406" width="5.33203125" style="2" customWidth="1"/>
    <col min="6407" max="6407" width="28.6640625" style="2" customWidth="1"/>
    <col min="6408" max="6408" width="42.6640625" style="2" customWidth="1"/>
    <col min="6409" max="6656" width="9.109375" style="2"/>
    <col min="6657" max="6657" width="10.88671875" style="2" customWidth="1"/>
    <col min="6658" max="6658" width="15.6640625" style="2" customWidth="1"/>
    <col min="6659" max="6659" width="12.88671875" style="2" customWidth="1"/>
    <col min="6660" max="6660" width="12.109375" style="2" customWidth="1"/>
    <col min="6661" max="6661" width="7.6640625" style="2" customWidth="1"/>
    <col min="6662" max="6662" width="5.33203125" style="2" customWidth="1"/>
    <col min="6663" max="6663" width="28.6640625" style="2" customWidth="1"/>
    <col min="6664" max="6664" width="42.6640625" style="2" customWidth="1"/>
    <col min="6665" max="6912" width="9.109375" style="2"/>
    <col min="6913" max="6913" width="10.88671875" style="2" customWidth="1"/>
    <col min="6914" max="6914" width="15.6640625" style="2" customWidth="1"/>
    <col min="6915" max="6915" width="12.88671875" style="2" customWidth="1"/>
    <col min="6916" max="6916" width="12.109375" style="2" customWidth="1"/>
    <col min="6917" max="6917" width="7.6640625" style="2" customWidth="1"/>
    <col min="6918" max="6918" width="5.33203125" style="2" customWidth="1"/>
    <col min="6919" max="6919" width="28.6640625" style="2" customWidth="1"/>
    <col min="6920" max="6920" width="42.6640625" style="2" customWidth="1"/>
    <col min="6921" max="7168" width="9.109375" style="2"/>
    <col min="7169" max="7169" width="10.88671875" style="2" customWidth="1"/>
    <col min="7170" max="7170" width="15.6640625" style="2" customWidth="1"/>
    <col min="7171" max="7171" width="12.88671875" style="2" customWidth="1"/>
    <col min="7172" max="7172" width="12.109375" style="2" customWidth="1"/>
    <col min="7173" max="7173" width="7.6640625" style="2" customWidth="1"/>
    <col min="7174" max="7174" width="5.33203125" style="2" customWidth="1"/>
    <col min="7175" max="7175" width="28.6640625" style="2" customWidth="1"/>
    <col min="7176" max="7176" width="42.6640625" style="2" customWidth="1"/>
    <col min="7177" max="7424" width="9.109375" style="2"/>
    <col min="7425" max="7425" width="10.88671875" style="2" customWidth="1"/>
    <col min="7426" max="7426" width="15.6640625" style="2" customWidth="1"/>
    <col min="7427" max="7427" width="12.88671875" style="2" customWidth="1"/>
    <col min="7428" max="7428" width="12.109375" style="2" customWidth="1"/>
    <col min="7429" max="7429" width="7.6640625" style="2" customWidth="1"/>
    <col min="7430" max="7430" width="5.33203125" style="2" customWidth="1"/>
    <col min="7431" max="7431" width="28.6640625" style="2" customWidth="1"/>
    <col min="7432" max="7432" width="42.6640625" style="2" customWidth="1"/>
    <col min="7433" max="7680" width="9.109375" style="2"/>
    <col min="7681" max="7681" width="10.88671875" style="2" customWidth="1"/>
    <col min="7682" max="7682" width="15.6640625" style="2" customWidth="1"/>
    <col min="7683" max="7683" width="12.88671875" style="2" customWidth="1"/>
    <col min="7684" max="7684" width="12.109375" style="2" customWidth="1"/>
    <col min="7685" max="7685" width="7.6640625" style="2" customWidth="1"/>
    <col min="7686" max="7686" width="5.33203125" style="2" customWidth="1"/>
    <col min="7687" max="7687" width="28.6640625" style="2" customWidth="1"/>
    <col min="7688" max="7688" width="42.6640625" style="2" customWidth="1"/>
    <col min="7689" max="7936" width="9.109375" style="2"/>
    <col min="7937" max="7937" width="10.88671875" style="2" customWidth="1"/>
    <col min="7938" max="7938" width="15.6640625" style="2" customWidth="1"/>
    <col min="7939" max="7939" width="12.88671875" style="2" customWidth="1"/>
    <col min="7940" max="7940" width="12.109375" style="2" customWidth="1"/>
    <col min="7941" max="7941" width="7.6640625" style="2" customWidth="1"/>
    <col min="7942" max="7942" width="5.33203125" style="2" customWidth="1"/>
    <col min="7943" max="7943" width="28.6640625" style="2" customWidth="1"/>
    <col min="7944" max="7944" width="42.6640625" style="2" customWidth="1"/>
    <col min="7945" max="8192" width="9.109375" style="2"/>
    <col min="8193" max="8193" width="10.88671875" style="2" customWidth="1"/>
    <col min="8194" max="8194" width="15.6640625" style="2" customWidth="1"/>
    <col min="8195" max="8195" width="12.88671875" style="2" customWidth="1"/>
    <col min="8196" max="8196" width="12.109375" style="2" customWidth="1"/>
    <col min="8197" max="8197" width="7.6640625" style="2" customWidth="1"/>
    <col min="8198" max="8198" width="5.33203125" style="2" customWidth="1"/>
    <col min="8199" max="8199" width="28.6640625" style="2" customWidth="1"/>
    <col min="8200" max="8200" width="42.6640625" style="2" customWidth="1"/>
    <col min="8201" max="8448" width="9.109375" style="2"/>
    <col min="8449" max="8449" width="10.88671875" style="2" customWidth="1"/>
    <col min="8450" max="8450" width="15.6640625" style="2" customWidth="1"/>
    <col min="8451" max="8451" width="12.88671875" style="2" customWidth="1"/>
    <col min="8452" max="8452" width="12.109375" style="2" customWidth="1"/>
    <col min="8453" max="8453" width="7.6640625" style="2" customWidth="1"/>
    <col min="8454" max="8454" width="5.33203125" style="2" customWidth="1"/>
    <col min="8455" max="8455" width="28.6640625" style="2" customWidth="1"/>
    <col min="8456" max="8456" width="42.6640625" style="2" customWidth="1"/>
    <col min="8457" max="8704" width="9.109375" style="2"/>
    <col min="8705" max="8705" width="10.88671875" style="2" customWidth="1"/>
    <col min="8706" max="8706" width="15.6640625" style="2" customWidth="1"/>
    <col min="8707" max="8707" width="12.88671875" style="2" customWidth="1"/>
    <col min="8708" max="8708" width="12.109375" style="2" customWidth="1"/>
    <col min="8709" max="8709" width="7.6640625" style="2" customWidth="1"/>
    <col min="8710" max="8710" width="5.33203125" style="2" customWidth="1"/>
    <col min="8711" max="8711" width="28.6640625" style="2" customWidth="1"/>
    <col min="8712" max="8712" width="42.6640625" style="2" customWidth="1"/>
    <col min="8713" max="8960" width="9.109375" style="2"/>
    <col min="8961" max="8961" width="10.88671875" style="2" customWidth="1"/>
    <col min="8962" max="8962" width="15.6640625" style="2" customWidth="1"/>
    <col min="8963" max="8963" width="12.88671875" style="2" customWidth="1"/>
    <col min="8964" max="8964" width="12.109375" style="2" customWidth="1"/>
    <col min="8965" max="8965" width="7.6640625" style="2" customWidth="1"/>
    <col min="8966" max="8966" width="5.33203125" style="2" customWidth="1"/>
    <col min="8967" max="8967" width="28.6640625" style="2" customWidth="1"/>
    <col min="8968" max="8968" width="42.6640625" style="2" customWidth="1"/>
    <col min="8969" max="9216" width="9.109375" style="2"/>
    <col min="9217" max="9217" width="10.88671875" style="2" customWidth="1"/>
    <col min="9218" max="9218" width="15.6640625" style="2" customWidth="1"/>
    <col min="9219" max="9219" width="12.88671875" style="2" customWidth="1"/>
    <col min="9220" max="9220" width="12.109375" style="2" customWidth="1"/>
    <col min="9221" max="9221" width="7.6640625" style="2" customWidth="1"/>
    <col min="9222" max="9222" width="5.33203125" style="2" customWidth="1"/>
    <col min="9223" max="9223" width="28.6640625" style="2" customWidth="1"/>
    <col min="9224" max="9224" width="42.6640625" style="2" customWidth="1"/>
    <col min="9225" max="9472" width="9.109375" style="2"/>
    <col min="9473" max="9473" width="10.88671875" style="2" customWidth="1"/>
    <col min="9474" max="9474" width="15.6640625" style="2" customWidth="1"/>
    <col min="9475" max="9475" width="12.88671875" style="2" customWidth="1"/>
    <col min="9476" max="9476" width="12.109375" style="2" customWidth="1"/>
    <col min="9477" max="9477" width="7.6640625" style="2" customWidth="1"/>
    <col min="9478" max="9478" width="5.33203125" style="2" customWidth="1"/>
    <col min="9479" max="9479" width="28.6640625" style="2" customWidth="1"/>
    <col min="9480" max="9480" width="42.6640625" style="2" customWidth="1"/>
    <col min="9481" max="9728" width="9.109375" style="2"/>
    <col min="9729" max="9729" width="10.88671875" style="2" customWidth="1"/>
    <col min="9730" max="9730" width="15.6640625" style="2" customWidth="1"/>
    <col min="9731" max="9731" width="12.88671875" style="2" customWidth="1"/>
    <col min="9732" max="9732" width="12.109375" style="2" customWidth="1"/>
    <col min="9733" max="9733" width="7.6640625" style="2" customWidth="1"/>
    <col min="9734" max="9734" width="5.33203125" style="2" customWidth="1"/>
    <col min="9735" max="9735" width="28.6640625" style="2" customWidth="1"/>
    <col min="9736" max="9736" width="42.6640625" style="2" customWidth="1"/>
    <col min="9737" max="9984" width="9.109375" style="2"/>
    <col min="9985" max="9985" width="10.88671875" style="2" customWidth="1"/>
    <col min="9986" max="9986" width="15.6640625" style="2" customWidth="1"/>
    <col min="9987" max="9987" width="12.88671875" style="2" customWidth="1"/>
    <col min="9988" max="9988" width="12.109375" style="2" customWidth="1"/>
    <col min="9989" max="9989" width="7.6640625" style="2" customWidth="1"/>
    <col min="9990" max="9990" width="5.33203125" style="2" customWidth="1"/>
    <col min="9991" max="9991" width="28.6640625" style="2" customWidth="1"/>
    <col min="9992" max="9992" width="42.6640625" style="2" customWidth="1"/>
    <col min="9993" max="10240" width="9.109375" style="2"/>
    <col min="10241" max="10241" width="10.88671875" style="2" customWidth="1"/>
    <col min="10242" max="10242" width="15.6640625" style="2" customWidth="1"/>
    <col min="10243" max="10243" width="12.88671875" style="2" customWidth="1"/>
    <col min="10244" max="10244" width="12.109375" style="2" customWidth="1"/>
    <col min="10245" max="10245" width="7.6640625" style="2" customWidth="1"/>
    <col min="10246" max="10246" width="5.33203125" style="2" customWidth="1"/>
    <col min="10247" max="10247" width="28.6640625" style="2" customWidth="1"/>
    <col min="10248" max="10248" width="42.6640625" style="2" customWidth="1"/>
    <col min="10249" max="10496" width="9.109375" style="2"/>
    <col min="10497" max="10497" width="10.88671875" style="2" customWidth="1"/>
    <col min="10498" max="10498" width="15.6640625" style="2" customWidth="1"/>
    <col min="10499" max="10499" width="12.88671875" style="2" customWidth="1"/>
    <col min="10500" max="10500" width="12.109375" style="2" customWidth="1"/>
    <col min="10501" max="10501" width="7.6640625" style="2" customWidth="1"/>
    <col min="10502" max="10502" width="5.33203125" style="2" customWidth="1"/>
    <col min="10503" max="10503" width="28.6640625" style="2" customWidth="1"/>
    <col min="10504" max="10504" width="42.6640625" style="2" customWidth="1"/>
    <col min="10505" max="10752" width="9.109375" style="2"/>
    <col min="10753" max="10753" width="10.88671875" style="2" customWidth="1"/>
    <col min="10754" max="10754" width="15.6640625" style="2" customWidth="1"/>
    <col min="10755" max="10755" width="12.88671875" style="2" customWidth="1"/>
    <col min="10756" max="10756" width="12.109375" style="2" customWidth="1"/>
    <col min="10757" max="10757" width="7.6640625" style="2" customWidth="1"/>
    <col min="10758" max="10758" width="5.33203125" style="2" customWidth="1"/>
    <col min="10759" max="10759" width="28.6640625" style="2" customWidth="1"/>
    <col min="10760" max="10760" width="42.6640625" style="2" customWidth="1"/>
    <col min="10761" max="11008" width="9.109375" style="2"/>
    <col min="11009" max="11009" width="10.88671875" style="2" customWidth="1"/>
    <col min="11010" max="11010" width="15.6640625" style="2" customWidth="1"/>
    <col min="11011" max="11011" width="12.88671875" style="2" customWidth="1"/>
    <col min="11012" max="11012" width="12.109375" style="2" customWidth="1"/>
    <col min="11013" max="11013" width="7.6640625" style="2" customWidth="1"/>
    <col min="11014" max="11014" width="5.33203125" style="2" customWidth="1"/>
    <col min="11015" max="11015" width="28.6640625" style="2" customWidth="1"/>
    <col min="11016" max="11016" width="42.6640625" style="2" customWidth="1"/>
    <col min="11017" max="11264" width="9.109375" style="2"/>
    <col min="11265" max="11265" width="10.88671875" style="2" customWidth="1"/>
    <col min="11266" max="11266" width="15.6640625" style="2" customWidth="1"/>
    <col min="11267" max="11267" width="12.88671875" style="2" customWidth="1"/>
    <col min="11268" max="11268" width="12.109375" style="2" customWidth="1"/>
    <col min="11269" max="11269" width="7.6640625" style="2" customWidth="1"/>
    <col min="11270" max="11270" width="5.33203125" style="2" customWidth="1"/>
    <col min="11271" max="11271" width="28.6640625" style="2" customWidth="1"/>
    <col min="11272" max="11272" width="42.6640625" style="2" customWidth="1"/>
    <col min="11273" max="11520" width="9.109375" style="2"/>
    <col min="11521" max="11521" width="10.88671875" style="2" customWidth="1"/>
    <col min="11522" max="11522" width="15.6640625" style="2" customWidth="1"/>
    <col min="11523" max="11523" width="12.88671875" style="2" customWidth="1"/>
    <col min="11524" max="11524" width="12.109375" style="2" customWidth="1"/>
    <col min="11525" max="11525" width="7.6640625" style="2" customWidth="1"/>
    <col min="11526" max="11526" width="5.33203125" style="2" customWidth="1"/>
    <col min="11527" max="11527" width="28.6640625" style="2" customWidth="1"/>
    <col min="11528" max="11528" width="42.6640625" style="2" customWidth="1"/>
    <col min="11529" max="11776" width="9.109375" style="2"/>
    <col min="11777" max="11777" width="10.88671875" style="2" customWidth="1"/>
    <col min="11778" max="11778" width="15.6640625" style="2" customWidth="1"/>
    <col min="11779" max="11779" width="12.88671875" style="2" customWidth="1"/>
    <col min="11780" max="11780" width="12.109375" style="2" customWidth="1"/>
    <col min="11781" max="11781" width="7.6640625" style="2" customWidth="1"/>
    <col min="11782" max="11782" width="5.33203125" style="2" customWidth="1"/>
    <col min="11783" max="11783" width="28.6640625" style="2" customWidth="1"/>
    <col min="11784" max="11784" width="42.6640625" style="2" customWidth="1"/>
    <col min="11785" max="12032" width="9.109375" style="2"/>
    <col min="12033" max="12033" width="10.88671875" style="2" customWidth="1"/>
    <col min="12034" max="12034" width="15.6640625" style="2" customWidth="1"/>
    <col min="12035" max="12035" width="12.88671875" style="2" customWidth="1"/>
    <col min="12036" max="12036" width="12.109375" style="2" customWidth="1"/>
    <col min="12037" max="12037" width="7.6640625" style="2" customWidth="1"/>
    <col min="12038" max="12038" width="5.33203125" style="2" customWidth="1"/>
    <col min="12039" max="12039" width="28.6640625" style="2" customWidth="1"/>
    <col min="12040" max="12040" width="42.6640625" style="2" customWidth="1"/>
    <col min="12041" max="12288" width="9.109375" style="2"/>
    <col min="12289" max="12289" width="10.88671875" style="2" customWidth="1"/>
    <col min="12290" max="12290" width="15.6640625" style="2" customWidth="1"/>
    <col min="12291" max="12291" width="12.88671875" style="2" customWidth="1"/>
    <col min="12292" max="12292" width="12.109375" style="2" customWidth="1"/>
    <col min="12293" max="12293" width="7.6640625" style="2" customWidth="1"/>
    <col min="12294" max="12294" width="5.33203125" style="2" customWidth="1"/>
    <col min="12295" max="12295" width="28.6640625" style="2" customWidth="1"/>
    <col min="12296" max="12296" width="42.6640625" style="2" customWidth="1"/>
    <col min="12297" max="12544" width="9.109375" style="2"/>
    <col min="12545" max="12545" width="10.88671875" style="2" customWidth="1"/>
    <col min="12546" max="12546" width="15.6640625" style="2" customWidth="1"/>
    <col min="12547" max="12547" width="12.88671875" style="2" customWidth="1"/>
    <col min="12548" max="12548" width="12.109375" style="2" customWidth="1"/>
    <col min="12549" max="12549" width="7.6640625" style="2" customWidth="1"/>
    <col min="12550" max="12550" width="5.33203125" style="2" customWidth="1"/>
    <col min="12551" max="12551" width="28.6640625" style="2" customWidth="1"/>
    <col min="12552" max="12552" width="42.6640625" style="2" customWidth="1"/>
    <col min="12553" max="12800" width="9.109375" style="2"/>
    <col min="12801" max="12801" width="10.88671875" style="2" customWidth="1"/>
    <col min="12802" max="12802" width="15.6640625" style="2" customWidth="1"/>
    <col min="12803" max="12803" width="12.88671875" style="2" customWidth="1"/>
    <col min="12804" max="12804" width="12.109375" style="2" customWidth="1"/>
    <col min="12805" max="12805" width="7.6640625" style="2" customWidth="1"/>
    <col min="12806" max="12806" width="5.33203125" style="2" customWidth="1"/>
    <col min="12807" max="12807" width="28.6640625" style="2" customWidth="1"/>
    <col min="12808" max="12808" width="42.6640625" style="2" customWidth="1"/>
    <col min="12809" max="13056" width="9.109375" style="2"/>
    <col min="13057" max="13057" width="10.88671875" style="2" customWidth="1"/>
    <col min="13058" max="13058" width="15.6640625" style="2" customWidth="1"/>
    <col min="13059" max="13059" width="12.88671875" style="2" customWidth="1"/>
    <col min="13060" max="13060" width="12.109375" style="2" customWidth="1"/>
    <col min="13061" max="13061" width="7.6640625" style="2" customWidth="1"/>
    <col min="13062" max="13062" width="5.33203125" style="2" customWidth="1"/>
    <col min="13063" max="13063" width="28.6640625" style="2" customWidth="1"/>
    <col min="13064" max="13064" width="42.6640625" style="2" customWidth="1"/>
    <col min="13065" max="13312" width="9.109375" style="2"/>
    <col min="13313" max="13313" width="10.88671875" style="2" customWidth="1"/>
    <col min="13314" max="13314" width="15.6640625" style="2" customWidth="1"/>
    <col min="13315" max="13315" width="12.88671875" style="2" customWidth="1"/>
    <col min="13316" max="13316" width="12.109375" style="2" customWidth="1"/>
    <col min="13317" max="13317" width="7.6640625" style="2" customWidth="1"/>
    <col min="13318" max="13318" width="5.33203125" style="2" customWidth="1"/>
    <col min="13319" max="13319" width="28.6640625" style="2" customWidth="1"/>
    <col min="13320" max="13320" width="42.6640625" style="2" customWidth="1"/>
    <col min="13321" max="13568" width="9.109375" style="2"/>
    <col min="13569" max="13569" width="10.88671875" style="2" customWidth="1"/>
    <col min="13570" max="13570" width="15.6640625" style="2" customWidth="1"/>
    <col min="13571" max="13571" width="12.88671875" style="2" customWidth="1"/>
    <col min="13572" max="13572" width="12.109375" style="2" customWidth="1"/>
    <col min="13573" max="13573" width="7.6640625" style="2" customWidth="1"/>
    <col min="13574" max="13574" width="5.33203125" style="2" customWidth="1"/>
    <col min="13575" max="13575" width="28.6640625" style="2" customWidth="1"/>
    <col min="13576" max="13576" width="42.6640625" style="2" customWidth="1"/>
    <col min="13577" max="13824" width="9.109375" style="2"/>
    <col min="13825" max="13825" width="10.88671875" style="2" customWidth="1"/>
    <col min="13826" max="13826" width="15.6640625" style="2" customWidth="1"/>
    <col min="13827" max="13827" width="12.88671875" style="2" customWidth="1"/>
    <col min="13828" max="13828" width="12.109375" style="2" customWidth="1"/>
    <col min="13829" max="13829" width="7.6640625" style="2" customWidth="1"/>
    <col min="13830" max="13830" width="5.33203125" style="2" customWidth="1"/>
    <col min="13831" max="13831" width="28.6640625" style="2" customWidth="1"/>
    <col min="13832" max="13832" width="42.6640625" style="2" customWidth="1"/>
    <col min="13833" max="14080" width="9.109375" style="2"/>
    <col min="14081" max="14081" width="10.88671875" style="2" customWidth="1"/>
    <col min="14082" max="14082" width="15.6640625" style="2" customWidth="1"/>
    <col min="14083" max="14083" width="12.88671875" style="2" customWidth="1"/>
    <col min="14084" max="14084" width="12.109375" style="2" customWidth="1"/>
    <col min="14085" max="14085" width="7.6640625" style="2" customWidth="1"/>
    <col min="14086" max="14086" width="5.33203125" style="2" customWidth="1"/>
    <col min="14087" max="14087" width="28.6640625" style="2" customWidth="1"/>
    <col min="14088" max="14088" width="42.6640625" style="2" customWidth="1"/>
    <col min="14089" max="14336" width="9.109375" style="2"/>
    <col min="14337" max="14337" width="10.88671875" style="2" customWidth="1"/>
    <col min="14338" max="14338" width="15.6640625" style="2" customWidth="1"/>
    <col min="14339" max="14339" width="12.88671875" style="2" customWidth="1"/>
    <col min="14340" max="14340" width="12.109375" style="2" customWidth="1"/>
    <col min="14341" max="14341" width="7.6640625" style="2" customWidth="1"/>
    <col min="14342" max="14342" width="5.33203125" style="2" customWidth="1"/>
    <col min="14343" max="14343" width="28.6640625" style="2" customWidth="1"/>
    <col min="14344" max="14344" width="42.6640625" style="2" customWidth="1"/>
    <col min="14345" max="14592" width="9.109375" style="2"/>
    <col min="14593" max="14593" width="10.88671875" style="2" customWidth="1"/>
    <col min="14594" max="14594" width="15.6640625" style="2" customWidth="1"/>
    <col min="14595" max="14595" width="12.88671875" style="2" customWidth="1"/>
    <col min="14596" max="14596" width="12.109375" style="2" customWidth="1"/>
    <col min="14597" max="14597" width="7.6640625" style="2" customWidth="1"/>
    <col min="14598" max="14598" width="5.33203125" style="2" customWidth="1"/>
    <col min="14599" max="14599" width="28.6640625" style="2" customWidth="1"/>
    <col min="14600" max="14600" width="42.6640625" style="2" customWidth="1"/>
    <col min="14601" max="14848" width="9.109375" style="2"/>
    <col min="14849" max="14849" width="10.88671875" style="2" customWidth="1"/>
    <col min="14850" max="14850" width="15.6640625" style="2" customWidth="1"/>
    <col min="14851" max="14851" width="12.88671875" style="2" customWidth="1"/>
    <col min="14852" max="14852" width="12.109375" style="2" customWidth="1"/>
    <col min="14853" max="14853" width="7.6640625" style="2" customWidth="1"/>
    <col min="14854" max="14854" width="5.33203125" style="2" customWidth="1"/>
    <col min="14855" max="14855" width="28.6640625" style="2" customWidth="1"/>
    <col min="14856" max="14856" width="42.6640625" style="2" customWidth="1"/>
    <col min="14857" max="15104" width="9.109375" style="2"/>
    <col min="15105" max="15105" width="10.88671875" style="2" customWidth="1"/>
    <col min="15106" max="15106" width="15.6640625" style="2" customWidth="1"/>
    <col min="15107" max="15107" width="12.88671875" style="2" customWidth="1"/>
    <col min="15108" max="15108" width="12.109375" style="2" customWidth="1"/>
    <col min="15109" max="15109" width="7.6640625" style="2" customWidth="1"/>
    <col min="15110" max="15110" width="5.33203125" style="2" customWidth="1"/>
    <col min="15111" max="15111" width="28.6640625" style="2" customWidth="1"/>
    <col min="15112" max="15112" width="42.6640625" style="2" customWidth="1"/>
    <col min="15113" max="15360" width="9.109375" style="2"/>
    <col min="15361" max="15361" width="10.88671875" style="2" customWidth="1"/>
    <col min="15362" max="15362" width="15.6640625" style="2" customWidth="1"/>
    <col min="15363" max="15363" width="12.88671875" style="2" customWidth="1"/>
    <col min="15364" max="15364" width="12.109375" style="2" customWidth="1"/>
    <col min="15365" max="15365" width="7.6640625" style="2" customWidth="1"/>
    <col min="15366" max="15366" width="5.33203125" style="2" customWidth="1"/>
    <col min="15367" max="15367" width="28.6640625" style="2" customWidth="1"/>
    <col min="15368" max="15368" width="42.6640625" style="2" customWidth="1"/>
    <col min="15369" max="15616" width="9.109375" style="2"/>
    <col min="15617" max="15617" width="10.88671875" style="2" customWidth="1"/>
    <col min="15618" max="15618" width="15.6640625" style="2" customWidth="1"/>
    <col min="15619" max="15619" width="12.88671875" style="2" customWidth="1"/>
    <col min="15620" max="15620" width="12.109375" style="2" customWidth="1"/>
    <col min="15621" max="15621" width="7.6640625" style="2" customWidth="1"/>
    <col min="15622" max="15622" width="5.33203125" style="2" customWidth="1"/>
    <col min="15623" max="15623" width="28.6640625" style="2" customWidth="1"/>
    <col min="15624" max="15624" width="42.6640625" style="2" customWidth="1"/>
    <col min="15625" max="15872" width="9.109375" style="2"/>
    <col min="15873" max="15873" width="10.88671875" style="2" customWidth="1"/>
    <col min="15874" max="15874" width="15.6640625" style="2" customWidth="1"/>
    <col min="15875" max="15875" width="12.88671875" style="2" customWidth="1"/>
    <col min="15876" max="15876" width="12.109375" style="2" customWidth="1"/>
    <col min="15877" max="15877" width="7.6640625" style="2" customWidth="1"/>
    <col min="15878" max="15878" width="5.33203125" style="2" customWidth="1"/>
    <col min="15879" max="15879" width="28.6640625" style="2" customWidth="1"/>
    <col min="15880" max="15880" width="42.6640625" style="2" customWidth="1"/>
    <col min="15881" max="16128" width="9.109375" style="2"/>
    <col min="16129" max="16129" width="10.88671875" style="2" customWidth="1"/>
    <col min="16130" max="16130" width="15.6640625" style="2" customWidth="1"/>
    <col min="16131" max="16131" width="12.88671875" style="2" customWidth="1"/>
    <col min="16132" max="16132" width="12.109375" style="2" customWidth="1"/>
    <col min="16133" max="16133" width="7.6640625" style="2" customWidth="1"/>
    <col min="16134" max="16134" width="5.33203125" style="2" customWidth="1"/>
    <col min="16135" max="16135" width="28.6640625" style="2" customWidth="1"/>
    <col min="16136" max="16136" width="42.6640625" style="2" customWidth="1"/>
    <col min="16137" max="16384" width="9.109375" style="2"/>
  </cols>
  <sheetData>
    <row r="1" spans="1:8" ht="15.75" customHeight="1">
      <c r="A1" s="869" t="s">
        <v>578</v>
      </c>
      <c r="B1" s="1336"/>
      <c r="C1" s="1336"/>
      <c r="D1" s="1336"/>
      <c r="E1" s="1336"/>
      <c r="F1" s="1336"/>
      <c r="G1" s="1336"/>
      <c r="H1" s="1337"/>
    </row>
    <row r="2" spans="1:8" ht="15.75" customHeight="1">
      <c r="A2" s="295" t="str">
        <f>'F1 Forecast Combined'!E3</f>
        <v>GP2026/001/68120/2004</v>
      </c>
      <c r="B2" s="296"/>
      <c r="C2" s="296"/>
      <c r="D2" s="296"/>
      <c r="E2" s="296"/>
      <c r="F2" s="296"/>
      <c r="G2" s="296"/>
      <c r="H2" s="297"/>
    </row>
    <row r="3" spans="1:8" ht="15.75" customHeight="1" thickBot="1">
      <c r="A3" s="298"/>
      <c r="B3" s="299"/>
      <c r="C3" s="299"/>
      <c r="D3" s="299"/>
      <c r="E3" s="299"/>
      <c r="F3" s="299"/>
      <c r="G3" s="299"/>
      <c r="H3" s="300"/>
    </row>
    <row r="4" spans="1:8" ht="31.5" customHeight="1">
      <c r="A4" s="301" t="s">
        <v>285</v>
      </c>
      <c r="B4" s="1338"/>
      <c r="C4" s="1338"/>
      <c r="D4" s="1338"/>
      <c r="E4" s="1339" t="s">
        <v>286</v>
      </c>
      <c r="F4" s="1227"/>
      <c r="G4" s="1340"/>
      <c r="H4" s="1341"/>
    </row>
    <row r="5" spans="1:8" ht="31.5" customHeight="1">
      <c r="A5" s="302" t="s">
        <v>287</v>
      </c>
      <c r="B5" s="1342"/>
      <c r="C5" s="1342"/>
      <c r="D5" s="1342"/>
      <c r="E5" s="1198" t="s">
        <v>288</v>
      </c>
      <c r="F5" s="1221"/>
      <c r="G5" s="1343"/>
      <c r="H5" s="1344"/>
    </row>
    <row r="6" spans="1:8" ht="31.5" customHeight="1" thickBot="1">
      <c r="A6" s="302" t="s">
        <v>289</v>
      </c>
      <c r="B6" s="1346"/>
      <c r="C6" s="1346"/>
      <c r="D6" s="1346"/>
      <c r="E6" s="1198" t="s">
        <v>290</v>
      </c>
      <c r="F6" s="1221"/>
      <c r="G6" s="1343"/>
      <c r="H6" s="1344"/>
    </row>
    <row r="7" spans="1:8" ht="21.75" customHeight="1">
      <c r="A7" s="1347" t="s">
        <v>190</v>
      </c>
      <c r="B7" s="1157" t="s">
        <v>291</v>
      </c>
      <c r="C7" s="1349" t="s">
        <v>292</v>
      </c>
      <c r="D7" s="1350"/>
      <c r="E7" s="1350"/>
      <c r="F7" s="1351"/>
      <c r="G7" s="1352" t="s">
        <v>293</v>
      </c>
      <c r="H7" s="1354" t="s">
        <v>294</v>
      </c>
    </row>
    <row r="8" spans="1:8" ht="27" customHeight="1" thickBot="1">
      <c r="A8" s="1348"/>
      <c r="B8" s="1160"/>
      <c r="C8" s="303" t="s">
        <v>295</v>
      </c>
      <c r="D8" s="304" t="s">
        <v>296</v>
      </c>
      <c r="E8" s="1356" t="s">
        <v>297</v>
      </c>
      <c r="F8" s="1356"/>
      <c r="G8" s="1353"/>
      <c r="H8" s="1355"/>
    </row>
    <row r="9" spans="1:8" ht="24.9" customHeight="1">
      <c r="A9" s="414" t="s">
        <v>298</v>
      </c>
      <c r="B9" s="411"/>
      <c r="C9" s="305"/>
      <c r="D9" s="305"/>
      <c r="E9" s="1357"/>
      <c r="F9" s="1357"/>
      <c r="G9" s="305"/>
      <c r="H9" s="306"/>
    </row>
    <row r="10" spans="1:8" ht="24.9" customHeight="1">
      <c r="A10" s="415">
        <v>1</v>
      </c>
      <c r="B10" s="412"/>
      <c r="C10" s="308"/>
      <c r="D10" s="308"/>
      <c r="E10" s="1345"/>
      <c r="F10" s="1345"/>
      <c r="G10" s="307"/>
      <c r="H10" s="309"/>
    </row>
    <row r="11" spans="1:8" ht="24.9" customHeight="1">
      <c r="A11" s="415">
        <v>2</v>
      </c>
      <c r="B11" s="412"/>
      <c r="C11" s="308"/>
      <c r="D11" s="308"/>
      <c r="E11" s="1345"/>
      <c r="F11" s="1345"/>
      <c r="G11" s="307"/>
      <c r="H11" s="309"/>
    </row>
    <row r="12" spans="1:8" ht="24.9" customHeight="1">
      <c r="A12" s="415">
        <v>3</v>
      </c>
      <c r="B12" s="412"/>
      <c r="C12" s="308"/>
      <c r="D12" s="308"/>
      <c r="E12" s="1345"/>
      <c r="F12" s="1345"/>
      <c r="G12" s="307"/>
      <c r="H12" s="309"/>
    </row>
    <row r="13" spans="1:8" ht="24.9" customHeight="1">
      <c r="A13" s="415">
        <v>4</v>
      </c>
      <c r="B13" s="412"/>
      <c r="C13" s="308"/>
      <c r="D13" s="308"/>
      <c r="E13" s="1345"/>
      <c r="F13" s="1345"/>
      <c r="G13" s="307"/>
      <c r="H13" s="309"/>
    </row>
    <row r="14" spans="1:8" ht="24.9" customHeight="1">
      <c r="A14" s="415">
        <v>5</v>
      </c>
      <c r="B14" s="412"/>
      <c r="C14" s="308"/>
      <c r="D14" s="308"/>
      <c r="E14" s="1345"/>
      <c r="F14" s="1345"/>
      <c r="G14" s="307"/>
      <c r="H14" s="309"/>
    </row>
    <row r="15" spans="1:8" ht="24.9" customHeight="1">
      <c r="A15" s="415">
        <v>6</v>
      </c>
      <c r="B15" s="412"/>
      <c r="C15" s="308"/>
      <c r="D15" s="308"/>
      <c r="E15" s="1345"/>
      <c r="F15" s="1345"/>
      <c r="G15" s="307"/>
      <c r="H15" s="309"/>
    </row>
    <row r="16" spans="1:8" ht="24.9" customHeight="1">
      <c r="A16" s="415">
        <v>7</v>
      </c>
      <c r="B16" s="412"/>
      <c r="C16" s="308"/>
      <c r="D16" s="308"/>
      <c r="E16" s="1345"/>
      <c r="F16" s="1345"/>
      <c r="G16" s="307"/>
      <c r="H16" s="309"/>
    </row>
    <row r="17" spans="1:8" ht="24.9" customHeight="1">
      <c r="A17" s="415">
        <v>8</v>
      </c>
      <c r="B17" s="412"/>
      <c r="C17" s="308"/>
      <c r="D17" s="308"/>
      <c r="E17" s="1345"/>
      <c r="F17" s="1345"/>
      <c r="G17" s="307"/>
      <c r="H17" s="309"/>
    </row>
    <row r="18" spans="1:8" ht="24.9" customHeight="1">
      <c r="A18" s="415">
        <v>9</v>
      </c>
      <c r="B18" s="412"/>
      <c r="C18" s="308"/>
      <c r="D18" s="308"/>
      <c r="E18" s="1345"/>
      <c r="F18" s="1345"/>
      <c r="G18" s="307"/>
      <c r="H18" s="309"/>
    </row>
    <row r="19" spans="1:8" ht="24.9" customHeight="1">
      <c r="A19" s="415">
        <v>10</v>
      </c>
      <c r="B19" s="412"/>
      <c r="C19" s="308"/>
      <c r="D19" s="308"/>
      <c r="E19" s="1345"/>
      <c r="F19" s="1345"/>
      <c r="G19" s="307"/>
      <c r="H19" s="309"/>
    </row>
    <row r="20" spans="1:8" ht="24.9" customHeight="1">
      <c r="A20" s="415">
        <v>11</v>
      </c>
      <c r="B20" s="412"/>
      <c r="C20" s="308"/>
      <c r="D20" s="308"/>
      <c r="E20" s="1345"/>
      <c r="F20" s="1345"/>
      <c r="G20" s="307"/>
      <c r="H20" s="309"/>
    </row>
    <row r="21" spans="1:8" ht="24.9" customHeight="1">
      <c r="A21" s="415">
        <v>12</v>
      </c>
      <c r="B21" s="412"/>
      <c r="C21" s="308"/>
      <c r="D21" s="308"/>
      <c r="E21" s="1345"/>
      <c r="F21" s="1345"/>
      <c r="G21" s="307"/>
      <c r="H21" s="309"/>
    </row>
    <row r="22" spans="1:8" ht="24.9" customHeight="1">
      <c r="A22" s="415">
        <v>13</v>
      </c>
      <c r="B22" s="412"/>
      <c r="C22" s="308"/>
      <c r="D22" s="308"/>
      <c r="E22" s="1345"/>
      <c r="F22" s="1345"/>
      <c r="G22" s="307"/>
      <c r="H22" s="309"/>
    </row>
    <row r="23" spans="1:8" ht="24.9" customHeight="1">
      <c r="A23" s="415">
        <v>14</v>
      </c>
      <c r="B23" s="412"/>
      <c r="C23" s="308"/>
      <c r="D23" s="308"/>
      <c r="E23" s="1345"/>
      <c r="F23" s="1345"/>
      <c r="G23" s="307"/>
      <c r="H23" s="309"/>
    </row>
    <row r="24" spans="1:8" ht="24.9" customHeight="1">
      <c r="A24" s="415">
        <v>15</v>
      </c>
      <c r="B24" s="412"/>
      <c r="C24" s="308"/>
      <c r="D24" s="308"/>
      <c r="E24" s="1345"/>
      <c r="F24" s="1345"/>
      <c r="G24" s="307"/>
      <c r="H24" s="309"/>
    </row>
    <row r="25" spans="1:8" ht="24.9" customHeight="1">
      <c r="A25" s="415">
        <v>16</v>
      </c>
      <c r="B25" s="412"/>
      <c r="C25" s="308"/>
      <c r="D25" s="308"/>
      <c r="E25" s="1345"/>
      <c r="F25" s="1345"/>
      <c r="G25" s="307"/>
      <c r="H25" s="309"/>
    </row>
    <row r="26" spans="1:8" ht="24.9" customHeight="1">
      <c r="A26" s="415">
        <v>17</v>
      </c>
      <c r="B26" s="412"/>
      <c r="C26" s="308"/>
      <c r="D26" s="308"/>
      <c r="E26" s="1345"/>
      <c r="F26" s="1345"/>
      <c r="G26" s="307"/>
      <c r="H26" s="309"/>
    </row>
    <row r="27" spans="1:8" ht="24.9" customHeight="1">
      <c r="A27" s="415">
        <v>18</v>
      </c>
      <c r="B27" s="412"/>
      <c r="C27" s="308"/>
      <c r="D27" s="308"/>
      <c r="E27" s="1345"/>
      <c r="F27" s="1345"/>
      <c r="G27" s="307"/>
      <c r="H27" s="309"/>
    </row>
    <row r="28" spans="1:8" ht="24.9" customHeight="1">
      <c r="A28" s="415">
        <v>19</v>
      </c>
      <c r="B28" s="412"/>
      <c r="C28" s="308"/>
      <c r="D28" s="308"/>
      <c r="E28" s="1345"/>
      <c r="F28" s="1345"/>
      <c r="G28" s="307"/>
      <c r="H28" s="309"/>
    </row>
    <row r="29" spans="1:8" ht="24.9" customHeight="1">
      <c r="A29" s="415">
        <v>20</v>
      </c>
      <c r="B29" s="412"/>
      <c r="C29" s="308"/>
      <c r="D29" s="308"/>
      <c r="E29" s="1345"/>
      <c r="F29" s="1345"/>
      <c r="G29" s="307"/>
      <c r="H29" s="309"/>
    </row>
    <row r="30" spans="1:8" ht="24.9" customHeight="1">
      <c r="A30" s="415">
        <v>21</v>
      </c>
      <c r="B30" s="412"/>
      <c r="C30" s="308"/>
      <c r="D30" s="308"/>
      <c r="E30" s="1345"/>
      <c r="F30" s="1345"/>
      <c r="G30" s="307"/>
      <c r="H30" s="309"/>
    </row>
    <row r="31" spans="1:8" ht="24.9" customHeight="1">
      <c r="A31" s="415">
        <v>22</v>
      </c>
      <c r="B31" s="412"/>
      <c r="C31" s="308"/>
      <c r="D31" s="308"/>
      <c r="E31" s="1345"/>
      <c r="F31" s="1345"/>
      <c r="G31" s="307"/>
      <c r="H31" s="309"/>
    </row>
    <row r="32" spans="1:8" ht="24.9" customHeight="1">
      <c r="A32" s="415">
        <v>23</v>
      </c>
      <c r="B32" s="412"/>
      <c r="C32" s="308"/>
      <c r="D32" s="308"/>
      <c r="E32" s="1345"/>
      <c r="F32" s="1345"/>
      <c r="G32" s="307"/>
      <c r="H32" s="309"/>
    </row>
    <row r="33" spans="1:8" ht="24.9" customHeight="1">
      <c r="A33" s="415">
        <v>24</v>
      </c>
      <c r="B33" s="412"/>
      <c r="C33" s="308"/>
      <c r="D33" s="308"/>
      <c r="E33" s="1345"/>
      <c r="F33" s="1345"/>
      <c r="G33" s="307"/>
      <c r="H33" s="309"/>
    </row>
    <row r="34" spans="1:8" ht="24.9" customHeight="1">
      <c r="A34" s="415">
        <v>25</v>
      </c>
      <c r="B34" s="412"/>
      <c r="C34" s="308"/>
      <c r="D34" s="308"/>
      <c r="E34" s="1345"/>
      <c r="F34" s="1345"/>
      <c r="G34" s="307"/>
      <c r="H34" s="309"/>
    </row>
    <row r="35" spans="1:8" ht="24.9" customHeight="1">
      <c r="A35" s="415">
        <v>26</v>
      </c>
      <c r="B35" s="412"/>
      <c r="C35" s="308"/>
      <c r="D35" s="308"/>
      <c r="E35" s="1345"/>
      <c r="F35" s="1345"/>
      <c r="G35" s="307"/>
      <c r="H35" s="309"/>
    </row>
    <row r="36" spans="1:8" ht="24.9" customHeight="1">
      <c r="A36" s="415">
        <v>27</v>
      </c>
      <c r="B36" s="412"/>
      <c r="C36" s="308"/>
      <c r="D36" s="308"/>
      <c r="E36" s="1345"/>
      <c r="F36" s="1345"/>
      <c r="G36" s="307"/>
      <c r="H36" s="309"/>
    </row>
    <row r="37" spans="1:8" ht="24.9" customHeight="1">
      <c r="A37" s="415">
        <v>28</v>
      </c>
      <c r="B37" s="412"/>
      <c r="C37" s="308"/>
      <c r="D37" s="308"/>
      <c r="E37" s="1345"/>
      <c r="F37" s="1345"/>
      <c r="G37" s="307"/>
      <c r="H37" s="309"/>
    </row>
    <row r="38" spans="1:8" ht="24.9" customHeight="1">
      <c r="A38" s="415">
        <v>29</v>
      </c>
      <c r="B38" s="412"/>
      <c r="C38" s="308"/>
      <c r="D38" s="308"/>
      <c r="E38" s="1345"/>
      <c r="F38" s="1345"/>
      <c r="G38" s="307"/>
      <c r="H38" s="309"/>
    </row>
    <row r="39" spans="1:8" ht="24.9" customHeight="1">
      <c r="A39" s="415">
        <v>30</v>
      </c>
      <c r="B39" s="412"/>
      <c r="C39" s="308"/>
      <c r="D39" s="308"/>
      <c r="E39" s="1345"/>
      <c r="F39" s="1345"/>
      <c r="G39" s="307"/>
      <c r="H39" s="309"/>
    </row>
    <row r="40" spans="1:8" ht="24.9" customHeight="1" thickBot="1">
      <c r="A40" s="416">
        <v>31</v>
      </c>
      <c r="B40" s="413"/>
      <c r="C40" s="311"/>
      <c r="D40" s="311"/>
      <c r="E40" s="1360"/>
      <c r="F40" s="1360"/>
      <c r="G40" s="310"/>
      <c r="H40" s="312"/>
    </row>
    <row r="41" spans="1:8" ht="24.9" customHeight="1" thickBot="1">
      <c r="A41" s="313" t="s">
        <v>205</v>
      </c>
      <c r="B41" s="417"/>
      <c r="C41" s="418">
        <f>SUM(C10:C40)</f>
        <v>0</v>
      </c>
      <c r="D41" s="418">
        <f>SUM(D10:D40)</f>
        <v>0</v>
      </c>
      <c r="E41" s="1361">
        <v>0</v>
      </c>
      <c r="F41" s="1361"/>
      <c r="G41" s="1362"/>
      <c r="H41" s="1363"/>
    </row>
    <row r="42" spans="1:8" ht="24.75" customHeight="1">
      <c r="A42" s="1364"/>
      <c r="B42" s="1265"/>
      <c r="C42" s="1265"/>
      <c r="D42" s="1265"/>
      <c r="E42" s="1265"/>
      <c r="F42" s="1265"/>
      <c r="G42" s="1265"/>
      <c r="H42" s="1365"/>
    </row>
    <row r="43" spans="1:8" ht="24.75" customHeight="1">
      <c r="A43" s="1329" t="s">
        <v>453</v>
      </c>
      <c r="B43" s="1330"/>
      <c r="C43" s="1331"/>
      <c r="D43" s="1331"/>
      <c r="E43" s="1332"/>
      <c r="F43" s="1332"/>
      <c r="G43" s="314" t="s">
        <v>299</v>
      </c>
      <c r="H43" s="315"/>
    </row>
    <row r="44" spans="1:8" ht="24.75" customHeight="1">
      <c r="A44" s="1358"/>
      <c r="B44" s="1256"/>
      <c r="C44" s="1256"/>
      <c r="D44" s="1256"/>
      <c r="E44" s="1256"/>
      <c r="F44" s="1256"/>
      <c r="G44" s="1256"/>
      <c r="H44" s="1359"/>
    </row>
    <row r="45" spans="1:8" ht="24.75" customHeight="1">
      <c r="A45" s="1329" t="s">
        <v>454</v>
      </c>
      <c r="B45" s="1330"/>
      <c r="C45" s="1331"/>
      <c r="D45" s="1331"/>
      <c r="E45" s="1332"/>
      <c r="F45" s="1332"/>
      <c r="G45" s="314" t="s">
        <v>299</v>
      </c>
      <c r="H45" s="315"/>
    </row>
    <row r="46" spans="1:8" ht="24.75" customHeight="1" thickBot="1">
      <c r="A46" s="1333"/>
      <c r="B46" s="1334"/>
      <c r="C46" s="1334"/>
      <c r="D46" s="1334"/>
      <c r="E46" s="1334"/>
      <c r="F46" s="1334"/>
      <c r="G46" s="1334"/>
      <c r="H46" s="1335"/>
    </row>
  </sheetData>
  <mergeCells count="59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9:F9"/>
    <mergeCell ref="E10:F10"/>
    <mergeCell ref="E11:F11"/>
    <mergeCell ref="E12:F12"/>
    <mergeCell ref="E13:F13"/>
    <mergeCell ref="B7:B8"/>
    <mergeCell ref="C7:F7"/>
    <mergeCell ref="G7:G8"/>
    <mergeCell ref="H7:H8"/>
    <mergeCell ref="E8:F8"/>
    <mergeCell ref="A45:B45"/>
    <mergeCell ref="C45:D45"/>
    <mergeCell ref="E45:F45"/>
    <mergeCell ref="A46:H46"/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</mergeCells>
  <pageMargins left="0.15748031496062992" right="0" top="0.53" bottom="0.41" header="0.34" footer="0.17"/>
  <pageSetup paperSize="9" scale="70" orientation="portrait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43">
    <tabColor rgb="FF0070C0"/>
    <pageSetUpPr fitToPage="1"/>
  </sheetPr>
  <dimension ref="A1:N15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Cover'!A26</f>
        <v>3100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Schedule'!A83</f>
        <v>3100</v>
      </c>
      <c r="B7" s="318" t="str">
        <f>'Pricing Schedule'!B83</f>
        <v>MEETING SERVICES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 thickBot="1">
      <c r="A8" s="454">
        <f>'Pricing Schedule'!A84</f>
        <v>31.01</v>
      </c>
      <c r="B8" s="322" t="str">
        <f>'Pricing Schedule'!B84</f>
        <v>Meeting services</v>
      </c>
      <c r="C8" s="322" t="str">
        <f>'Pricing Schedule'!C84</f>
        <v>No</v>
      </c>
      <c r="D8" s="335">
        <f>'Pricing Schedule'!D84</f>
        <v>60</v>
      </c>
      <c r="E8" s="389">
        <f t="shared" ref="E8" si="0">D8</f>
        <v>60</v>
      </c>
      <c r="F8" s="490">
        <f>DATA!$BK$52</f>
        <v>0</v>
      </c>
      <c r="G8" s="389"/>
      <c r="H8" s="324">
        <f>F8+G8</f>
        <v>0</v>
      </c>
      <c r="I8" s="402">
        <f>'Pricing Schedule'!E84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 thickBot="1">
      <c r="A9" s="1270" t="s">
        <v>283</v>
      </c>
      <c r="B9" s="1270"/>
      <c r="C9" s="1270"/>
      <c r="D9" s="383"/>
      <c r="E9" s="384"/>
      <c r="F9" s="384"/>
      <c r="G9" s="384"/>
      <c r="H9" s="385"/>
      <c r="I9" s="383"/>
      <c r="J9" s="387">
        <f>SUM(J8:J8)</f>
        <v>0</v>
      </c>
      <c r="K9" s="387">
        <f>SUM(K8:K8)</f>
        <v>0</v>
      </c>
      <c r="L9" s="387">
        <f>SUM(L8:L8)</f>
        <v>0</v>
      </c>
      <c r="M9" s="387">
        <f>SUM(M8:M8)</f>
        <v>0</v>
      </c>
      <c r="N9" s="387">
        <f>SUM(N8:N8)</f>
        <v>0</v>
      </c>
    </row>
    <row r="12" spans="1:14" ht="30.9" customHeight="1">
      <c r="A12" s="456" t="s">
        <v>329</v>
      </c>
      <c r="B12" s="456"/>
      <c r="J12" s="404">
        <f>J8</f>
        <v>0</v>
      </c>
      <c r="K12" s="404">
        <f t="shared" ref="K12:N12" si="1">K8</f>
        <v>0</v>
      </c>
      <c r="L12" s="404">
        <f t="shared" si="1"/>
        <v>0</v>
      </c>
      <c r="M12" s="404">
        <f t="shared" si="1"/>
        <v>0</v>
      </c>
      <c r="N12" s="404">
        <f t="shared" si="1"/>
        <v>0</v>
      </c>
    </row>
    <row r="13" spans="1:14" ht="30.9" customHeight="1">
      <c r="A13" s="316" t="s">
        <v>331</v>
      </c>
      <c r="J13" s="404">
        <v>0</v>
      </c>
      <c r="K13" s="404">
        <v>0</v>
      </c>
      <c r="L13" s="404">
        <v>0</v>
      </c>
      <c r="M13" s="404">
        <v>0</v>
      </c>
      <c r="N13" s="404">
        <v>0</v>
      </c>
    </row>
    <row r="14" spans="1:14" ht="30.9" customHeight="1" thickBot="1">
      <c r="A14" s="316" t="s">
        <v>330</v>
      </c>
      <c r="J14" s="455">
        <f>SUM(J12:J13)</f>
        <v>0</v>
      </c>
      <c r="K14" s="455">
        <f t="shared" ref="K14:N14" si="2">SUM(K12:K13)</f>
        <v>0</v>
      </c>
      <c r="L14" s="455">
        <f t="shared" si="2"/>
        <v>0</v>
      </c>
      <c r="M14" s="455">
        <f t="shared" si="2"/>
        <v>0</v>
      </c>
      <c r="N14" s="455">
        <f t="shared" si="2"/>
        <v>0</v>
      </c>
    </row>
    <row r="15" spans="1:14" ht="13.8" thickTop="1"/>
  </sheetData>
  <mergeCells count="10">
    <mergeCell ref="A4:H4"/>
    <mergeCell ref="I4:J4"/>
    <mergeCell ref="K4:N4"/>
    <mergeCell ref="A9:C9"/>
    <mergeCell ref="A1:H1"/>
    <mergeCell ref="I1:M2"/>
    <mergeCell ref="N1:N2"/>
    <mergeCell ref="A2:H2"/>
    <mergeCell ref="I3:J3"/>
    <mergeCell ref="K3:N3"/>
  </mergeCells>
  <conditionalFormatting sqref="H8">
    <cfRule type="expression" dxfId="4" priority="1">
      <formula>H8&gt;E8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44">
    <tabColor rgb="FF0070C0"/>
    <pageSetUpPr fitToPage="1"/>
  </sheetPr>
  <dimension ref="A1:N16"/>
  <sheetViews>
    <sheetView workbookViewId="0">
      <selection activeCell="M43" sqref="M43"/>
    </sheetView>
  </sheetViews>
  <sheetFormatPr defaultRowHeight="13.2"/>
  <cols>
    <col min="1" max="1" width="9.33203125" style="316" bestFit="1" customWidth="1"/>
    <col min="2" max="2" width="36.88671875" style="316" customWidth="1"/>
    <col min="3" max="3" width="19.5546875" style="316" customWidth="1"/>
    <col min="4" max="8" width="11.6640625" style="316" customWidth="1"/>
    <col min="9" max="9" width="12.5546875" style="316" bestFit="1" customWidth="1"/>
    <col min="10" max="11" width="13" style="316" bestFit="1" customWidth="1"/>
    <col min="12" max="12" width="12.44140625" style="316" customWidth="1"/>
    <col min="13" max="13" width="11.44140625" style="316" bestFit="1" customWidth="1"/>
    <col min="14" max="14" width="11.88671875" style="316" bestFit="1" customWidth="1"/>
    <col min="15" max="257" width="9.109375" style="316"/>
    <col min="258" max="258" width="33.44140625" style="316" customWidth="1"/>
    <col min="259" max="265" width="9.109375" style="316"/>
    <col min="266" max="268" width="10.109375" style="316" bestFit="1" customWidth="1"/>
    <col min="269" max="270" width="12.109375" style="316" customWidth="1"/>
    <col min="271" max="513" width="9.109375" style="316"/>
    <col min="514" max="514" width="33.44140625" style="316" customWidth="1"/>
    <col min="515" max="521" width="9.109375" style="316"/>
    <col min="522" max="524" width="10.109375" style="316" bestFit="1" customWidth="1"/>
    <col min="525" max="526" width="12.109375" style="316" customWidth="1"/>
    <col min="527" max="769" width="9.109375" style="316"/>
    <col min="770" max="770" width="33.44140625" style="316" customWidth="1"/>
    <col min="771" max="777" width="9.109375" style="316"/>
    <col min="778" max="780" width="10.109375" style="316" bestFit="1" customWidth="1"/>
    <col min="781" max="782" width="12.109375" style="316" customWidth="1"/>
    <col min="783" max="1025" width="9.109375" style="316"/>
    <col min="1026" max="1026" width="33.44140625" style="316" customWidth="1"/>
    <col min="1027" max="1033" width="9.109375" style="316"/>
    <col min="1034" max="1036" width="10.109375" style="316" bestFit="1" customWidth="1"/>
    <col min="1037" max="1038" width="12.109375" style="316" customWidth="1"/>
    <col min="1039" max="1281" width="9.109375" style="316"/>
    <col min="1282" max="1282" width="33.44140625" style="316" customWidth="1"/>
    <col min="1283" max="1289" width="9.109375" style="316"/>
    <col min="1290" max="1292" width="10.109375" style="316" bestFit="1" customWidth="1"/>
    <col min="1293" max="1294" width="12.109375" style="316" customWidth="1"/>
    <col min="1295" max="1537" width="9.109375" style="316"/>
    <col min="1538" max="1538" width="33.44140625" style="316" customWidth="1"/>
    <col min="1539" max="1545" width="9.109375" style="316"/>
    <col min="1546" max="1548" width="10.109375" style="316" bestFit="1" customWidth="1"/>
    <col min="1549" max="1550" width="12.109375" style="316" customWidth="1"/>
    <col min="1551" max="1793" width="9.109375" style="316"/>
    <col min="1794" max="1794" width="33.44140625" style="316" customWidth="1"/>
    <col min="1795" max="1801" width="9.109375" style="316"/>
    <col min="1802" max="1804" width="10.109375" style="316" bestFit="1" customWidth="1"/>
    <col min="1805" max="1806" width="12.109375" style="316" customWidth="1"/>
    <col min="1807" max="2049" width="9.109375" style="316"/>
    <col min="2050" max="2050" width="33.44140625" style="316" customWidth="1"/>
    <col min="2051" max="2057" width="9.109375" style="316"/>
    <col min="2058" max="2060" width="10.109375" style="316" bestFit="1" customWidth="1"/>
    <col min="2061" max="2062" width="12.109375" style="316" customWidth="1"/>
    <col min="2063" max="2305" width="9.109375" style="316"/>
    <col min="2306" max="2306" width="33.44140625" style="316" customWidth="1"/>
    <col min="2307" max="2313" width="9.109375" style="316"/>
    <col min="2314" max="2316" width="10.109375" style="316" bestFit="1" customWidth="1"/>
    <col min="2317" max="2318" width="12.109375" style="316" customWidth="1"/>
    <col min="2319" max="2561" width="9.109375" style="316"/>
    <col min="2562" max="2562" width="33.44140625" style="316" customWidth="1"/>
    <col min="2563" max="2569" width="9.109375" style="316"/>
    <col min="2570" max="2572" width="10.109375" style="316" bestFit="1" customWidth="1"/>
    <col min="2573" max="2574" width="12.109375" style="316" customWidth="1"/>
    <col min="2575" max="2817" width="9.109375" style="316"/>
    <col min="2818" max="2818" width="33.44140625" style="316" customWidth="1"/>
    <col min="2819" max="2825" width="9.109375" style="316"/>
    <col min="2826" max="2828" width="10.109375" style="316" bestFit="1" customWidth="1"/>
    <col min="2829" max="2830" width="12.109375" style="316" customWidth="1"/>
    <col min="2831" max="3073" width="9.109375" style="316"/>
    <col min="3074" max="3074" width="33.44140625" style="316" customWidth="1"/>
    <col min="3075" max="3081" width="9.109375" style="316"/>
    <col min="3082" max="3084" width="10.109375" style="316" bestFit="1" customWidth="1"/>
    <col min="3085" max="3086" width="12.109375" style="316" customWidth="1"/>
    <col min="3087" max="3329" width="9.109375" style="316"/>
    <col min="3330" max="3330" width="33.44140625" style="316" customWidth="1"/>
    <col min="3331" max="3337" width="9.109375" style="316"/>
    <col min="3338" max="3340" width="10.109375" style="316" bestFit="1" customWidth="1"/>
    <col min="3341" max="3342" width="12.109375" style="316" customWidth="1"/>
    <col min="3343" max="3585" width="9.109375" style="316"/>
    <col min="3586" max="3586" width="33.44140625" style="316" customWidth="1"/>
    <col min="3587" max="3593" width="9.109375" style="316"/>
    <col min="3594" max="3596" width="10.109375" style="316" bestFit="1" customWidth="1"/>
    <col min="3597" max="3598" width="12.109375" style="316" customWidth="1"/>
    <col min="3599" max="3841" width="9.109375" style="316"/>
    <col min="3842" max="3842" width="33.44140625" style="316" customWidth="1"/>
    <col min="3843" max="3849" width="9.109375" style="316"/>
    <col min="3850" max="3852" width="10.109375" style="316" bestFit="1" customWidth="1"/>
    <col min="3853" max="3854" width="12.109375" style="316" customWidth="1"/>
    <col min="3855" max="4097" width="9.109375" style="316"/>
    <col min="4098" max="4098" width="33.44140625" style="316" customWidth="1"/>
    <col min="4099" max="4105" width="9.109375" style="316"/>
    <col min="4106" max="4108" width="10.109375" style="316" bestFit="1" customWidth="1"/>
    <col min="4109" max="4110" width="12.109375" style="316" customWidth="1"/>
    <col min="4111" max="4353" width="9.109375" style="316"/>
    <col min="4354" max="4354" width="33.44140625" style="316" customWidth="1"/>
    <col min="4355" max="4361" width="9.109375" style="316"/>
    <col min="4362" max="4364" width="10.109375" style="316" bestFit="1" customWidth="1"/>
    <col min="4365" max="4366" width="12.109375" style="316" customWidth="1"/>
    <col min="4367" max="4609" width="9.109375" style="316"/>
    <col min="4610" max="4610" width="33.44140625" style="316" customWidth="1"/>
    <col min="4611" max="4617" width="9.109375" style="316"/>
    <col min="4618" max="4620" width="10.109375" style="316" bestFit="1" customWidth="1"/>
    <col min="4621" max="4622" width="12.109375" style="316" customWidth="1"/>
    <col min="4623" max="4865" width="9.109375" style="316"/>
    <col min="4866" max="4866" width="33.44140625" style="316" customWidth="1"/>
    <col min="4867" max="4873" width="9.109375" style="316"/>
    <col min="4874" max="4876" width="10.109375" style="316" bestFit="1" customWidth="1"/>
    <col min="4877" max="4878" width="12.109375" style="316" customWidth="1"/>
    <col min="4879" max="5121" width="9.109375" style="316"/>
    <col min="5122" max="5122" width="33.44140625" style="316" customWidth="1"/>
    <col min="5123" max="5129" width="9.109375" style="316"/>
    <col min="5130" max="5132" width="10.109375" style="316" bestFit="1" customWidth="1"/>
    <col min="5133" max="5134" width="12.109375" style="316" customWidth="1"/>
    <col min="5135" max="5377" width="9.109375" style="316"/>
    <col min="5378" max="5378" width="33.44140625" style="316" customWidth="1"/>
    <col min="5379" max="5385" width="9.109375" style="316"/>
    <col min="5386" max="5388" width="10.109375" style="316" bestFit="1" customWidth="1"/>
    <col min="5389" max="5390" width="12.109375" style="316" customWidth="1"/>
    <col min="5391" max="5633" width="9.109375" style="316"/>
    <col min="5634" max="5634" width="33.44140625" style="316" customWidth="1"/>
    <col min="5635" max="5641" width="9.109375" style="316"/>
    <col min="5642" max="5644" width="10.109375" style="316" bestFit="1" customWidth="1"/>
    <col min="5645" max="5646" width="12.109375" style="316" customWidth="1"/>
    <col min="5647" max="5889" width="9.109375" style="316"/>
    <col min="5890" max="5890" width="33.44140625" style="316" customWidth="1"/>
    <col min="5891" max="5897" width="9.109375" style="316"/>
    <col min="5898" max="5900" width="10.109375" style="316" bestFit="1" customWidth="1"/>
    <col min="5901" max="5902" width="12.109375" style="316" customWidth="1"/>
    <col min="5903" max="6145" width="9.109375" style="316"/>
    <col min="6146" max="6146" width="33.44140625" style="316" customWidth="1"/>
    <col min="6147" max="6153" width="9.109375" style="316"/>
    <col min="6154" max="6156" width="10.109375" style="316" bestFit="1" customWidth="1"/>
    <col min="6157" max="6158" width="12.109375" style="316" customWidth="1"/>
    <col min="6159" max="6401" width="9.109375" style="316"/>
    <col min="6402" max="6402" width="33.44140625" style="316" customWidth="1"/>
    <col min="6403" max="6409" width="9.109375" style="316"/>
    <col min="6410" max="6412" width="10.109375" style="316" bestFit="1" customWidth="1"/>
    <col min="6413" max="6414" width="12.109375" style="316" customWidth="1"/>
    <col min="6415" max="6657" width="9.109375" style="316"/>
    <col min="6658" max="6658" width="33.44140625" style="316" customWidth="1"/>
    <col min="6659" max="6665" width="9.109375" style="316"/>
    <col min="6666" max="6668" width="10.109375" style="316" bestFit="1" customWidth="1"/>
    <col min="6669" max="6670" width="12.109375" style="316" customWidth="1"/>
    <col min="6671" max="6913" width="9.109375" style="316"/>
    <col min="6914" max="6914" width="33.44140625" style="316" customWidth="1"/>
    <col min="6915" max="6921" width="9.109375" style="316"/>
    <col min="6922" max="6924" width="10.109375" style="316" bestFit="1" customWidth="1"/>
    <col min="6925" max="6926" width="12.109375" style="316" customWidth="1"/>
    <col min="6927" max="7169" width="9.109375" style="316"/>
    <col min="7170" max="7170" width="33.44140625" style="316" customWidth="1"/>
    <col min="7171" max="7177" width="9.109375" style="316"/>
    <col min="7178" max="7180" width="10.109375" style="316" bestFit="1" customWidth="1"/>
    <col min="7181" max="7182" width="12.109375" style="316" customWidth="1"/>
    <col min="7183" max="7425" width="9.109375" style="316"/>
    <col min="7426" max="7426" width="33.44140625" style="316" customWidth="1"/>
    <col min="7427" max="7433" width="9.109375" style="316"/>
    <col min="7434" max="7436" width="10.109375" style="316" bestFit="1" customWidth="1"/>
    <col min="7437" max="7438" width="12.109375" style="316" customWidth="1"/>
    <col min="7439" max="7681" width="9.109375" style="316"/>
    <col min="7682" max="7682" width="33.44140625" style="316" customWidth="1"/>
    <col min="7683" max="7689" width="9.109375" style="316"/>
    <col min="7690" max="7692" width="10.109375" style="316" bestFit="1" customWidth="1"/>
    <col min="7693" max="7694" width="12.109375" style="316" customWidth="1"/>
    <col min="7695" max="7937" width="9.109375" style="316"/>
    <col min="7938" max="7938" width="33.44140625" style="316" customWidth="1"/>
    <col min="7939" max="7945" width="9.109375" style="316"/>
    <col min="7946" max="7948" width="10.109375" style="316" bestFit="1" customWidth="1"/>
    <col min="7949" max="7950" width="12.109375" style="316" customWidth="1"/>
    <col min="7951" max="8193" width="9.109375" style="316"/>
    <col min="8194" max="8194" width="33.44140625" style="316" customWidth="1"/>
    <col min="8195" max="8201" width="9.109375" style="316"/>
    <col min="8202" max="8204" width="10.109375" style="316" bestFit="1" customWidth="1"/>
    <col min="8205" max="8206" width="12.109375" style="316" customWidth="1"/>
    <col min="8207" max="8449" width="9.109375" style="316"/>
    <col min="8450" max="8450" width="33.44140625" style="316" customWidth="1"/>
    <col min="8451" max="8457" width="9.109375" style="316"/>
    <col min="8458" max="8460" width="10.109375" style="316" bestFit="1" customWidth="1"/>
    <col min="8461" max="8462" width="12.109375" style="316" customWidth="1"/>
    <col min="8463" max="8705" width="9.109375" style="316"/>
    <col min="8706" max="8706" width="33.44140625" style="316" customWidth="1"/>
    <col min="8707" max="8713" width="9.109375" style="316"/>
    <col min="8714" max="8716" width="10.109375" style="316" bestFit="1" customWidth="1"/>
    <col min="8717" max="8718" width="12.109375" style="316" customWidth="1"/>
    <col min="8719" max="8961" width="9.109375" style="316"/>
    <col min="8962" max="8962" width="33.44140625" style="316" customWidth="1"/>
    <col min="8963" max="8969" width="9.109375" style="316"/>
    <col min="8970" max="8972" width="10.109375" style="316" bestFit="1" customWidth="1"/>
    <col min="8973" max="8974" width="12.109375" style="316" customWidth="1"/>
    <col min="8975" max="9217" width="9.109375" style="316"/>
    <col min="9218" max="9218" width="33.44140625" style="316" customWidth="1"/>
    <col min="9219" max="9225" width="9.109375" style="316"/>
    <col min="9226" max="9228" width="10.109375" style="316" bestFit="1" customWidth="1"/>
    <col min="9229" max="9230" width="12.109375" style="316" customWidth="1"/>
    <col min="9231" max="9473" width="9.109375" style="316"/>
    <col min="9474" max="9474" width="33.44140625" style="316" customWidth="1"/>
    <col min="9475" max="9481" width="9.109375" style="316"/>
    <col min="9482" max="9484" width="10.109375" style="316" bestFit="1" customWidth="1"/>
    <col min="9485" max="9486" width="12.109375" style="316" customWidth="1"/>
    <col min="9487" max="9729" width="9.109375" style="316"/>
    <col min="9730" max="9730" width="33.44140625" style="316" customWidth="1"/>
    <col min="9731" max="9737" width="9.109375" style="316"/>
    <col min="9738" max="9740" width="10.109375" style="316" bestFit="1" customWidth="1"/>
    <col min="9741" max="9742" width="12.109375" style="316" customWidth="1"/>
    <col min="9743" max="9985" width="9.109375" style="316"/>
    <col min="9986" max="9986" width="33.44140625" style="316" customWidth="1"/>
    <col min="9987" max="9993" width="9.109375" style="316"/>
    <col min="9994" max="9996" width="10.109375" style="316" bestFit="1" customWidth="1"/>
    <col min="9997" max="9998" width="12.109375" style="316" customWidth="1"/>
    <col min="9999" max="10241" width="9.109375" style="316"/>
    <col min="10242" max="10242" width="33.44140625" style="316" customWidth="1"/>
    <col min="10243" max="10249" width="9.109375" style="316"/>
    <col min="10250" max="10252" width="10.109375" style="316" bestFit="1" customWidth="1"/>
    <col min="10253" max="10254" width="12.109375" style="316" customWidth="1"/>
    <col min="10255" max="10497" width="9.109375" style="316"/>
    <col min="10498" max="10498" width="33.44140625" style="316" customWidth="1"/>
    <col min="10499" max="10505" width="9.109375" style="316"/>
    <col min="10506" max="10508" width="10.109375" style="316" bestFit="1" customWidth="1"/>
    <col min="10509" max="10510" width="12.109375" style="316" customWidth="1"/>
    <col min="10511" max="10753" width="9.109375" style="316"/>
    <col min="10754" max="10754" width="33.44140625" style="316" customWidth="1"/>
    <col min="10755" max="10761" width="9.109375" style="316"/>
    <col min="10762" max="10764" width="10.109375" style="316" bestFit="1" customWidth="1"/>
    <col min="10765" max="10766" width="12.109375" style="316" customWidth="1"/>
    <col min="10767" max="11009" width="9.109375" style="316"/>
    <col min="11010" max="11010" width="33.44140625" style="316" customWidth="1"/>
    <col min="11011" max="11017" width="9.109375" style="316"/>
    <col min="11018" max="11020" width="10.109375" style="316" bestFit="1" customWidth="1"/>
    <col min="11021" max="11022" width="12.109375" style="316" customWidth="1"/>
    <col min="11023" max="11265" width="9.109375" style="316"/>
    <col min="11266" max="11266" width="33.44140625" style="316" customWidth="1"/>
    <col min="11267" max="11273" width="9.109375" style="316"/>
    <col min="11274" max="11276" width="10.109375" style="316" bestFit="1" customWidth="1"/>
    <col min="11277" max="11278" width="12.109375" style="316" customWidth="1"/>
    <col min="11279" max="11521" width="9.109375" style="316"/>
    <col min="11522" max="11522" width="33.44140625" style="316" customWidth="1"/>
    <col min="11523" max="11529" width="9.109375" style="316"/>
    <col min="11530" max="11532" width="10.109375" style="316" bestFit="1" customWidth="1"/>
    <col min="11533" max="11534" width="12.109375" style="316" customWidth="1"/>
    <col min="11535" max="11777" width="9.109375" style="316"/>
    <col min="11778" max="11778" width="33.44140625" style="316" customWidth="1"/>
    <col min="11779" max="11785" width="9.109375" style="316"/>
    <col min="11786" max="11788" width="10.109375" style="316" bestFit="1" customWidth="1"/>
    <col min="11789" max="11790" width="12.109375" style="316" customWidth="1"/>
    <col min="11791" max="12033" width="9.109375" style="316"/>
    <col min="12034" max="12034" width="33.44140625" style="316" customWidth="1"/>
    <col min="12035" max="12041" width="9.109375" style="316"/>
    <col min="12042" max="12044" width="10.109375" style="316" bestFit="1" customWidth="1"/>
    <col min="12045" max="12046" width="12.109375" style="316" customWidth="1"/>
    <col min="12047" max="12289" width="9.109375" style="316"/>
    <col min="12290" max="12290" width="33.44140625" style="316" customWidth="1"/>
    <col min="12291" max="12297" width="9.109375" style="316"/>
    <col min="12298" max="12300" width="10.109375" style="316" bestFit="1" customWidth="1"/>
    <col min="12301" max="12302" width="12.109375" style="316" customWidth="1"/>
    <col min="12303" max="12545" width="9.109375" style="316"/>
    <col min="12546" max="12546" width="33.44140625" style="316" customWidth="1"/>
    <col min="12547" max="12553" width="9.109375" style="316"/>
    <col min="12554" max="12556" width="10.109375" style="316" bestFit="1" customWidth="1"/>
    <col min="12557" max="12558" width="12.109375" style="316" customWidth="1"/>
    <col min="12559" max="12801" width="9.109375" style="316"/>
    <col min="12802" max="12802" width="33.44140625" style="316" customWidth="1"/>
    <col min="12803" max="12809" width="9.109375" style="316"/>
    <col min="12810" max="12812" width="10.109375" style="316" bestFit="1" customWidth="1"/>
    <col min="12813" max="12814" width="12.109375" style="316" customWidth="1"/>
    <col min="12815" max="13057" width="9.109375" style="316"/>
    <col min="13058" max="13058" width="33.44140625" style="316" customWidth="1"/>
    <col min="13059" max="13065" width="9.109375" style="316"/>
    <col min="13066" max="13068" width="10.109375" style="316" bestFit="1" customWidth="1"/>
    <col min="13069" max="13070" width="12.109375" style="316" customWidth="1"/>
    <col min="13071" max="13313" width="9.109375" style="316"/>
    <col min="13314" max="13314" width="33.44140625" style="316" customWidth="1"/>
    <col min="13315" max="13321" width="9.109375" style="316"/>
    <col min="13322" max="13324" width="10.109375" style="316" bestFit="1" customWidth="1"/>
    <col min="13325" max="13326" width="12.109375" style="316" customWidth="1"/>
    <col min="13327" max="13569" width="9.109375" style="316"/>
    <col min="13570" max="13570" width="33.44140625" style="316" customWidth="1"/>
    <col min="13571" max="13577" width="9.109375" style="316"/>
    <col min="13578" max="13580" width="10.109375" style="316" bestFit="1" customWidth="1"/>
    <col min="13581" max="13582" width="12.109375" style="316" customWidth="1"/>
    <col min="13583" max="13825" width="9.109375" style="316"/>
    <col min="13826" max="13826" width="33.44140625" style="316" customWidth="1"/>
    <col min="13827" max="13833" width="9.109375" style="316"/>
    <col min="13834" max="13836" width="10.109375" style="316" bestFit="1" customWidth="1"/>
    <col min="13837" max="13838" width="12.109375" style="316" customWidth="1"/>
    <col min="13839" max="14081" width="9.109375" style="316"/>
    <col min="14082" max="14082" width="33.44140625" style="316" customWidth="1"/>
    <col min="14083" max="14089" width="9.109375" style="316"/>
    <col min="14090" max="14092" width="10.109375" style="316" bestFit="1" customWidth="1"/>
    <col min="14093" max="14094" width="12.109375" style="316" customWidth="1"/>
    <col min="14095" max="14337" width="9.109375" style="316"/>
    <col min="14338" max="14338" width="33.44140625" style="316" customWidth="1"/>
    <col min="14339" max="14345" width="9.109375" style="316"/>
    <col min="14346" max="14348" width="10.109375" style="316" bestFit="1" customWidth="1"/>
    <col min="14349" max="14350" width="12.109375" style="316" customWidth="1"/>
    <col min="14351" max="14593" width="9.109375" style="316"/>
    <col min="14594" max="14594" width="33.44140625" style="316" customWidth="1"/>
    <col min="14595" max="14601" width="9.109375" style="316"/>
    <col min="14602" max="14604" width="10.109375" style="316" bestFit="1" customWidth="1"/>
    <col min="14605" max="14606" width="12.109375" style="316" customWidth="1"/>
    <col min="14607" max="14849" width="9.109375" style="316"/>
    <col min="14850" max="14850" width="33.44140625" style="316" customWidth="1"/>
    <col min="14851" max="14857" width="9.109375" style="316"/>
    <col min="14858" max="14860" width="10.109375" style="316" bestFit="1" customWidth="1"/>
    <col min="14861" max="14862" width="12.109375" style="316" customWidth="1"/>
    <col min="14863" max="15105" width="9.109375" style="316"/>
    <col min="15106" max="15106" width="33.44140625" style="316" customWidth="1"/>
    <col min="15107" max="15113" width="9.109375" style="316"/>
    <col min="15114" max="15116" width="10.109375" style="316" bestFit="1" customWidth="1"/>
    <col min="15117" max="15118" width="12.109375" style="316" customWidth="1"/>
    <col min="15119" max="15361" width="9.109375" style="316"/>
    <col min="15362" max="15362" width="33.44140625" style="316" customWidth="1"/>
    <col min="15363" max="15369" width="9.109375" style="316"/>
    <col min="15370" max="15372" width="10.109375" style="316" bestFit="1" customWidth="1"/>
    <col min="15373" max="15374" width="12.109375" style="316" customWidth="1"/>
    <col min="15375" max="15617" width="9.109375" style="316"/>
    <col min="15618" max="15618" width="33.44140625" style="316" customWidth="1"/>
    <col min="15619" max="15625" width="9.109375" style="316"/>
    <col min="15626" max="15628" width="10.109375" style="316" bestFit="1" customWidth="1"/>
    <col min="15629" max="15630" width="12.109375" style="316" customWidth="1"/>
    <col min="15631" max="15873" width="9.109375" style="316"/>
    <col min="15874" max="15874" width="33.44140625" style="316" customWidth="1"/>
    <col min="15875" max="15881" width="9.109375" style="316"/>
    <col min="15882" max="15884" width="10.109375" style="316" bestFit="1" customWidth="1"/>
    <col min="15885" max="15886" width="12.109375" style="316" customWidth="1"/>
    <col min="15887" max="16129" width="9.109375" style="316"/>
    <col min="16130" max="16130" width="33.44140625" style="316" customWidth="1"/>
    <col min="16131" max="16137" width="9.109375" style="316"/>
    <col min="16138" max="16140" width="10.109375" style="316" bestFit="1" customWidth="1"/>
    <col min="16141" max="16142" width="12.109375" style="316" customWidth="1"/>
    <col min="16143" max="16384" width="9.109375" style="316"/>
  </cols>
  <sheetData>
    <row r="1" spans="1:14" ht="12.75" customHeight="1">
      <c r="A1" s="1313" t="s">
        <v>284</v>
      </c>
      <c r="B1" s="1314"/>
      <c r="C1" s="1314"/>
      <c r="D1" s="1314"/>
      <c r="E1" s="1314"/>
      <c r="F1" s="1314"/>
      <c r="G1" s="1314"/>
      <c r="H1" s="1315"/>
      <c r="I1" s="1294" t="str">
        <f>'1200'!I1</f>
        <v xml:space="preserve">CLAIM:  Serivce Provider Fees                                                                                                </v>
      </c>
      <c r="J1" s="1295"/>
      <c r="K1" s="1295"/>
      <c r="L1" s="1295"/>
      <c r="M1" s="1295"/>
      <c r="N1" s="1298">
        <f>'F1  Cover'!A28</f>
        <v>3300</v>
      </c>
    </row>
    <row r="2" spans="1:14">
      <c r="A2" s="1316"/>
      <c r="B2" s="1301"/>
      <c r="C2" s="1301"/>
      <c r="D2" s="1301"/>
      <c r="E2" s="1301"/>
      <c r="F2" s="1301"/>
      <c r="G2" s="1301"/>
      <c r="H2" s="1301"/>
      <c r="I2" s="1296"/>
      <c r="J2" s="1297"/>
      <c r="K2" s="1297"/>
      <c r="L2" s="1297"/>
      <c r="M2" s="1297"/>
      <c r="N2" s="1299"/>
    </row>
    <row r="3" spans="1:14">
      <c r="A3" s="407" t="s">
        <v>390</v>
      </c>
      <c r="B3" s="406" t="str">
        <f>'F1 Forecast Serivce Provider'!C3</f>
        <v>WESTERN</v>
      </c>
      <c r="I3" s="1302" t="s">
        <v>270</v>
      </c>
      <c r="J3" s="1303"/>
      <c r="K3" s="1288">
        <f>'F1  Cover'!K8</f>
        <v>1</v>
      </c>
      <c r="L3" s="1289"/>
      <c r="M3" s="1289"/>
      <c r="N3" s="1290"/>
    </row>
    <row r="4" spans="1:14" ht="13.8" thickBot="1">
      <c r="A4" s="1317"/>
      <c r="B4" s="1305"/>
      <c r="C4" s="1305"/>
      <c r="D4" s="1305"/>
      <c r="E4" s="1305"/>
      <c r="F4" s="1305"/>
      <c r="G4" s="1305"/>
      <c r="H4" s="1305"/>
      <c r="I4" s="1306" t="s">
        <v>271</v>
      </c>
      <c r="J4" s="1307"/>
      <c r="K4" s="1308" t="str">
        <f>'F1 Forecast Combined'!E3</f>
        <v>GP2026/001/68120/2004</v>
      </c>
      <c r="L4" s="1308"/>
      <c r="M4" s="1308"/>
      <c r="N4" s="1309"/>
    </row>
    <row r="5" spans="1:14" ht="13.8" thickBot="1">
      <c r="A5" s="390" t="s">
        <v>272</v>
      </c>
      <c r="B5" s="391"/>
      <c r="C5" s="391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2"/>
    </row>
    <row r="6" spans="1:14" ht="40.200000000000003" thickBot="1">
      <c r="A6" s="393" t="s">
        <v>92</v>
      </c>
      <c r="B6" s="410" t="s">
        <v>0</v>
      </c>
      <c r="C6" s="385" t="s">
        <v>1</v>
      </c>
      <c r="D6" s="383" t="s">
        <v>273</v>
      </c>
      <c r="E6" s="384" t="s">
        <v>274</v>
      </c>
      <c r="F6" s="384" t="s">
        <v>275</v>
      </c>
      <c r="G6" s="384" t="s">
        <v>276</v>
      </c>
      <c r="H6" s="385" t="s">
        <v>277</v>
      </c>
      <c r="I6" s="383" t="s">
        <v>3</v>
      </c>
      <c r="J6" s="384" t="s">
        <v>278</v>
      </c>
      <c r="K6" s="384" t="s">
        <v>279</v>
      </c>
      <c r="L6" s="384" t="s">
        <v>280</v>
      </c>
      <c r="M6" s="384" t="s">
        <v>281</v>
      </c>
      <c r="N6" s="385" t="s">
        <v>282</v>
      </c>
    </row>
    <row r="7" spans="1:14" ht="39" customHeight="1">
      <c r="A7" s="317">
        <f>'Pricing Schedule'!A87</f>
        <v>3300</v>
      </c>
      <c r="B7" s="318" t="str">
        <f>'Pricing Schedule'!B87</f>
        <v>MONTHLY REPORTING REQUIREMENTS</v>
      </c>
      <c r="C7" s="397"/>
      <c r="D7" s="333"/>
      <c r="E7" s="319"/>
      <c r="F7" s="319"/>
      <c r="G7" s="319"/>
      <c r="H7" s="334"/>
      <c r="I7" s="398"/>
      <c r="J7" s="319"/>
      <c r="K7" s="319"/>
      <c r="L7" s="319"/>
      <c r="M7" s="319"/>
      <c r="N7" s="399"/>
    </row>
    <row r="8" spans="1:14" ht="31.5" customHeight="1">
      <c r="A8" s="454">
        <f>'Pricing Schedule'!A88</f>
        <v>33.01</v>
      </c>
      <c r="B8" s="322" t="str">
        <f>'Pricing Schedule'!B88</f>
        <v>Monthly reporting for management meetings</v>
      </c>
      <c r="C8" s="322" t="str">
        <f>'Pricing Schedule'!C88</f>
        <v>Month</v>
      </c>
      <c r="D8" s="335">
        <f>'Pricing Schedule'!D88</f>
        <v>60</v>
      </c>
      <c r="E8" s="389">
        <f t="shared" ref="E8" si="0">D8</f>
        <v>60</v>
      </c>
      <c r="F8" s="490">
        <f>DATA!$BL$52</f>
        <v>0</v>
      </c>
      <c r="G8" s="389"/>
      <c r="H8" s="324">
        <f>F8+G8</f>
        <v>0</v>
      </c>
      <c r="I8" s="402">
        <f>'Pricing Schedule'!E88</f>
        <v>0</v>
      </c>
      <c r="J8" s="323">
        <f>D8*I8</f>
        <v>0</v>
      </c>
      <c r="K8" s="323">
        <f>E8*I8</f>
        <v>0</v>
      </c>
      <c r="L8" s="323">
        <f>F8*I8</f>
        <v>0</v>
      </c>
      <c r="M8" s="323">
        <f>G8*I8</f>
        <v>0</v>
      </c>
      <c r="N8" s="324">
        <f>H8*I8</f>
        <v>0</v>
      </c>
    </row>
    <row r="9" spans="1:14" ht="31.5" customHeight="1" thickBot="1">
      <c r="A9" s="454">
        <f>'Pricing Schedule'!A89</f>
        <v>33.020000000000003</v>
      </c>
      <c r="B9" s="322" t="str">
        <f>'Pricing Schedule'!B89</f>
        <v>Capturing data for all employed persons</v>
      </c>
      <c r="C9" s="322" t="str">
        <f>'Pricing Schedule'!C89</f>
        <v>Month</v>
      </c>
      <c r="D9" s="335">
        <f>'Pricing Schedule'!D89</f>
        <v>60</v>
      </c>
      <c r="E9" s="389">
        <f t="shared" ref="E9" si="1">D9</f>
        <v>60</v>
      </c>
      <c r="F9" s="490">
        <f>DATA!$BM$52</f>
        <v>0</v>
      </c>
      <c r="G9" s="389"/>
      <c r="H9" s="324">
        <f>F9+G9</f>
        <v>0</v>
      </c>
      <c r="I9" s="402">
        <f>'Pricing Schedule'!E89</f>
        <v>0</v>
      </c>
      <c r="J9" s="323">
        <f>D9*I9</f>
        <v>0</v>
      </c>
      <c r="K9" s="323">
        <f>E9*I9</f>
        <v>0</v>
      </c>
      <c r="L9" s="323">
        <f>F9*I9</f>
        <v>0</v>
      </c>
      <c r="M9" s="323">
        <f>G9*I9</f>
        <v>0</v>
      </c>
      <c r="N9" s="324">
        <f>H9*I9</f>
        <v>0</v>
      </c>
    </row>
    <row r="10" spans="1:14" ht="31.5" customHeight="1" thickBot="1">
      <c r="A10" s="1270" t="s">
        <v>283</v>
      </c>
      <c r="B10" s="1270"/>
      <c r="C10" s="1270"/>
      <c r="D10" s="383"/>
      <c r="E10" s="384"/>
      <c r="F10" s="384"/>
      <c r="G10" s="384"/>
      <c r="H10" s="385"/>
      <c r="I10" s="383"/>
      <c r="J10" s="387">
        <f>SUM(J8:J9)</f>
        <v>0</v>
      </c>
      <c r="K10" s="387">
        <f>SUM(K8:K9)</f>
        <v>0</v>
      </c>
      <c r="L10" s="387">
        <f>SUM(L8:L9)</f>
        <v>0</v>
      </c>
      <c r="M10" s="387">
        <f>SUM(M8:M9)</f>
        <v>0</v>
      </c>
      <c r="N10" s="387">
        <f>SUM(N8:N9)</f>
        <v>0</v>
      </c>
    </row>
    <row r="13" spans="1:14" ht="30.9" customHeight="1">
      <c r="A13" s="456" t="s">
        <v>329</v>
      </c>
      <c r="B13" s="456"/>
      <c r="J13" s="404">
        <f>J8+J9</f>
        <v>0</v>
      </c>
      <c r="K13" s="404">
        <f t="shared" ref="K13:N13" si="2">K8+K9</f>
        <v>0</v>
      </c>
      <c r="L13" s="404">
        <f t="shared" si="2"/>
        <v>0</v>
      </c>
      <c r="M13" s="404">
        <f t="shared" si="2"/>
        <v>0</v>
      </c>
      <c r="N13" s="404">
        <f t="shared" si="2"/>
        <v>0</v>
      </c>
    </row>
    <row r="14" spans="1:14" ht="30.9" customHeight="1">
      <c r="A14" s="316" t="s">
        <v>331</v>
      </c>
      <c r="J14" s="404">
        <v>0</v>
      </c>
      <c r="K14" s="404">
        <v>0</v>
      </c>
      <c r="L14" s="404">
        <v>0</v>
      </c>
      <c r="M14" s="404">
        <v>0</v>
      </c>
      <c r="N14" s="404">
        <v>0</v>
      </c>
    </row>
    <row r="15" spans="1:14" ht="30.9" customHeight="1" thickBot="1">
      <c r="A15" s="316" t="s">
        <v>330</v>
      </c>
      <c r="J15" s="455">
        <f>SUM(J13:J14)</f>
        <v>0</v>
      </c>
      <c r="K15" s="455">
        <f t="shared" ref="K15:N15" si="3">SUM(K13:K14)</f>
        <v>0</v>
      </c>
      <c r="L15" s="455">
        <f t="shared" si="3"/>
        <v>0</v>
      </c>
      <c r="M15" s="455">
        <f t="shared" si="3"/>
        <v>0</v>
      </c>
      <c r="N15" s="455">
        <f t="shared" si="3"/>
        <v>0</v>
      </c>
    </row>
    <row r="16" spans="1:14" ht="13.8" thickTop="1"/>
  </sheetData>
  <mergeCells count="10">
    <mergeCell ref="A4:H4"/>
    <mergeCell ref="I4:J4"/>
    <mergeCell ref="K4:N4"/>
    <mergeCell ref="A10:C10"/>
    <mergeCell ref="A1:H1"/>
    <mergeCell ref="I1:M2"/>
    <mergeCell ref="N1:N2"/>
    <mergeCell ref="A2:H2"/>
    <mergeCell ref="I3:J3"/>
    <mergeCell ref="K3:N3"/>
  </mergeCells>
  <conditionalFormatting sqref="H8">
    <cfRule type="expression" dxfId="3" priority="2">
      <formula>H8&gt;E8</formula>
    </cfRule>
  </conditionalFormatting>
  <conditionalFormatting sqref="H9">
    <cfRule type="expression" dxfId="2" priority="1">
      <formula>H9&gt;E9</formula>
    </cfRule>
  </conditionalFormatting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48">
    <tabColor rgb="FF0070C0"/>
    <pageSetUpPr fitToPage="1"/>
  </sheetPr>
  <dimension ref="A1:G115"/>
  <sheetViews>
    <sheetView view="pageBreakPreview" zoomScaleNormal="115" zoomScaleSheetLayoutView="100" workbookViewId="0">
      <selection activeCell="I14" sqref="I14"/>
    </sheetView>
  </sheetViews>
  <sheetFormatPr defaultColWidth="9.109375" defaultRowHeight="13.2"/>
  <cols>
    <col min="1" max="1" width="9" style="772" customWidth="1"/>
    <col min="2" max="2" width="43.109375" style="772" customWidth="1"/>
    <col min="3" max="3" width="11.6640625" style="772" customWidth="1"/>
    <col min="4" max="4" width="13.6640625" style="771" customWidth="1"/>
    <col min="5" max="5" width="17.88671875" style="771" customWidth="1"/>
    <col min="6" max="6" width="20.109375" style="771" bestFit="1" customWidth="1"/>
    <col min="7" max="7" width="10" style="772" bestFit="1" customWidth="1"/>
    <col min="8" max="16384" width="9.109375" style="772"/>
  </cols>
  <sheetData>
    <row r="1" spans="1:7" ht="13.8">
      <c r="A1" s="849" t="s">
        <v>25</v>
      </c>
      <c r="B1" s="849"/>
      <c r="C1" s="849"/>
    </row>
    <row r="2" spans="1:7" ht="13.8">
      <c r="A2" s="770"/>
      <c r="B2" s="770"/>
      <c r="C2" s="770"/>
    </row>
    <row r="3" spans="1:7" ht="34.200000000000003" customHeight="1">
      <c r="A3" s="850" t="s">
        <v>417</v>
      </c>
      <c r="B3" s="850"/>
      <c r="C3" s="851" t="str">
        <f>'SERVICE PROVIDER INPUT DATA'!D3</f>
        <v>GP2026/001/68120/2004</v>
      </c>
      <c r="D3" s="851"/>
      <c r="E3" s="851"/>
    </row>
    <row r="4" spans="1:7" ht="22.2" customHeight="1">
      <c r="A4" s="852" t="str">
        <f>'SERVICE PROVIDER INPUT DATA'!D5</f>
        <v>OFFICE FACILITY MANAGEMENT FOR SANRAL GAUTENG PROVINCIAL OFFICE (38 IDA STREET, MENLO PARK, PRETORIA)</v>
      </c>
      <c r="B4" s="852"/>
      <c r="C4" s="852"/>
      <c r="D4" s="852"/>
      <c r="E4" s="852"/>
      <c r="F4" s="852"/>
    </row>
    <row r="6" spans="1:7">
      <c r="A6" s="773" t="s">
        <v>418</v>
      </c>
      <c r="B6" s="773" t="s">
        <v>419</v>
      </c>
    </row>
    <row r="7" spans="1:7" ht="13.8" thickBot="1"/>
    <row r="8" spans="1:7" ht="13.8" thickBot="1">
      <c r="A8" s="774" t="s">
        <v>420</v>
      </c>
      <c r="B8" s="775" t="s">
        <v>0</v>
      </c>
      <c r="C8" s="776" t="s">
        <v>1</v>
      </c>
      <c r="D8" s="776" t="s">
        <v>2</v>
      </c>
      <c r="E8" s="777" t="s">
        <v>3</v>
      </c>
      <c r="F8" s="778" t="s">
        <v>421</v>
      </c>
    </row>
    <row r="9" spans="1:7" ht="15" thickBot="1">
      <c r="A9" s="779"/>
      <c r="B9" s="780"/>
      <c r="C9" s="781"/>
      <c r="D9" s="782"/>
      <c r="E9" s="783"/>
      <c r="F9" s="783"/>
    </row>
    <row r="10" spans="1:7" ht="43.8" thickBot="1">
      <c r="A10" s="784">
        <v>1200</v>
      </c>
      <c r="B10" s="785" t="s">
        <v>600</v>
      </c>
      <c r="C10" s="786"/>
      <c r="D10" s="787"/>
      <c r="E10" s="788"/>
      <c r="F10" s="788"/>
    </row>
    <row r="11" spans="1:7" ht="29.4" thickBot="1">
      <c r="A11" s="789">
        <v>12.01</v>
      </c>
      <c r="B11" s="780" t="s">
        <v>599</v>
      </c>
      <c r="C11" s="781" t="s">
        <v>99</v>
      </c>
      <c r="D11" s="782">
        <v>1</v>
      </c>
      <c r="E11" s="767"/>
      <c r="F11" s="790">
        <f>D11*E11</f>
        <v>0</v>
      </c>
    </row>
    <row r="12" spans="1:7" ht="15" thickBot="1">
      <c r="A12" s="789">
        <v>12.02</v>
      </c>
      <c r="B12" s="780" t="s">
        <v>496</v>
      </c>
      <c r="C12" s="781" t="s">
        <v>260</v>
      </c>
      <c r="D12" s="782">
        <v>60</v>
      </c>
      <c r="E12" s="767"/>
      <c r="F12" s="790">
        <f t="shared" ref="F12:F80" si="0">D12*E12</f>
        <v>0</v>
      </c>
    </row>
    <row r="13" spans="1:7" ht="29.4" thickBot="1">
      <c r="A13" s="784">
        <v>1200</v>
      </c>
      <c r="B13" s="785" t="s">
        <v>497</v>
      </c>
      <c r="C13" s="786"/>
      <c r="D13" s="787"/>
      <c r="E13" s="791"/>
      <c r="F13" s="792">
        <f>SUM(F11:F12)</f>
        <v>0</v>
      </c>
      <c r="G13" s="793"/>
    </row>
    <row r="14" spans="1:7" ht="27" thickBot="1">
      <c r="A14" s="789"/>
      <c r="B14" s="780"/>
      <c r="C14" s="781"/>
      <c r="D14" s="794"/>
      <c r="E14" s="795" t="str">
        <f>IF($F$14&gt;=0.15,"Exceeds 15% of Total Cost","Within 15% of Total Cost")</f>
        <v>Within 15% of Total Cost</v>
      </c>
      <c r="F14" s="796">
        <f>$F$13/$F$106</f>
        <v>0</v>
      </c>
    </row>
    <row r="15" spans="1:7" ht="15" thickBot="1">
      <c r="A15" s="784">
        <v>1300</v>
      </c>
      <c r="B15" s="785" t="s">
        <v>498</v>
      </c>
      <c r="C15" s="786"/>
      <c r="D15" s="787"/>
      <c r="E15" s="797"/>
      <c r="F15" s="797"/>
    </row>
    <row r="16" spans="1:7" ht="15" thickBot="1">
      <c r="A16" s="789">
        <v>13.01</v>
      </c>
      <c r="B16" s="780" t="s">
        <v>499</v>
      </c>
      <c r="C16" s="781" t="s">
        <v>500</v>
      </c>
      <c r="D16" s="782">
        <v>1</v>
      </c>
      <c r="E16" s="798">
        <v>50000</v>
      </c>
      <c r="F16" s="799">
        <f t="shared" si="0"/>
        <v>50000</v>
      </c>
    </row>
    <row r="17" spans="1:6" ht="29.4" thickBot="1">
      <c r="A17" s="789" t="s">
        <v>501</v>
      </c>
      <c r="B17" s="780" t="s">
        <v>502</v>
      </c>
      <c r="C17" s="781" t="s">
        <v>503</v>
      </c>
      <c r="D17" s="800">
        <f>F16</f>
        <v>50000</v>
      </c>
      <c r="E17" s="768"/>
      <c r="F17" s="799">
        <f>F16*E17</f>
        <v>0</v>
      </c>
    </row>
    <row r="18" spans="1:6" ht="15" thickBot="1">
      <c r="A18" s="789">
        <v>13.02</v>
      </c>
      <c r="B18" s="780" t="s">
        <v>504</v>
      </c>
      <c r="C18" s="781" t="s">
        <v>99</v>
      </c>
      <c r="D18" s="782">
        <v>1</v>
      </c>
      <c r="E18" s="769"/>
      <c r="F18" s="799">
        <f t="shared" si="0"/>
        <v>0</v>
      </c>
    </row>
    <row r="19" spans="1:6" ht="15" thickBot="1">
      <c r="A19" s="789">
        <v>13.03</v>
      </c>
      <c r="B19" s="780" t="s">
        <v>505</v>
      </c>
      <c r="C19" s="781" t="s">
        <v>99</v>
      </c>
      <c r="D19" s="782">
        <v>1</v>
      </c>
      <c r="E19" s="769"/>
      <c r="F19" s="799">
        <f t="shared" si="0"/>
        <v>0</v>
      </c>
    </row>
    <row r="20" spans="1:6" ht="15" thickBot="1">
      <c r="A20" s="789" t="s">
        <v>507</v>
      </c>
      <c r="B20" s="780" t="s">
        <v>506</v>
      </c>
      <c r="C20" s="781" t="s">
        <v>500</v>
      </c>
      <c r="D20" s="782">
        <v>1</v>
      </c>
      <c r="E20" s="798">
        <v>20000</v>
      </c>
      <c r="F20" s="799">
        <f t="shared" si="0"/>
        <v>20000</v>
      </c>
    </row>
    <row r="21" spans="1:6" ht="29.4" thickBot="1">
      <c r="A21" s="789" t="s">
        <v>602</v>
      </c>
      <c r="B21" s="780" t="s">
        <v>601</v>
      </c>
      <c r="C21" s="781" t="s">
        <v>503</v>
      </c>
      <c r="D21" s="800">
        <f>F20</f>
        <v>20000</v>
      </c>
      <c r="E21" s="768"/>
      <c r="F21" s="799">
        <f>D21*E21</f>
        <v>0</v>
      </c>
    </row>
    <row r="22" spans="1:6" ht="15" thickBot="1">
      <c r="A22" s="789">
        <v>13.05</v>
      </c>
      <c r="B22" s="780" t="s">
        <v>508</v>
      </c>
      <c r="C22" s="781" t="s">
        <v>260</v>
      </c>
      <c r="D22" s="782">
        <v>3</v>
      </c>
      <c r="E22" s="769"/>
      <c r="F22" s="799">
        <f t="shared" si="0"/>
        <v>0</v>
      </c>
    </row>
    <row r="23" spans="1:6" ht="15" thickBot="1">
      <c r="A23" s="789">
        <v>13.06</v>
      </c>
      <c r="B23" s="780" t="s">
        <v>509</v>
      </c>
      <c r="C23" s="781" t="s">
        <v>99</v>
      </c>
      <c r="D23" s="782">
        <v>1</v>
      </c>
      <c r="E23" s="769"/>
      <c r="F23" s="799">
        <f t="shared" si="0"/>
        <v>0</v>
      </c>
    </row>
    <row r="24" spans="1:6" ht="15" thickBot="1">
      <c r="A24" s="789">
        <v>13.07</v>
      </c>
      <c r="B24" s="780" t="s">
        <v>510</v>
      </c>
      <c r="C24" s="781" t="s">
        <v>260</v>
      </c>
      <c r="D24" s="782">
        <v>3</v>
      </c>
      <c r="E24" s="769"/>
      <c r="F24" s="799">
        <f t="shared" si="0"/>
        <v>0</v>
      </c>
    </row>
    <row r="25" spans="1:6" ht="15" thickBot="1">
      <c r="A25" s="801">
        <v>1300</v>
      </c>
      <c r="B25" s="802" t="s">
        <v>511</v>
      </c>
      <c r="C25" s="786"/>
      <c r="D25" s="787"/>
      <c r="E25" s="803"/>
      <c r="F25" s="803">
        <f>SUM(F16:F24)</f>
        <v>70000</v>
      </c>
    </row>
    <row r="26" spans="1:6" ht="15" thickBot="1">
      <c r="A26" s="789"/>
      <c r="B26" s="780"/>
      <c r="C26" s="781"/>
      <c r="D26" s="782"/>
      <c r="E26" s="799"/>
      <c r="F26" s="799"/>
    </row>
    <row r="27" spans="1:6" ht="15" thickBot="1">
      <c r="A27" s="784">
        <v>1500</v>
      </c>
      <c r="B27" s="785" t="s">
        <v>512</v>
      </c>
      <c r="C27" s="786"/>
      <c r="D27" s="787"/>
      <c r="E27" s="804"/>
      <c r="F27" s="804"/>
    </row>
    <row r="28" spans="1:6" ht="15" thickBot="1">
      <c r="A28" s="789">
        <v>15.01</v>
      </c>
      <c r="B28" s="780" t="s">
        <v>513</v>
      </c>
      <c r="C28" s="781" t="s">
        <v>500</v>
      </c>
      <c r="D28" s="782">
        <v>1</v>
      </c>
      <c r="E28" s="798">
        <v>25000</v>
      </c>
      <c r="F28" s="799">
        <f t="shared" si="0"/>
        <v>25000</v>
      </c>
    </row>
    <row r="29" spans="1:6" ht="15" thickBot="1">
      <c r="A29" s="789" t="s">
        <v>514</v>
      </c>
      <c r="B29" s="780" t="s">
        <v>515</v>
      </c>
      <c r="C29" s="781" t="s">
        <v>503</v>
      </c>
      <c r="D29" s="800">
        <f>F28</f>
        <v>25000</v>
      </c>
      <c r="E29" s="768"/>
      <c r="F29" s="799">
        <f>D29*E29</f>
        <v>0</v>
      </c>
    </row>
    <row r="30" spans="1:6" ht="15" thickBot="1">
      <c r="A30" s="789">
        <v>15.02</v>
      </c>
      <c r="B30" s="780" t="s">
        <v>516</v>
      </c>
      <c r="C30" s="781" t="s">
        <v>500</v>
      </c>
      <c r="D30" s="782">
        <v>1</v>
      </c>
      <c r="E30" s="798">
        <v>50000</v>
      </c>
      <c r="F30" s="799">
        <f t="shared" si="0"/>
        <v>50000</v>
      </c>
    </row>
    <row r="31" spans="1:6" ht="29.4" thickBot="1">
      <c r="A31" s="789" t="s">
        <v>517</v>
      </c>
      <c r="B31" s="780" t="s">
        <v>518</v>
      </c>
      <c r="C31" s="781" t="s">
        <v>503</v>
      </c>
      <c r="D31" s="800">
        <f>F30</f>
        <v>50000</v>
      </c>
      <c r="E31" s="768"/>
      <c r="F31" s="799">
        <f>D31*E31</f>
        <v>0</v>
      </c>
    </row>
    <row r="32" spans="1:6" ht="19.8" customHeight="1" thickBot="1">
      <c r="A32" s="784">
        <v>1500</v>
      </c>
      <c r="B32" s="805" t="s">
        <v>519</v>
      </c>
      <c r="C32" s="786"/>
      <c r="D32" s="787"/>
      <c r="E32" s="804"/>
      <c r="F32" s="803">
        <f>SUM(F28:F31)</f>
        <v>75000</v>
      </c>
    </row>
    <row r="33" spans="1:6" ht="15" thickBot="1">
      <c r="A33" s="789"/>
      <c r="B33" s="780"/>
      <c r="C33" s="781"/>
      <c r="D33" s="782"/>
      <c r="E33" s="799"/>
      <c r="F33" s="799"/>
    </row>
    <row r="34" spans="1:6" ht="15" thickBot="1">
      <c r="A34" s="784">
        <v>2100</v>
      </c>
      <c r="B34" s="785" t="s">
        <v>603</v>
      </c>
      <c r="C34" s="786"/>
      <c r="D34" s="787"/>
      <c r="E34" s="804"/>
      <c r="F34" s="804"/>
    </row>
    <row r="35" spans="1:6" ht="29.4" thickBot="1">
      <c r="A35" s="789">
        <v>21.01</v>
      </c>
      <c r="B35" s="780" t="s">
        <v>520</v>
      </c>
      <c r="C35" s="781" t="s">
        <v>521</v>
      </c>
      <c r="D35" s="782">
        <v>5</v>
      </c>
      <c r="E35" s="769"/>
      <c r="F35" s="799">
        <f t="shared" si="0"/>
        <v>0</v>
      </c>
    </row>
    <row r="36" spans="1:6" ht="15" thickBot="1">
      <c r="A36" s="789">
        <v>21.02</v>
      </c>
      <c r="B36" s="780" t="s">
        <v>522</v>
      </c>
      <c r="C36" s="781" t="s">
        <v>521</v>
      </c>
      <c r="D36" s="782">
        <v>5</v>
      </c>
      <c r="E36" s="769"/>
      <c r="F36" s="799">
        <f t="shared" si="0"/>
        <v>0</v>
      </c>
    </row>
    <row r="37" spans="1:6" ht="15" thickBot="1">
      <c r="A37" s="789">
        <v>21.03</v>
      </c>
      <c r="B37" s="780" t="s">
        <v>523</v>
      </c>
      <c r="C37" s="781" t="s">
        <v>521</v>
      </c>
      <c r="D37" s="782">
        <v>10</v>
      </c>
      <c r="E37" s="769"/>
      <c r="F37" s="799">
        <f t="shared" si="0"/>
        <v>0</v>
      </c>
    </row>
    <row r="38" spans="1:6" ht="15" thickBot="1">
      <c r="A38" s="789">
        <v>21.04</v>
      </c>
      <c r="B38" s="780" t="s">
        <v>524</v>
      </c>
      <c r="C38" s="781"/>
      <c r="D38" s="782"/>
      <c r="E38" s="799"/>
      <c r="F38" s="799"/>
    </row>
    <row r="39" spans="1:6" ht="15" thickBot="1">
      <c r="A39" s="789" t="s">
        <v>525</v>
      </c>
      <c r="B39" s="780" t="s">
        <v>526</v>
      </c>
      <c r="C39" s="781" t="s">
        <v>521</v>
      </c>
      <c r="D39" s="782">
        <v>10</v>
      </c>
      <c r="E39" s="769"/>
      <c r="F39" s="799">
        <f t="shared" si="0"/>
        <v>0</v>
      </c>
    </row>
    <row r="40" spans="1:6" ht="15" thickBot="1">
      <c r="A40" s="789" t="s">
        <v>527</v>
      </c>
      <c r="B40" s="780" t="s">
        <v>528</v>
      </c>
      <c r="C40" s="781" t="s">
        <v>521</v>
      </c>
      <c r="D40" s="782">
        <v>20</v>
      </c>
      <c r="E40" s="769"/>
      <c r="F40" s="799">
        <f t="shared" si="0"/>
        <v>0</v>
      </c>
    </row>
    <row r="41" spans="1:6" ht="15" thickBot="1">
      <c r="A41" s="789">
        <v>21.05</v>
      </c>
      <c r="B41" s="780" t="s">
        <v>529</v>
      </c>
      <c r="C41" s="781" t="s">
        <v>422</v>
      </c>
      <c r="D41" s="782">
        <v>1</v>
      </c>
      <c r="E41" s="798">
        <v>100000</v>
      </c>
      <c r="F41" s="799">
        <f t="shared" si="0"/>
        <v>100000</v>
      </c>
    </row>
    <row r="42" spans="1:6" ht="29.4" thickBot="1">
      <c r="A42" s="789" t="s">
        <v>530</v>
      </c>
      <c r="B42" s="780" t="s">
        <v>531</v>
      </c>
      <c r="C42" s="781" t="s">
        <v>503</v>
      </c>
      <c r="D42" s="800">
        <f>F41</f>
        <v>100000</v>
      </c>
      <c r="E42" s="768"/>
      <c r="F42" s="799">
        <f>D42*E42</f>
        <v>0</v>
      </c>
    </row>
    <row r="43" spans="1:6" ht="29.4" thickBot="1">
      <c r="A43" s="789">
        <v>21.06</v>
      </c>
      <c r="B43" s="780" t="s">
        <v>532</v>
      </c>
      <c r="C43" s="781"/>
      <c r="D43" s="782"/>
      <c r="E43" s="799"/>
      <c r="F43" s="799"/>
    </row>
    <row r="44" spans="1:6" ht="15" thickBot="1">
      <c r="A44" s="789" t="s">
        <v>533</v>
      </c>
      <c r="B44" s="780" t="s">
        <v>526</v>
      </c>
      <c r="C44" s="781" t="s">
        <v>521</v>
      </c>
      <c r="D44" s="782">
        <v>10</v>
      </c>
      <c r="E44" s="769"/>
      <c r="F44" s="799">
        <f t="shared" si="0"/>
        <v>0</v>
      </c>
    </row>
    <row r="45" spans="1:6" ht="15" thickBot="1">
      <c r="A45" s="789" t="s">
        <v>534</v>
      </c>
      <c r="B45" s="780" t="s">
        <v>528</v>
      </c>
      <c r="C45" s="781" t="s">
        <v>521</v>
      </c>
      <c r="D45" s="782">
        <v>20</v>
      </c>
      <c r="E45" s="769"/>
      <c r="F45" s="799">
        <f t="shared" si="0"/>
        <v>0</v>
      </c>
    </row>
    <row r="46" spans="1:6" ht="15" thickBot="1">
      <c r="A46" s="789">
        <v>21.07</v>
      </c>
      <c r="B46" s="780" t="s">
        <v>535</v>
      </c>
      <c r="C46" s="781"/>
      <c r="D46" s="782"/>
      <c r="E46" s="799"/>
      <c r="F46" s="799"/>
    </row>
    <row r="47" spans="1:6" ht="15" thickBot="1">
      <c r="A47" s="789" t="s">
        <v>536</v>
      </c>
      <c r="B47" s="780" t="s">
        <v>537</v>
      </c>
      <c r="C47" s="781" t="s">
        <v>422</v>
      </c>
      <c r="D47" s="782">
        <v>1</v>
      </c>
      <c r="E47" s="798">
        <v>3000000</v>
      </c>
      <c r="F47" s="799">
        <f t="shared" ref="F47:F57" si="1">D47*E47</f>
        <v>3000000</v>
      </c>
    </row>
    <row r="48" spans="1:6" ht="16.5" customHeight="1" thickBot="1">
      <c r="A48" s="789" t="s">
        <v>538</v>
      </c>
      <c r="B48" s="780" t="s">
        <v>539</v>
      </c>
      <c r="C48" s="781" t="s">
        <v>422</v>
      </c>
      <c r="D48" s="782">
        <v>1</v>
      </c>
      <c r="E48" s="798">
        <v>7500000</v>
      </c>
      <c r="F48" s="799">
        <f t="shared" si="1"/>
        <v>7500000</v>
      </c>
    </row>
    <row r="49" spans="1:6" ht="15" thickBot="1">
      <c r="A49" s="789" t="s">
        <v>540</v>
      </c>
      <c r="B49" s="780" t="s">
        <v>541</v>
      </c>
      <c r="C49" s="781" t="s">
        <v>422</v>
      </c>
      <c r="D49" s="782">
        <v>1</v>
      </c>
      <c r="E49" s="798">
        <v>5000000</v>
      </c>
      <c r="F49" s="799">
        <f t="shared" si="1"/>
        <v>5000000</v>
      </c>
    </row>
    <row r="50" spans="1:6" ht="15" thickBot="1">
      <c r="A50" s="789" t="s">
        <v>542</v>
      </c>
      <c r="B50" s="780" t="s">
        <v>543</v>
      </c>
      <c r="C50" s="781" t="s">
        <v>422</v>
      </c>
      <c r="D50" s="782">
        <v>1</v>
      </c>
      <c r="E50" s="798">
        <v>3000000</v>
      </c>
      <c r="F50" s="799">
        <f t="shared" si="1"/>
        <v>3000000</v>
      </c>
    </row>
    <row r="51" spans="1:6" ht="15" thickBot="1">
      <c r="A51" s="789" t="s">
        <v>544</v>
      </c>
      <c r="B51" s="780" t="s">
        <v>545</v>
      </c>
      <c r="C51" s="781" t="s">
        <v>422</v>
      </c>
      <c r="D51" s="782">
        <v>1</v>
      </c>
      <c r="E51" s="798">
        <v>500000</v>
      </c>
      <c r="F51" s="799">
        <f t="shared" si="1"/>
        <v>500000</v>
      </c>
    </row>
    <row r="52" spans="1:6" ht="15" thickBot="1">
      <c r="A52" s="789" t="s">
        <v>546</v>
      </c>
      <c r="B52" s="780" t="s">
        <v>547</v>
      </c>
      <c r="C52" s="781" t="s">
        <v>422</v>
      </c>
      <c r="D52" s="782">
        <v>1</v>
      </c>
      <c r="E52" s="798">
        <v>250000</v>
      </c>
      <c r="F52" s="799">
        <f t="shared" si="1"/>
        <v>250000</v>
      </c>
    </row>
    <row r="53" spans="1:6" ht="15" thickBot="1">
      <c r="A53" s="789" t="s">
        <v>548</v>
      </c>
      <c r="B53" s="780" t="s">
        <v>609</v>
      </c>
      <c r="C53" s="781" t="s">
        <v>422</v>
      </c>
      <c r="D53" s="782">
        <v>1</v>
      </c>
      <c r="E53" s="798">
        <v>750000</v>
      </c>
      <c r="F53" s="799">
        <f t="shared" si="1"/>
        <v>750000</v>
      </c>
    </row>
    <row r="54" spans="1:6" ht="29.4" thickBot="1">
      <c r="A54" s="789" t="s">
        <v>549</v>
      </c>
      <c r="B54" s="780" t="s">
        <v>550</v>
      </c>
      <c r="C54" s="781" t="s">
        <v>422</v>
      </c>
      <c r="D54" s="782">
        <v>1</v>
      </c>
      <c r="E54" s="798">
        <v>25000000</v>
      </c>
      <c r="F54" s="799">
        <f t="shared" si="1"/>
        <v>25000000</v>
      </c>
    </row>
    <row r="55" spans="1:6" ht="29.4" thickBot="1">
      <c r="A55" s="789" t="s">
        <v>551</v>
      </c>
      <c r="B55" s="780" t="s">
        <v>610</v>
      </c>
      <c r="C55" s="781" t="s">
        <v>422</v>
      </c>
      <c r="D55" s="782">
        <v>1</v>
      </c>
      <c r="E55" s="798">
        <v>3500000</v>
      </c>
      <c r="F55" s="799">
        <f t="shared" si="1"/>
        <v>3500000</v>
      </c>
    </row>
    <row r="56" spans="1:6" ht="15" thickBot="1">
      <c r="A56" s="789" t="s">
        <v>552</v>
      </c>
      <c r="B56" s="780" t="s">
        <v>553</v>
      </c>
      <c r="C56" s="781" t="s">
        <v>422</v>
      </c>
      <c r="D56" s="782">
        <v>1</v>
      </c>
      <c r="E56" s="798">
        <v>250000</v>
      </c>
      <c r="F56" s="799">
        <f t="shared" si="1"/>
        <v>250000</v>
      </c>
    </row>
    <row r="57" spans="1:6" ht="15" thickBot="1">
      <c r="A57" s="789" t="s">
        <v>554</v>
      </c>
      <c r="B57" s="780" t="s">
        <v>611</v>
      </c>
      <c r="C57" s="781" t="s">
        <v>422</v>
      </c>
      <c r="D57" s="782">
        <v>1</v>
      </c>
      <c r="E57" s="798">
        <v>3000000</v>
      </c>
      <c r="F57" s="799">
        <f t="shared" si="1"/>
        <v>3000000</v>
      </c>
    </row>
    <row r="58" spans="1:6" ht="15" thickBot="1">
      <c r="A58" s="789" t="s">
        <v>594</v>
      </c>
      <c r="B58" s="780" t="s">
        <v>604</v>
      </c>
      <c r="C58" s="781" t="s">
        <v>422</v>
      </c>
      <c r="D58" s="782">
        <v>1</v>
      </c>
      <c r="E58" s="798">
        <v>250000</v>
      </c>
      <c r="F58" s="799">
        <f t="shared" ref="F58:F60" si="2">D58*E58</f>
        <v>250000</v>
      </c>
    </row>
    <row r="59" spans="1:6" ht="15" thickBot="1">
      <c r="A59" s="789" t="s">
        <v>595</v>
      </c>
      <c r="B59" s="780" t="s">
        <v>597</v>
      </c>
      <c r="C59" s="781" t="s">
        <v>422</v>
      </c>
      <c r="D59" s="782">
        <v>1</v>
      </c>
      <c r="E59" s="798">
        <v>2500000</v>
      </c>
      <c r="F59" s="799">
        <f t="shared" si="2"/>
        <v>2500000</v>
      </c>
    </row>
    <row r="60" spans="1:6" ht="15" thickBot="1">
      <c r="A60" s="789" t="s">
        <v>596</v>
      </c>
      <c r="B60" s="780" t="s">
        <v>598</v>
      </c>
      <c r="C60" s="781" t="s">
        <v>422</v>
      </c>
      <c r="D60" s="782">
        <v>1</v>
      </c>
      <c r="E60" s="798">
        <v>4000000</v>
      </c>
      <c r="F60" s="799">
        <f t="shared" si="2"/>
        <v>4000000</v>
      </c>
    </row>
    <row r="61" spans="1:6" ht="15" thickBot="1">
      <c r="A61" s="789" t="s">
        <v>605</v>
      </c>
      <c r="B61" s="780" t="s">
        <v>606</v>
      </c>
      <c r="C61" s="781" t="s">
        <v>422</v>
      </c>
      <c r="D61" s="782">
        <v>1</v>
      </c>
      <c r="E61" s="798">
        <v>5000000</v>
      </c>
      <c r="F61" s="799">
        <f t="shared" ref="F61" si="3">D61*E61</f>
        <v>5000000</v>
      </c>
    </row>
    <row r="62" spans="1:6" ht="15" thickBot="1">
      <c r="A62" s="789">
        <v>21.08</v>
      </c>
      <c r="B62" s="780" t="s">
        <v>607</v>
      </c>
      <c r="C62" s="781" t="s">
        <v>500</v>
      </c>
      <c r="D62" s="782">
        <v>1</v>
      </c>
      <c r="E62" s="798">
        <v>600000</v>
      </c>
      <c r="F62" s="799">
        <f t="shared" si="0"/>
        <v>600000</v>
      </c>
    </row>
    <row r="63" spans="1:6" ht="15" thickBot="1">
      <c r="A63" s="789">
        <v>21.09</v>
      </c>
      <c r="B63" s="780" t="s">
        <v>555</v>
      </c>
      <c r="C63" s="781" t="s">
        <v>260</v>
      </c>
      <c r="D63" s="782">
        <v>60</v>
      </c>
      <c r="E63" s="769"/>
      <c r="F63" s="799">
        <f t="shared" si="0"/>
        <v>0</v>
      </c>
    </row>
    <row r="64" spans="1:6" ht="27" customHeight="1" thickBot="1">
      <c r="A64" s="784">
        <v>2100</v>
      </c>
      <c r="B64" s="806" t="s">
        <v>615</v>
      </c>
      <c r="C64" s="786"/>
      <c r="D64" s="787"/>
      <c r="E64" s="804"/>
      <c r="F64" s="803">
        <f>SUM(F35:F63)</f>
        <v>64200000</v>
      </c>
    </row>
    <row r="65" spans="1:6" ht="15" thickBot="1">
      <c r="A65" s="789"/>
      <c r="B65" s="780"/>
      <c r="C65" s="781"/>
      <c r="D65" s="782"/>
      <c r="E65" s="799"/>
      <c r="F65" s="799"/>
    </row>
    <row r="66" spans="1:6" ht="26.4" customHeight="1" thickBot="1">
      <c r="A66" s="784">
        <v>2200</v>
      </c>
      <c r="B66" s="806" t="s">
        <v>608</v>
      </c>
      <c r="C66" s="786"/>
      <c r="D66" s="787"/>
      <c r="E66" s="804"/>
      <c r="F66" s="804"/>
    </row>
    <row r="67" spans="1:6" ht="15" thickBot="1">
      <c r="A67" s="789">
        <v>22.01</v>
      </c>
      <c r="B67" s="780" t="s">
        <v>556</v>
      </c>
      <c r="C67" s="781" t="s">
        <v>500</v>
      </c>
      <c r="D67" s="782">
        <v>1</v>
      </c>
      <c r="E67" s="798">
        <v>3500000</v>
      </c>
      <c r="F67" s="799">
        <f t="shared" si="0"/>
        <v>3500000</v>
      </c>
    </row>
    <row r="68" spans="1:6" ht="29.4" thickBot="1">
      <c r="A68" s="789" t="s">
        <v>557</v>
      </c>
      <c r="B68" s="780" t="s">
        <v>558</v>
      </c>
      <c r="C68" s="781" t="s">
        <v>503</v>
      </c>
      <c r="D68" s="800">
        <f>F67</f>
        <v>3500000</v>
      </c>
      <c r="E68" s="768"/>
      <c r="F68" s="799">
        <f>D68*E68</f>
        <v>0</v>
      </c>
    </row>
    <row r="69" spans="1:6" ht="29.4" thickBot="1">
      <c r="A69" s="789">
        <v>22.02</v>
      </c>
      <c r="B69" s="780" t="s">
        <v>559</v>
      </c>
      <c r="C69" s="781" t="s">
        <v>560</v>
      </c>
      <c r="D69" s="782">
        <v>1500</v>
      </c>
      <c r="E69" s="769"/>
      <c r="F69" s="799">
        <f t="shared" si="0"/>
        <v>0</v>
      </c>
    </row>
    <row r="70" spans="1:6" ht="15" thickBot="1">
      <c r="A70" s="789">
        <v>22.03</v>
      </c>
      <c r="B70" s="780" t="s">
        <v>561</v>
      </c>
      <c r="C70" s="781" t="s">
        <v>560</v>
      </c>
      <c r="D70" s="782">
        <v>500</v>
      </c>
      <c r="E70" s="769"/>
      <c r="F70" s="799">
        <f t="shared" si="0"/>
        <v>0</v>
      </c>
    </row>
    <row r="71" spans="1:6" ht="29.4" thickBot="1">
      <c r="A71" s="789">
        <v>22.04</v>
      </c>
      <c r="B71" s="807" t="s">
        <v>562</v>
      </c>
      <c r="C71" s="781" t="s">
        <v>500</v>
      </c>
      <c r="D71" s="782">
        <v>1</v>
      </c>
      <c r="E71" s="798">
        <v>2000000</v>
      </c>
      <c r="F71" s="799">
        <f t="shared" si="0"/>
        <v>2000000</v>
      </c>
    </row>
    <row r="72" spans="1:6" ht="15" thickBot="1">
      <c r="A72" s="789">
        <v>22.05</v>
      </c>
      <c r="B72" s="780" t="s">
        <v>563</v>
      </c>
      <c r="C72" s="781" t="s">
        <v>560</v>
      </c>
      <c r="D72" s="782">
        <v>1000</v>
      </c>
      <c r="E72" s="769"/>
      <c r="F72" s="799">
        <f t="shared" si="0"/>
        <v>0</v>
      </c>
    </row>
    <row r="73" spans="1:6" ht="15" thickBot="1">
      <c r="A73" s="784">
        <v>2200</v>
      </c>
      <c r="B73" s="785" t="s">
        <v>614</v>
      </c>
      <c r="C73" s="786"/>
      <c r="D73" s="787"/>
      <c r="E73" s="804"/>
      <c r="F73" s="803">
        <f>SUM(F67:F72)</f>
        <v>5500000</v>
      </c>
    </row>
    <row r="74" spans="1:6" ht="15" thickBot="1">
      <c r="A74" s="789"/>
      <c r="B74" s="808"/>
      <c r="C74" s="781"/>
      <c r="D74" s="782"/>
      <c r="E74" s="799"/>
      <c r="F74" s="799"/>
    </row>
    <row r="75" spans="1:6" ht="15" thickBot="1">
      <c r="A75" s="784">
        <v>2300</v>
      </c>
      <c r="B75" s="785" t="s">
        <v>564</v>
      </c>
      <c r="C75" s="786"/>
      <c r="D75" s="787"/>
      <c r="E75" s="804"/>
      <c r="F75" s="804"/>
    </row>
    <row r="76" spans="1:6" ht="15" thickBot="1">
      <c r="A76" s="789">
        <v>23.01</v>
      </c>
      <c r="B76" s="780" t="s">
        <v>565</v>
      </c>
      <c r="C76" s="781" t="s">
        <v>500</v>
      </c>
      <c r="D76" s="782">
        <v>1</v>
      </c>
      <c r="E76" s="798">
        <v>5000000</v>
      </c>
      <c r="F76" s="799">
        <f t="shared" ref="F76:F78" si="4">D76*E76</f>
        <v>5000000</v>
      </c>
    </row>
    <row r="77" spans="1:6" ht="29.4" thickBot="1">
      <c r="A77" s="789" t="s">
        <v>566</v>
      </c>
      <c r="B77" s="780" t="s">
        <v>567</v>
      </c>
      <c r="C77" s="781" t="s">
        <v>500</v>
      </c>
      <c r="D77" s="782">
        <v>1</v>
      </c>
      <c r="E77" s="798">
        <v>150000</v>
      </c>
      <c r="F77" s="799">
        <f t="shared" si="4"/>
        <v>150000</v>
      </c>
    </row>
    <row r="78" spans="1:6" ht="15" customHeight="1" thickBot="1">
      <c r="A78" s="789">
        <v>23.02</v>
      </c>
      <c r="B78" s="807" t="s">
        <v>568</v>
      </c>
      <c r="C78" s="781" t="s">
        <v>260</v>
      </c>
      <c r="D78" s="782">
        <v>60</v>
      </c>
      <c r="E78" s="769"/>
      <c r="F78" s="799">
        <f t="shared" si="4"/>
        <v>0</v>
      </c>
    </row>
    <row r="79" spans="1:6" ht="15" customHeight="1" thickBot="1">
      <c r="A79" s="789">
        <v>23.03</v>
      </c>
      <c r="B79" s="780" t="s">
        <v>569</v>
      </c>
      <c r="C79" s="781" t="s">
        <v>521</v>
      </c>
      <c r="D79" s="782">
        <v>30</v>
      </c>
      <c r="E79" s="769"/>
      <c r="F79" s="799">
        <f t="shared" si="0"/>
        <v>0</v>
      </c>
    </row>
    <row r="80" spans="1:6" ht="15" customHeight="1" thickBot="1">
      <c r="A80" s="789">
        <v>23.04</v>
      </c>
      <c r="B80" s="780" t="s">
        <v>570</v>
      </c>
      <c r="C80" s="781" t="s">
        <v>521</v>
      </c>
      <c r="D80" s="782">
        <v>30</v>
      </c>
      <c r="E80" s="769"/>
      <c r="F80" s="799">
        <f t="shared" si="0"/>
        <v>0</v>
      </c>
    </row>
    <row r="81" spans="1:6" ht="36" customHeight="1" thickBot="1">
      <c r="A81" s="784">
        <v>2300</v>
      </c>
      <c r="B81" s="806" t="s">
        <v>571</v>
      </c>
      <c r="C81" s="786"/>
      <c r="D81" s="787"/>
      <c r="E81" s="804"/>
      <c r="F81" s="803">
        <f>SUM(F76:F80)</f>
        <v>5150000</v>
      </c>
    </row>
    <row r="82" spans="1:6" ht="15" customHeight="1" thickBot="1">
      <c r="A82" s="789"/>
      <c r="B82" s="808"/>
      <c r="C82" s="781"/>
      <c r="D82" s="782"/>
      <c r="E82" s="799"/>
      <c r="F82" s="799"/>
    </row>
    <row r="83" spans="1:6" ht="15" customHeight="1" thickBot="1">
      <c r="A83" s="784">
        <v>3100</v>
      </c>
      <c r="B83" s="785" t="s">
        <v>572</v>
      </c>
      <c r="C83" s="786"/>
      <c r="D83" s="787"/>
      <c r="E83" s="804"/>
      <c r="F83" s="804"/>
    </row>
    <row r="84" spans="1:6" ht="15" customHeight="1" thickBot="1">
      <c r="A84" s="789">
        <v>31.01</v>
      </c>
      <c r="B84" s="780" t="s">
        <v>573</v>
      </c>
      <c r="C84" s="781" t="s">
        <v>259</v>
      </c>
      <c r="D84" s="782">
        <v>60</v>
      </c>
      <c r="E84" s="769"/>
      <c r="F84" s="799">
        <f t="shared" ref="F84:F89" si="5">D84*E84</f>
        <v>0</v>
      </c>
    </row>
    <row r="85" spans="1:6" ht="15" customHeight="1" thickBot="1">
      <c r="A85" s="784">
        <v>3100</v>
      </c>
      <c r="B85" s="785" t="s">
        <v>574</v>
      </c>
      <c r="C85" s="786"/>
      <c r="D85" s="787"/>
      <c r="E85" s="804"/>
      <c r="F85" s="803">
        <f>SUM(F84:F84)</f>
        <v>0</v>
      </c>
    </row>
    <row r="86" spans="1:6" ht="15" customHeight="1" thickBot="1">
      <c r="A86" s="789"/>
      <c r="B86" s="780"/>
      <c r="C86" s="781"/>
      <c r="D86" s="782"/>
      <c r="E86" s="799"/>
      <c r="F86" s="799"/>
    </row>
    <row r="87" spans="1:6" ht="15" thickBot="1">
      <c r="A87" s="784">
        <v>3300</v>
      </c>
      <c r="B87" s="785" t="s">
        <v>612</v>
      </c>
      <c r="C87" s="786"/>
      <c r="D87" s="787"/>
      <c r="E87" s="804"/>
      <c r="F87" s="804"/>
    </row>
    <row r="88" spans="1:6" ht="15" thickBot="1">
      <c r="A88" s="789">
        <v>33.01</v>
      </c>
      <c r="B88" s="780" t="s">
        <v>575</v>
      </c>
      <c r="C88" s="781" t="s">
        <v>260</v>
      </c>
      <c r="D88" s="782">
        <v>60</v>
      </c>
      <c r="E88" s="769"/>
      <c r="F88" s="799">
        <f t="shared" si="5"/>
        <v>0</v>
      </c>
    </row>
    <row r="89" spans="1:6" ht="15" thickBot="1">
      <c r="A89" s="789">
        <v>33.020000000000003</v>
      </c>
      <c r="B89" s="780" t="s">
        <v>576</v>
      </c>
      <c r="C89" s="781" t="s">
        <v>260</v>
      </c>
      <c r="D89" s="782">
        <v>60</v>
      </c>
      <c r="E89" s="769"/>
      <c r="F89" s="799">
        <f t="shared" si="5"/>
        <v>0</v>
      </c>
    </row>
    <row r="90" spans="1:6" ht="30" customHeight="1" thickBot="1">
      <c r="A90" s="784">
        <v>3300</v>
      </c>
      <c r="B90" s="806" t="s">
        <v>613</v>
      </c>
      <c r="C90" s="786"/>
      <c r="D90" s="787"/>
      <c r="E90" s="804"/>
      <c r="F90" s="803">
        <f>SUM(F88:F89)</f>
        <v>0</v>
      </c>
    </row>
    <row r="91" spans="1:6" ht="15" thickBot="1">
      <c r="A91" s="789"/>
      <c r="B91" s="780"/>
      <c r="C91" s="781"/>
      <c r="D91" s="782"/>
      <c r="E91" s="781"/>
      <c r="F91" s="781"/>
    </row>
    <row r="92" spans="1:6" ht="15" thickBot="1">
      <c r="A92" s="779"/>
      <c r="B92" s="809" t="s">
        <v>577</v>
      </c>
      <c r="C92" s="781"/>
      <c r="D92" s="782"/>
      <c r="E92" s="781"/>
      <c r="F92" s="810">
        <f>F13+F25+F32+F64+F73+F81+F85+F90</f>
        <v>74995000</v>
      </c>
    </row>
    <row r="95" spans="1:6">
      <c r="A95" s="773" t="s">
        <v>423</v>
      </c>
      <c r="B95" s="773" t="s">
        <v>424</v>
      </c>
    </row>
    <row r="97" spans="1:6" ht="24.9" customHeight="1">
      <c r="A97" s="811">
        <f>A10</f>
        <v>1200</v>
      </c>
      <c r="B97" s="812" t="str">
        <f>B10</f>
        <v>ESTABLISHMENT FOR FACILITY MANAGEMENT SERVICES PROVISION AND TIME RELATED OBLIGATIONS</v>
      </c>
      <c r="C97" s="813"/>
      <c r="D97" s="814"/>
      <c r="E97" s="815"/>
      <c r="F97" s="816">
        <f>F13</f>
        <v>0</v>
      </c>
    </row>
    <row r="98" spans="1:6" ht="24.9" customHeight="1">
      <c r="A98" s="811">
        <f>A15</f>
        <v>1300</v>
      </c>
      <c r="B98" s="812" t="str">
        <f>B15</f>
        <v>TRANSITIONAL ARRANGEMENTS</v>
      </c>
      <c r="C98" s="813"/>
      <c r="D98" s="814"/>
      <c r="E98" s="815"/>
      <c r="F98" s="816">
        <f>F25</f>
        <v>70000</v>
      </c>
    </row>
    <row r="99" spans="1:6" ht="24.9" customHeight="1">
      <c r="A99" s="811">
        <f>A27</f>
        <v>1500</v>
      </c>
      <c r="B99" s="812" t="str">
        <f>B27</f>
        <v>REIMBURSABLE COSTS</v>
      </c>
      <c r="C99" s="813"/>
      <c r="D99" s="814"/>
      <c r="E99" s="815"/>
      <c r="F99" s="816">
        <f>F32</f>
        <v>75000</v>
      </c>
    </row>
    <row r="100" spans="1:6" ht="24.9" customHeight="1">
      <c r="A100" s="811">
        <f>A64</f>
        <v>2100</v>
      </c>
      <c r="B100" s="812" t="str">
        <f>B34</f>
        <v>PROCUREMENT AND CONTRACT PARTICIPATION</v>
      </c>
      <c r="C100" s="813"/>
      <c r="D100" s="814"/>
      <c r="E100" s="815"/>
      <c r="F100" s="816">
        <f>F64</f>
        <v>64200000</v>
      </c>
    </row>
    <row r="101" spans="1:6" ht="24.9" customHeight="1">
      <c r="A101" s="811">
        <f>A66</f>
        <v>2200</v>
      </c>
      <c r="B101" s="812" t="str">
        <f>B66</f>
        <v>UNSPECIFIED MINOR WORKS</v>
      </c>
      <c r="C101" s="813"/>
      <c r="D101" s="814"/>
      <c r="E101" s="815"/>
      <c r="F101" s="816">
        <f>F73</f>
        <v>5500000</v>
      </c>
    </row>
    <row r="102" spans="1:6" ht="24.9" customHeight="1">
      <c r="A102" s="811">
        <f>A75</f>
        <v>2300</v>
      </c>
      <c r="B102" s="812" t="str">
        <f>B75</f>
        <v>OFFICE FACILITY MAINTENANCE</v>
      </c>
      <c r="C102" s="813"/>
      <c r="D102" s="814"/>
      <c r="E102" s="815"/>
      <c r="F102" s="816">
        <f>F81</f>
        <v>5150000</v>
      </c>
    </row>
    <row r="103" spans="1:6" ht="24.9" customHeight="1">
      <c r="A103" s="811">
        <f>A83</f>
        <v>3100</v>
      </c>
      <c r="B103" s="812" t="str">
        <f>B83</f>
        <v>MEETING SERVICES</v>
      </c>
      <c r="C103" s="813"/>
      <c r="D103" s="814"/>
      <c r="E103" s="815"/>
      <c r="F103" s="816">
        <f>F85</f>
        <v>0</v>
      </c>
    </row>
    <row r="104" spans="1:6" ht="24.9" customHeight="1">
      <c r="A104" s="811">
        <f>A87</f>
        <v>3300</v>
      </c>
      <c r="B104" s="812" t="str">
        <f>B87</f>
        <v>MONTHLY REPORTING REQUIREMENTS</v>
      </c>
      <c r="C104" s="813"/>
      <c r="D104" s="814"/>
      <c r="E104" s="815"/>
      <c r="F104" s="816">
        <f>F90</f>
        <v>0</v>
      </c>
    </row>
    <row r="106" spans="1:6">
      <c r="B106" s="772" t="s">
        <v>93</v>
      </c>
      <c r="F106" s="817">
        <f>SUM(F97:F105)</f>
        <v>74995000</v>
      </c>
    </row>
    <row r="107" spans="1:6">
      <c r="F107" s="818"/>
    </row>
    <row r="108" spans="1:6">
      <c r="B108" s="772" t="str">
        <f>"VAT (" &amp; 'SERVICE PROVIDER INPUT DATA'!$D$9 &amp;"%)"</f>
        <v>VAT (15%)</v>
      </c>
      <c r="F108" s="817">
        <f>F106*('SERVICE PROVIDER INPUT DATA'!$D$9/100)</f>
        <v>11249250</v>
      </c>
    </row>
    <row r="109" spans="1:6">
      <c r="F109" s="818"/>
    </row>
    <row r="110" spans="1:6">
      <c r="B110" s="773" t="s">
        <v>425</v>
      </c>
      <c r="F110" s="819">
        <f>SUM(F106:F108)</f>
        <v>86244250</v>
      </c>
    </row>
    <row r="113" spans="6:6">
      <c r="F113" s="817"/>
    </row>
    <row r="115" spans="6:6">
      <c r="F115" s="817"/>
    </row>
  </sheetData>
  <sheetProtection algorithmName="SHA-512" hashValue="YxSELrqOMFNZ2Msh2Hh4w9Uvgx2fvkVTpqVgfsQYBSbY+ouXvJL/F8AhBlqmpQBflc8IsvcepzLa7yZBwn47BA==" saltValue="OVZER/6cJVQDC5CeRXMYTQ==" spinCount="100000" sheet="1" objects="1" scenarios="1"/>
  <mergeCells count="4">
    <mergeCell ref="A1:C1"/>
    <mergeCell ref="A3:B3"/>
    <mergeCell ref="C3:E3"/>
    <mergeCell ref="A4:F4"/>
  </mergeCells>
  <conditionalFormatting sqref="F14">
    <cfRule type="cellIs" dxfId="124" priority="1" operator="greaterThan">
      <formula>0.15</formula>
    </cfRule>
    <cfRule type="cellIs" dxfId="123" priority="2" stopIfTrue="1" operator="lessThanOrEqual">
      <formula>0.15</formula>
    </cfRule>
  </conditionalFormatting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headerFooter>
    <oddHeader>&amp;L&amp;"Calibri"&amp;10&amp;K000000Sensitivity - General&amp;1#</oddHeader>
  </headerFooter>
  <rowBreaks count="2" manualBreakCount="2">
    <brk id="33" max="16383" man="1"/>
    <brk id="74" max="16383" man="1"/>
  </rowBreaks>
  <ignoredErrors>
    <ignoredError sqref="F17" 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"/>
  <dimension ref="A1:JS1070"/>
  <sheetViews>
    <sheetView workbookViewId="0"/>
  </sheetViews>
  <sheetFormatPr defaultColWidth="13.88671875" defaultRowHeight="14.4"/>
  <cols>
    <col min="1" max="2" width="14" style="668" bestFit="1" customWidth="1"/>
    <col min="3" max="3" width="15" style="668" customWidth="1"/>
    <col min="4" max="9" width="14" style="668" bestFit="1" customWidth="1"/>
    <col min="10" max="10" width="17.5546875" style="668" customWidth="1"/>
    <col min="11" max="17" width="14" style="668" bestFit="1" customWidth="1"/>
    <col min="18" max="18" width="15.109375" style="668" bestFit="1" customWidth="1"/>
    <col min="19" max="19" width="14" style="668" bestFit="1" customWidth="1"/>
    <col min="20" max="20" width="14.109375" style="668" bestFit="1" customWidth="1"/>
    <col min="21" max="44" width="14" style="668" bestFit="1" customWidth="1"/>
    <col min="45" max="45" width="14.6640625" style="668" bestFit="1" customWidth="1"/>
    <col min="46" max="78" width="14" style="668" bestFit="1" customWidth="1"/>
    <col min="79" max="16384" width="13.88671875" style="668"/>
  </cols>
  <sheetData>
    <row r="1" spans="1:26">
      <c r="B1" s="712" t="s">
        <v>437</v>
      </c>
      <c r="S1" s="668" t="s">
        <v>345</v>
      </c>
    </row>
    <row r="2" spans="1:26">
      <c r="A2" s="668">
        <v>1</v>
      </c>
      <c r="B2" s="668" t="s">
        <v>102</v>
      </c>
      <c r="S2" s="668">
        <f>A15</f>
        <v>46232</v>
      </c>
      <c r="T2" s="669">
        <f>S2</f>
        <v>46232</v>
      </c>
      <c r="U2" s="669">
        <f>VLOOKUP(1,$X$2:$Y$41,2,FALSE)</f>
        <v>46113</v>
      </c>
      <c r="W2" s="669">
        <v>41730</v>
      </c>
      <c r="X2" s="668">
        <f>IF($T$2&lt;W2,1,0)</f>
        <v>0</v>
      </c>
      <c r="Y2" s="669">
        <f>W2</f>
        <v>41730</v>
      </c>
      <c r="Z2" s="668" t="s">
        <v>132</v>
      </c>
    </row>
    <row r="3" spans="1:26">
      <c r="A3" s="668">
        <v>2</v>
      </c>
      <c r="B3" s="668" t="s">
        <v>103</v>
      </c>
      <c r="E3" s="668" t="s">
        <v>322</v>
      </c>
      <c r="F3" s="668" t="s">
        <v>322</v>
      </c>
      <c r="W3" s="669">
        <v>42004</v>
      </c>
      <c r="X3" s="668">
        <f>IF(X2=1,0,IF($T$2&lt;W3,1,0))</f>
        <v>0</v>
      </c>
      <c r="Y3" s="669">
        <f>W2</f>
        <v>41730</v>
      </c>
    </row>
    <row r="4" spans="1:26">
      <c r="E4" s="669">
        <v>42401</v>
      </c>
      <c r="F4" s="669">
        <v>42095</v>
      </c>
      <c r="W4" s="669">
        <f>W2+365</f>
        <v>42095</v>
      </c>
      <c r="X4" s="668">
        <f>IF(SUM($X$2:X3)=1,0,IF($T$2&lt;W4,1,0))</f>
        <v>0</v>
      </c>
      <c r="Y4" s="669">
        <f t="shared" ref="Y4:Y40" si="0">W4</f>
        <v>42095</v>
      </c>
      <c r="Z4" s="668" t="s">
        <v>133</v>
      </c>
    </row>
    <row r="5" spans="1:26">
      <c r="E5" s="669">
        <v>43862</v>
      </c>
      <c r="F5" s="669">
        <v>43556</v>
      </c>
      <c r="G5" s="670"/>
      <c r="H5" s="670"/>
      <c r="I5" s="670"/>
      <c r="J5" s="670"/>
      <c r="K5" s="671"/>
      <c r="P5" s="671"/>
      <c r="W5" s="669">
        <f>W3+365</f>
        <v>42369</v>
      </c>
      <c r="X5" s="668">
        <f>IF(SUM($X$2:X4)=1,0,IF($T$2&lt;W5,1,0))</f>
        <v>0</v>
      </c>
      <c r="Y5" s="669">
        <f>W4</f>
        <v>42095</v>
      </c>
    </row>
    <row r="6" spans="1:26">
      <c r="E6" s="669">
        <v>45323</v>
      </c>
      <c r="F6" s="669">
        <v>45017</v>
      </c>
      <c r="P6" s="671"/>
      <c r="W6" s="669">
        <f>W4+366</f>
        <v>42461</v>
      </c>
      <c r="X6" s="668">
        <f>IF(SUM($X$2:X5)=1,0,IF($T$2&lt;W6,1,0))</f>
        <v>0</v>
      </c>
      <c r="Y6" s="669">
        <f t="shared" si="0"/>
        <v>42461</v>
      </c>
      <c r="Z6" s="668" t="s">
        <v>134</v>
      </c>
    </row>
    <row r="7" spans="1:26">
      <c r="B7" s="672"/>
      <c r="E7" s="669">
        <v>46784</v>
      </c>
      <c r="F7" s="669">
        <v>46478</v>
      </c>
      <c r="P7" s="671"/>
      <c r="W7" s="669">
        <f>W5+366</f>
        <v>42735</v>
      </c>
      <c r="X7" s="668">
        <f>IF(SUM($X$2:X6)=1,0,IF($T$2&lt;W7,1,0))</f>
        <v>0</v>
      </c>
      <c r="Y7" s="669">
        <f t="shared" ref="Y7" si="1">W6</f>
        <v>42461</v>
      </c>
    </row>
    <row r="8" spans="1:26">
      <c r="B8" s="672"/>
      <c r="E8" s="669">
        <v>48245</v>
      </c>
      <c r="F8" s="669">
        <v>47939</v>
      </c>
      <c r="G8" s="717"/>
      <c r="H8" s="717"/>
      <c r="I8" s="717"/>
      <c r="J8" s="717"/>
      <c r="K8" s="717"/>
      <c r="O8" s="717"/>
      <c r="P8" s="717"/>
      <c r="Q8" s="717"/>
      <c r="R8" s="717"/>
      <c r="S8" s="717"/>
      <c r="W8" s="669">
        <f t="shared" ref="W8:W41" si="2">W6+365</f>
        <v>42826</v>
      </c>
      <c r="X8" s="668">
        <f>IF(SUM($X$2:X7)=1,0,IF($T$2&lt;W8,1,0))</f>
        <v>0</v>
      </c>
      <c r="Y8" s="669">
        <f t="shared" si="0"/>
        <v>42826</v>
      </c>
      <c r="Z8" s="668" t="s">
        <v>346</v>
      </c>
    </row>
    <row r="9" spans="1:26">
      <c r="B9" s="672"/>
      <c r="E9" s="669">
        <v>49706</v>
      </c>
      <c r="F9" s="669">
        <v>49400</v>
      </c>
      <c r="G9" s="717"/>
      <c r="H9" s="717"/>
      <c r="I9" s="717"/>
      <c r="J9" s="717"/>
      <c r="K9" s="717"/>
      <c r="L9" s="670"/>
      <c r="O9" s="673"/>
      <c r="P9" s="673"/>
      <c r="Q9" s="673"/>
      <c r="R9" s="673"/>
      <c r="S9" s="673"/>
      <c r="W9" s="669">
        <f t="shared" si="2"/>
        <v>43100</v>
      </c>
      <c r="X9" s="668">
        <f>IF(SUM($X$2:X8)=1,0,IF($T$2&lt;W9,1,0))</f>
        <v>0</v>
      </c>
      <c r="Y9" s="669">
        <f t="shared" ref="Y9" si="3">W8</f>
        <v>42826</v>
      </c>
    </row>
    <row r="10" spans="1:26">
      <c r="B10" s="672"/>
      <c r="E10" s="669">
        <v>51167</v>
      </c>
      <c r="F10" s="669">
        <v>50861</v>
      </c>
      <c r="G10" s="670"/>
      <c r="H10" s="670"/>
      <c r="I10" s="670"/>
      <c r="J10" s="670"/>
      <c r="K10" s="671"/>
      <c r="W10" s="669">
        <f t="shared" si="2"/>
        <v>43191</v>
      </c>
      <c r="X10" s="668">
        <f>IF(SUM($X$2:X9)=1,0,IF($T$2&lt;W10,1,0))</f>
        <v>0</v>
      </c>
      <c r="Y10" s="669">
        <f t="shared" si="0"/>
        <v>43191</v>
      </c>
      <c r="Z10" s="668" t="s">
        <v>347</v>
      </c>
    </row>
    <row r="11" spans="1:26">
      <c r="E11" s="669">
        <v>52628</v>
      </c>
      <c r="F11" s="669">
        <v>52322</v>
      </c>
      <c r="G11" s="674"/>
      <c r="H11" s="674"/>
      <c r="I11" s="674"/>
      <c r="J11" s="674"/>
      <c r="K11" s="674"/>
      <c r="L11" s="670"/>
      <c r="W11" s="669">
        <f t="shared" si="2"/>
        <v>43465</v>
      </c>
      <c r="X11" s="668">
        <f>IF(SUM($X$2:X10)=1,0,IF($T$2&lt;W11,1,0))</f>
        <v>0</v>
      </c>
      <c r="Y11" s="669">
        <f t="shared" ref="Y11" si="4">W10</f>
        <v>43191</v>
      </c>
    </row>
    <row r="12" spans="1:26">
      <c r="E12" s="669">
        <v>54089</v>
      </c>
      <c r="F12" s="669">
        <v>53783</v>
      </c>
      <c r="G12" s="670"/>
      <c r="H12" s="670"/>
      <c r="I12" s="670"/>
      <c r="J12" s="670"/>
      <c r="K12" s="671"/>
      <c r="W12" s="669">
        <f t="shared" si="2"/>
        <v>43556</v>
      </c>
      <c r="X12" s="668">
        <f>IF(SUM($X$2:X11)=1,0,IF($T$2&lt;W12,1,0))</f>
        <v>0</v>
      </c>
      <c r="Y12" s="669">
        <f t="shared" si="0"/>
        <v>43556</v>
      </c>
      <c r="Z12" s="668" t="s">
        <v>348</v>
      </c>
    </row>
    <row r="13" spans="1:26">
      <c r="A13" s="1366"/>
      <c r="B13" s="1366"/>
      <c r="C13" s="675"/>
      <c r="D13" s="676"/>
      <c r="E13" s="669">
        <v>55550</v>
      </c>
      <c r="F13" s="669">
        <v>55244</v>
      </c>
      <c r="W13" s="669">
        <f t="shared" si="2"/>
        <v>43830</v>
      </c>
      <c r="X13" s="668">
        <f>IF(SUM($X$2:X12)=1,0,IF($T$2&lt;W13,1,0))</f>
        <v>0</v>
      </c>
      <c r="Y13" s="669">
        <f t="shared" ref="Y13" si="5">W12</f>
        <v>43556</v>
      </c>
    </row>
    <row r="14" spans="1:26">
      <c r="A14" s="668" t="s">
        <v>345</v>
      </c>
      <c r="G14" s="670"/>
      <c r="H14" s="670"/>
      <c r="I14" s="670"/>
      <c r="J14" s="670"/>
      <c r="W14" s="669">
        <f>W12+366</f>
        <v>43922</v>
      </c>
      <c r="X14" s="668">
        <f>IF(SUM($X$2:X13)=1,0,IF($T$2&lt;W14,1,0))</f>
        <v>0</v>
      </c>
      <c r="Y14" s="669">
        <f t="shared" si="0"/>
        <v>43922</v>
      </c>
      <c r="Z14" s="668" t="s">
        <v>349</v>
      </c>
    </row>
    <row r="15" spans="1:26">
      <c r="A15" s="669">
        <f>'SERVICE PROVIDER INPUT DATA'!D11</f>
        <v>46232</v>
      </c>
      <c r="B15" s="669">
        <f>A15</f>
        <v>46232</v>
      </c>
      <c r="C15" s="668">
        <f>YEAR(A15)</f>
        <v>2026</v>
      </c>
      <c r="D15" s="676"/>
      <c r="G15" s="670"/>
      <c r="H15" s="670"/>
      <c r="I15" s="670"/>
      <c r="J15" s="670"/>
      <c r="W15" s="669">
        <f>W13+366</f>
        <v>44196</v>
      </c>
      <c r="X15" s="668">
        <f>IF(SUM($X$2:X14)=1,0,IF($T$2&lt;W15,1,0))</f>
        <v>0</v>
      </c>
      <c r="Y15" s="669">
        <f t="shared" ref="Y15" si="6">W14</f>
        <v>43922</v>
      </c>
    </row>
    <row r="16" spans="1:26">
      <c r="D16" s="676"/>
      <c r="W16" s="669">
        <f t="shared" si="2"/>
        <v>44287</v>
      </c>
      <c r="X16" s="668">
        <f>IF(SUM($X$2:X15)=1,0,IF($T$2&lt;W16,1,0))</f>
        <v>0</v>
      </c>
      <c r="Y16" s="669">
        <f t="shared" si="0"/>
        <v>44287</v>
      </c>
      <c r="Z16" s="668" t="s">
        <v>350</v>
      </c>
    </row>
    <row r="17" spans="1:36">
      <c r="D17" s="676"/>
      <c r="W17" s="669">
        <f t="shared" si="2"/>
        <v>44561</v>
      </c>
      <c r="X17" s="668">
        <f>IF(SUM($X$2:X16)=1,0,IF($T$2&lt;W17,1,0))</f>
        <v>0</v>
      </c>
      <c r="Y17" s="669">
        <f t="shared" ref="Y17" si="7">W16</f>
        <v>44287</v>
      </c>
    </row>
    <row r="18" spans="1:36">
      <c r="A18" s="668">
        <f>IF(OR(F1023=0,G1023=0,H1023=0),0,DATEVALUE(C15 &amp; "/" &amp; 1 &amp; "/" &amp; 1))</f>
        <v>46023</v>
      </c>
      <c r="B18" s="669">
        <f>A18</f>
        <v>46023</v>
      </c>
      <c r="W18" s="669">
        <f t="shared" si="2"/>
        <v>44652</v>
      </c>
      <c r="X18" s="668">
        <f>IF(SUM($X$2:X17)=1,0,IF($T$2&lt;W18,1,0))</f>
        <v>0</v>
      </c>
      <c r="Y18" s="669">
        <f t="shared" si="0"/>
        <v>44652</v>
      </c>
      <c r="Z18" s="668" t="s">
        <v>351</v>
      </c>
    </row>
    <row r="19" spans="1:36">
      <c r="W19" s="669">
        <f t="shared" si="2"/>
        <v>44926</v>
      </c>
      <c r="X19" s="668">
        <f>IF(SUM($X$2:X18)=1,0,IF($T$2&lt;W19,1,0))</f>
        <v>0</v>
      </c>
      <c r="Y19" s="669">
        <f t="shared" ref="Y19" si="8">W18</f>
        <v>44652</v>
      </c>
    </row>
    <row r="20" spans="1:36">
      <c r="A20" s="669">
        <f>A18</f>
        <v>46023</v>
      </c>
      <c r="C20" s="677">
        <f>A20</f>
        <v>46023</v>
      </c>
      <c r="D20" s="717" t="str">
        <f>IF(($P$23-C20)&lt;0,"",($P$23-C20))</f>
        <v/>
      </c>
      <c r="E20" s="668" t="str">
        <f>IF(D20="","",RANK(D20,$D$20:$D$215,1))</f>
        <v/>
      </c>
      <c r="F20" s="668" t="str">
        <f>IF(A20&lt;$L$37,$K$36,IF(A20&lt;$L$38,$K$37,IF(A20&lt;$L$39,$K$38,IF(A20&lt;$L$40,$K$39,IF(A20&lt;$L$41,$K$40,$K$41)))))</f>
        <v/>
      </c>
      <c r="G20" s="669" t="str">
        <f>VLOOKUP(F20,$K$36:$L$41,2,FALSE)</f>
        <v/>
      </c>
      <c r="H20" s="669">
        <f>A20</f>
        <v>46023</v>
      </c>
      <c r="W20" s="669">
        <f t="shared" si="2"/>
        <v>45017</v>
      </c>
      <c r="X20" s="668">
        <f>IF(SUM($X$2:X19)=1,0,IF($T$2&lt;W20,1,0))</f>
        <v>0</v>
      </c>
      <c r="Y20" s="669">
        <f t="shared" si="0"/>
        <v>45017</v>
      </c>
      <c r="Z20" s="668" t="s">
        <v>352</v>
      </c>
    </row>
    <row r="21" spans="1:36">
      <c r="A21" s="669">
        <f>A20+31</f>
        <v>46054</v>
      </c>
      <c r="B21" s="668" t="b">
        <f>ISNA(VLOOKUP(A21,$E$4:$E$13,1,FALSE))</f>
        <v>1</v>
      </c>
      <c r="C21" s="677">
        <f t="shared" ref="C21:C84" si="9">A21</f>
        <v>46054</v>
      </c>
      <c r="D21" s="717" t="str">
        <f t="shared" ref="D21:D84" si="10">IF(($P$23-C21)&lt;0,"",($P$23-C21))</f>
        <v/>
      </c>
      <c r="E21" s="668" t="str">
        <f t="shared" ref="E21:E84" si="11">IF(D21="","",RANK(D21,$D$20:$D$215,1))</f>
        <v/>
      </c>
      <c r="F21" s="668" t="str">
        <f t="shared" ref="F21:F84" si="12">IF(A21&lt;$L$37,$K$36,IF(A21&lt;$L$38,$K$37,IF(A21&lt;$L$39,$K$38,IF(A21&lt;$L$40,$K$39,IF(A21&lt;$L$41,$K$40,$K$41)))))</f>
        <v/>
      </c>
      <c r="G21" s="669" t="str">
        <f t="shared" ref="G21:G84" si="13">VLOOKUP(F21,$K$36:$L$41,2,FALSE)</f>
        <v/>
      </c>
      <c r="H21" s="669">
        <f t="shared" ref="H21:H84" si="14">A21</f>
        <v>46054</v>
      </c>
      <c r="W21" s="669">
        <f t="shared" si="2"/>
        <v>45291</v>
      </c>
      <c r="X21" s="668">
        <f>IF(SUM($X$2:X20)=1,0,IF($T$2&lt;W21,1,0))</f>
        <v>0</v>
      </c>
      <c r="Y21" s="669">
        <f t="shared" ref="Y21" si="15">W20</f>
        <v>45017</v>
      </c>
    </row>
    <row r="22" spans="1:36">
      <c r="A22" s="669">
        <f>IF(B21=TRUE,(A21+28),(A21+29))</f>
        <v>46082</v>
      </c>
      <c r="C22" s="677">
        <f t="shared" si="9"/>
        <v>46082</v>
      </c>
      <c r="D22" s="717" t="str">
        <f t="shared" si="10"/>
        <v/>
      </c>
      <c r="E22" s="668" t="str">
        <f t="shared" si="11"/>
        <v/>
      </c>
      <c r="F22" s="668" t="str">
        <f t="shared" si="12"/>
        <v/>
      </c>
      <c r="G22" s="669" t="str">
        <f t="shared" si="13"/>
        <v/>
      </c>
      <c r="H22" s="669">
        <f t="shared" si="14"/>
        <v>46082</v>
      </c>
      <c r="W22" s="669">
        <f>W20+366</f>
        <v>45383</v>
      </c>
      <c r="X22" s="668">
        <f>IF(SUM($X$2:X21)=1,0,IF($T$2&lt;W22,1,0))</f>
        <v>0</v>
      </c>
      <c r="Y22" s="669">
        <f t="shared" si="0"/>
        <v>45383</v>
      </c>
      <c r="Z22" s="668" t="s">
        <v>353</v>
      </c>
    </row>
    <row r="23" spans="1:36">
      <c r="A23" s="669">
        <f>A22+31</f>
        <v>46113</v>
      </c>
      <c r="C23" s="677">
        <f t="shared" si="9"/>
        <v>46113</v>
      </c>
      <c r="D23" s="717" t="str">
        <f t="shared" si="10"/>
        <v/>
      </c>
      <c r="E23" s="668" t="str">
        <f t="shared" si="11"/>
        <v/>
      </c>
      <c r="F23" s="668" t="str">
        <f t="shared" si="12"/>
        <v/>
      </c>
      <c r="G23" s="669" t="str">
        <f t="shared" si="13"/>
        <v/>
      </c>
      <c r="H23" s="669">
        <f t="shared" si="14"/>
        <v>46113</v>
      </c>
      <c r="O23" s="678" t="s">
        <v>323</v>
      </c>
      <c r="P23" s="679">
        <f>'F1  Cover'!L8</f>
        <v>46006</v>
      </c>
      <c r="W23" s="669">
        <f>W21+366</f>
        <v>45657</v>
      </c>
      <c r="X23" s="668">
        <f>IF(SUM($X$2:X22)=1,0,IF($T$2&lt;W23,1,0))</f>
        <v>0</v>
      </c>
      <c r="Y23" s="669">
        <f t="shared" ref="Y23" si="16">W22</f>
        <v>45383</v>
      </c>
    </row>
    <row r="24" spans="1:36">
      <c r="A24" s="669">
        <f>A23+30</f>
        <v>46143</v>
      </c>
      <c r="C24" s="677">
        <f t="shared" si="9"/>
        <v>46143</v>
      </c>
      <c r="D24" s="717" t="str">
        <f t="shared" si="10"/>
        <v/>
      </c>
      <c r="E24" s="668" t="str">
        <f t="shared" si="11"/>
        <v/>
      </c>
      <c r="F24" s="668" t="str">
        <f t="shared" si="12"/>
        <v/>
      </c>
      <c r="G24" s="669" t="str">
        <f t="shared" si="13"/>
        <v/>
      </c>
      <c r="H24" s="669">
        <f t="shared" si="14"/>
        <v>46143</v>
      </c>
      <c r="K24" s="680"/>
      <c r="L24" s="680"/>
      <c r="M24" s="680"/>
      <c r="N24" s="681"/>
      <c r="O24" s="680"/>
      <c r="P24" s="680"/>
      <c r="W24" s="669">
        <f t="shared" si="2"/>
        <v>45748</v>
      </c>
      <c r="X24" s="668">
        <f>IF(SUM($X$2:X23)=1,0,IF($T$2&lt;W24,1,0))</f>
        <v>0</v>
      </c>
      <c r="Y24" s="669">
        <f t="shared" si="0"/>
        <v>45748</v>
      </c>
      <c r="Z24" s="668" t="s">
        <v>354</v>
      </c>
    </row>
    <row r="25" spans="1:36">
      <c r="A25" s="669">
        <f>A24+31</f>
        <v>46174</v>
      </c>
      <c r="C25" s="677">
        <f t="shared" si="9"/>
        <v>46174</v>
      </c>
      <c r="D25" s="717" t="str">
        <f t="shared" si="10"/>
        <v/>
      </c>
      <c r="E25" s="668" t="str">
        <f t="shared" si="11"/>
        <v/>
      </c>
      <c r="F25" s="668" t="str">
        <f t="shared" si="12"/>
        <v/>
      </c>
      <c r="G25" s="669" t="str">
        <f t="shared" si="13"/>
        <v/>
      </c>
      <c r="H25" s="669">
        <f t="shared" si="14"/>
        <v>46174</v>
      </c>
      <c r="K25" s="669"/>
      <c r="L25" s="669"/>
      <c r="M25" s="669"/>
      <c r="N25" s="669"/>
      <c r="O25" s="669"/>
      <c r="P25" s="669"/>
      <c r="R25" s="682"/>
      <c r="W25" s="669">
        <f t="shared" si="2"/>
        <v>46022</v>
      </c>
      <c r="X25" s="668">
        <f>IF(SUM($X$2:X24)=1,0,IF($T$2&lt;W25,1,0))</f>
        <v>0</v>
      </c>
      <c r="Y25" s="669">
        <f t="shared" ref="Y25" si="17">W24</f>
        <v>45748</v>
      </c>
    </row>
    <row r="26" spans="1:36">
      <c r="A26" s="669">
        <f>A25+30</f>
        <v>46204</v>
      </c>
      <c r="C26" s="677">
        <f t="shared" si="9"/>
        <v>46204</v>
      </c>
      <c r="D26" s="717" t="str">
        <f t="shared" si="10"/>
        <v/>
      </c>
      <c r="E26" s="668" t="str">
        <f t="shared" si="11"/>
        <v/>
      </c>
      <c r="F26" s="668" t="str">
        <f t="shared" si="12"/>
        <v/>
      </c>
      <c r="G26" s="669" t="str">
        <f t="shared" si="13"/>
        <v/>
      </c>
      <c r="H26" s="669">
        <f t="shared" si="14"/>
        <v>46204</v>
      </c>
      <c r="W26" s="669">
        <f t="shared" si="2"/>
        <v>46113</v>
      </c>
      <c r="X26" s="668">
        <f>IF(SUM($X$2:X25)=1,0,IF($T$2&lt;W26,1,0))</f>
        <v>0</v>
      </c>
      <c r="Y26" s="669">
        <f t="shared" si="0"/>
        <v>46113</v>
      </c>
      <c r="Z26" s="668" t="s">
        <v>355</v>
      </c>
    </row>
    <row r="27" spans="1:36">
      <c r="A27" s="669">
        <f>A26+31</f>
        <v>46235</v>
      </c>
      <c r="C27" s="677">
        <f t="shared" si="9"/>
        <v>46235</v>
      </c>
      <c r="D27" s="717" t="str">
        <f t="shared" si="10"/>
        <v/>
      </c>
      <c r="E27" s="668" t="str">
        <f t="shared" si="11"/>
        <v/>
      </c>
      <c r="F27" s="668" t="str">
        <f t="shared" si="12"/>
        <v/>
      </c>
      <c r="G27" s="669" t="str">
        <f t="shared" si="13"/>
        <v/>
      </c>
      <c r="H27" s="669">
        <f t="shared" si="14"/>
        <v>46235</v>
      </c>
      <c r="K27" s="717"/>
      <c r="L27" s="717"/>
      <c r="M27" s="717"/>
      <c r="N27" s="717"/>
      <c r="O27" s="717"/>
      <c r="P27" s="717"/>
      <c r="W27" s="669">
        <f t="shared" si="2"/>
        <v>46387</v>
      </c>
      <c r="X27" s="668">
        <f>IF(SUM($X$2:X26)=1,0,IF($T$2&lt;W27,1,0))</f>
        <v>1</v>
      </c>
      <c r="Y27" s="669">
        <f t="shared" ref="Y27" si="18">W26</f>
        <v>46113</v>
      </c>
    </row>
    <row r="28" spans="1:36">
      <c r="A28" s="669">
        <f>A27+31</f>
        <v>46266</v>
      </c>
      <c r="C28" s="677">
        <f t="shared" si="9"/>
        <v>46266</v>
      </c>
      <c r="D28" s="717" t="str">
        <f t="shared" si="10"/>
        <v/>
      </c>
      <c r="E28" s="668" t="str">
        <f t="shared" si="11"/>
        <v/>
      </c>
      <c r="F28" s="668" t="str">
        <f t="shared" si="12"/>
        <v/>
      </c>
      <c r="G28" s="669" t="str">
        <f t="shared" si="13"/>
        <v/>
      </c>
      <c r="H28" s="669">
        <f t="shared" si="14"/>
        <v>46266</v>
      </c>
      <c r="W28" s="669">
        <f t="shared" si="2"/>
        <v>46478</v>
      </c>
      <c r="X28" s="668">
        <f>IF(SUM($X$2:X27)=1,0,IF($T$2&lt;W28,1,0))</f>
        <v>0</v>
      </c>
      <c r="Y28" s="669">
        <f t="shared" si="0"/>
        <v>46478</v>
      </c>
      <c r="Z28" s="668" t="s">
        <v>356</v>
      </c>
    </row>
    <row r="29" spans="1:36">
      <c r="A29" s="669">
        <f>A28+30</f>
        <v>46296</v>
      </c>
      <c r="C29" s="677">
        <f t="shared" si="9"/>
        <v>46296</v>
      </c>
      <c r="D29" s="717" t="str">
        <f t="shared" si="10"/>
        <v/>
      </c>
      <c r="E29" s="668" t="str">
        <f t="shared" si="11"/>
        <v/>
      </c>
      <c r="F29" s="668" t="str">
        <f t="shared" si="12"/>
        <v/>
      </c>
      <c r="G29" s="669" t="str">
        <f t="shared" si="13"/>
        <v/>
      </c>
      <c r="H29" s="669">
        <f t="shared" si="14"/>
        <v>46296</v>
      </c>
      <c r="W29" s="669">
        <f t="shared" si="2"/>
        <v>46752</v>
      </c>
      <c r="X29" s="668">
        <f>IF(SUM($X$2:X28)=1,0,IF($T$2&lt;W29,1,0))</f>
        <v>0</v>
      </c>
      <c r="Y29" s="669">
        <f t="shared" ref="Y29" si="19">W28</f>
        <v>46478</v>
      </c>
      <c r="AJ29" s="683"/>
    </row>
    <row r="30" spans="1:36">
      <c r="A30" s="669">
        <f>A29+31</f>
        <v>46327</v>
      </c>
      <c r="C30" s="677">
        <f t="shared" si="9"/>
        <v>46327</v>
      </c>
      <c r="D30" s="717" t="str">
        <f t="shared" si="10"/>
        <v/>
      </c>
      <c r="E30" s="668" t="str">
        <f t="shared" si="11"/>
        <v/>
      </c>
      <c r="F30" s="668" t="str">
        <f t="shared" si="12"/>
        <v/>
      </c>
      <c r="G30" s="669" t="str">
        <f t="shared" si="13"/>
        <v/>
      </c>
      <c r="H30" s="669">
        <f t="shared" si="14"/>
        <v>46327</v>
      </c>
      <c r="W30" s="669">
        <f>W28+366</f>
        <v>46844</v>
      </c>
      <c r="X30" s="668">
        <f>IF(SUM($X$2:X29)=1,0,IF($T$2&lt;W30,1,0))</f>
        <v>0</v>
      </c>
      <c r="Y30" s="669">
        <f t="shared" si="0"/>
        <v>46844</v>
      </c>
      <c r="Z30" s="668" t="s">
        <v>357</v>
      </c>
      <c r="AJ30" s="683"/>
    </row>
    <row r="31" spans="1:36">
      <c r="A31" s="669">
        <f>A30+30</f>
        <v>46357</v>
      </c>
      <c r="C31" s="677">
        <f t="shared" si="9"/>
        <v>46357</v>
      </c>
      <c r="D31" s="717" t="str">
        <f t="shared" si="10"/>
        <v/>
      </c>
      <c r="E31" s="668" t="str">
        <f t="shared" si="11"/>
        <v/>
      </c>
      <c r="F31" s="668" t="str">
        <f t="shared" si="12"/>
        <v/>
      </c>
      <c r="G31" s="669" t="str">
        <f t="shared" si="13"/>
        <v/>
      </c>
      <c r="H31" s="669">
        <f t="shared" si="14"/>
        <v>46357</v>
      </c>
      <c r="K31" s="684"/>
      <c r="L31" s="684"/>
      <c r="M31" s="684"/>
      <c r="N31" s="684"/>
      <c r="O31" s="684"/>
      <c r="P31" s="684"/>
      <c r="W31" s="669">
        <f>W29+366</f>
        <v>47118</v>
      </c>
      <c r="X31" s="668">
        <f>IF(SUM($X$2:X30)=1,0,IF($T$2&lt;W31,1,0))</f>
        <v>0</v>
      </c>
      <c r="Y31" s="669">
        <f t="shared" ref="Y31" si="20">W30</f>
        <v>46844</v>
      </c>
      <c r="AJ31" s="683"/>
    </row>
    <row r="32" spans="1:36">
      <c r="A32" s="669">
        <f>A31+31</f>
        <v>46388</v>
      </c>
      <c r="C32" s="677">
        <f t="shared" si="9"/>
        <v>46388</v>
      </c>
      <c r="D32" s="717" t="str">
        <f t="shared" si="10"/>
        <v/>
      </c>
      <c r="E32" s="668" t="str">
        <f t="shared" si="11"/>
        <v/>
      </c>
      <c r="F32" s="668" t="str">
        <f t="shared" si="12"/>
        <v/>
      </c>
      <c r="G32" s="669" t="str">
        <f t="shared" si="13"/>
        <v/>
      </c>
      <c r="H32" s="669">
        <f t="shared" si="14"/>
        <v>46388</v>
      </c>
      <c r="W32" s="669">
        <f t="shared" si="2"/>
        <v>47209</v>
      </c>
      <c r="X32" s="668">
        <f>IF(SUM($X$2:X31)=1,0,IF($T$2&lt;W32,1,0))</f>
        <v>0</v>
      </c>
      <c r="Y32" s="669">
        <f t="shared" si="0"/>
        <v>47209</v>
      </c>
      <c r="Z32" s="668" t="s">
        <v>358</v>
      </c>
      <c r="AJ32" s="683"/>
    </row>
    <row r="33" spans="1:279">
      <c r="A33" s="669">
        <f>A32+31</f>
        <v>46419</v>
      </c>
      <c r="B33" s="668" t="b">
        <f>ISNA(VLOOKUP(A33,$E$4:$E$13,1,FALSE))</f>
        <v>1</v>
      </c>
      <c r="C33" s="677">
        <f t="shared" si="9"/>
        <v>46419</v>
      </c>
      <c r="D33" s="717" t="str">
        <f t="shared" si="10"/>
        <v/>
      </c>
      <c r="E33" s="668" t="str">
        <f t="shared" si="11"/>
        <v/>
      </c>
      <c r="F33" s="668" t="str">
        <f t="shared" si="12"/>
        <v/>
      </c>
      <c r="G33" s="669" t="str">
        <f t="shared" si="13"/>
        <v/>
      </c>
      <c r="H33" s="669">
        <f t="shared" si="14"/>
        <v>46419</v>
      </c>
      <c r="W33" s="669">
        <f t="shared" si="2"/>
        <v>47483</v>
      </c>
      <c r="X33" s="668">
        <f>IF(SUM($X$2:X32)=1,0,IF($T$2&lt;W33,1,0))</f>
        <v>0</v>
      </c>
      <c r="Y33" s="669">
        <f t="shared" ref="Y33" si="21">W32</f>
        <v>47209</v>
      </c>
      <c r="AJ33" s="683"/>
    </row>
    <row r="34" spans="1:279">
      <c r="A34" s="669">
        <f>IF(B33=TRUE,(A33+28),(A33+29))</f>
        <v>46447</v>
      </c>
      <c r="C34" s="677">
        <f t="shared" si="9"/>
        <v>46447</v>
      </c>
      <c r="D34" s="717" t="str">
        <f t="shared" si="10"/>
        <v/>
      </c>
      <c r="E34" s="668" t="str">
        <f t="shared" si="11"/>
        <v/>
      </c>
      <c r="F34" s="668" t="str">
        <f t="shared" si="12"/>
        <v/>
      </c>
      <c r="G34" s="669" t="str">
        <f t="shared" si="13"/>
        <v/>
      </c>
      <c r="H34" s="669">
        <f t="shared" si="14"/>
        <v>46447</v>
      </c>
      <c r="W34" s="669">
        <f t="shared" si="2"/>
        <v>47574</v>
      </c>
      <c r="X34" s="668">
        <f>IF(SUM($X$2:X33)=1,0,IF($T$2&lt;W34,1,0))</f>
        <v>0</v>
      </c>
      <c r="Y34" s="669">
        <f t="shared" si="0"/>
        <v>47574</v>
      </c>
      <c r="Z34" s="668" t="s">
        <v>359</v>
      </c>
      <c r="AJ34" s="683"/>
    </row>
    <row r="35" spans="1:279">
      <c r="A35" s="669">
        <f>A34+31</f>
        <v>46478</v>
      </c>
      <c r="C35" s="677">
        <f t="shared" si="9"/>
        <v>46478</v>
      </c>
      <c r="D35" s="717" t="str">
        <f t="shared" si="10"/>
        <v/>
      </c>
      <c r="E35" s="668" t="str">
        <f t="shared" si="11"/>
        <v/>
      </c>
      <c r="F35" s="668" t="str">
        <f t="shared" si="12"/>
        <v/>
      </c>
      <c r="G35" s="669" t="str">
        <f t="shared" si="13"/>
        <v/>
      </c>
      <c r="H35" s="669">
        <f t="shared" si="14"/>
        <v>46478</v>
      </c>
      <c r="W35" s="669">
        <f t="shared" si="2"/>
        <v>47848</v>
      </c>
      <c r="X35" s="668">
        <f>IF(SUM($X$2:X34)=1,0,IF($T$2&lt;W35,1,0))</f>
        <v>0</v>
      </c>
      <c r="Y35" s="669">
        <f t="shared" ref="Y35" si="22">W34</f>
        <v>47574</v>
      </c>
      <c r="AJ35" s="683"/>
    </row>
    <row r="36" spans="1:279">
      <c r="A36" s="669">
        <f>A35+30</f>
        <v>46508</v>
      </c>
      <c r="C36" s="677">
        <f t="shared" si="9"/>
        <v>46508</v>
      </c>
      <c r="D36" s="717" t="str">
        <f t="shared" si="10"/>
        <v/>
      </c>
      <c r="E36" s="668" t="str">
        <f t="shared" si="11"/>
        <v/>
      </c>
      <c r="F36" s="668" t="str">
        <f t="shared" si="12"/>
        <v/>
      </c>
      <c r="G36" s="669" t="str">
        <f t="shared" si="13"/>
        <v/>
      </c>
      <c r="H36" s="669">
        <f t="shared" si="14"/>
        <v>46508</v>
      </c>
      <c r="J36" s="668">
        <v>1</v>
      </c>
      <c r="K36" s="668" t="str">
        <f t="shared" ref="K36:K38" si="23">IF(ISNA(HLOOKUP(J36,$K$29:$P$33,5,FALSE))=TRUE,"",(HLOOKUP(J36,$K$29:$P$33,5,FALSE)))</f>
        <v/>
      </c>
      <c r="L36" s="684" t="str">
        <f>IF(ISNA(HLOOKUP(J36,$K$29:$P$33,3,FALSE))=TRUE,"",(HLOOKUP(J36,$K$29:$P$33,3,FALSE)))</f>
        <v/>
      </c>
      <c r="W36" s="669">
        <f t="shared" si="2"/>
        <v>47939</v>
      </c>
      <c r="X36" s="668">
        <f>IF(SUM($X$2:X35)=1,0,IF($T$2&lt;W36,1,0))</f>
        <v>0</v>
      </c>
      <c r="Y36" s="669">
        <f t="shared" si="0"/>
        <v>47939</v>
      </c>
      <c r="Z36" s="668" t="s">
        <v>360</v>
      </c>
      <c r="AJ36" s="683"/>
    </row>
    <row r="37" spans="1:279">
      <c r="A37" s="669">
        <f>A36+31</f>
        <v>46539</v>
      </c>
      <c r="C37" s="677">
        <f t="shared" si="9"/>
        <v>46539</v>
      </c>
      <c r="D37" s="717" t="str">
        <f t="shared" si="10"/>
        <v/>
      </c>
      <c r="E37" s="668" t="str">
        <f t="shared" si="11"/>
        <v/>
      </c>
      <c r="F37" s="668" t="str">
        <f t="shared" si="12"/>
        <v/>
      </c>
      <c r="G37" s="669" t="str">
        <f t="shared" si="13"/>
        <v/>
      </c>
      <c r="H37" s="669">
        <f t="shared" si="14"/>
        <v>46539</v>
      </c>
      <c r="J37" s="668">
        <v>2</v>
      </c>
      <c r="K37" s="668" t="str">
        <f t="shared" si="23"/>
        <v/>
      </c>
      <c r="L37" s="684" t="str">
        <f t="shared" ref="L37:L41" si="24">IF(ISNA(HLOOKUP(J37,$K$29:$P$33,3,FALSE))=TRUE,"",(HLOOKUP(J37,$K$29:$P$33,3,FALSE)))</f>
        <v/>
      </c>
      <c r="W37" s="669">
        <f t="shared" si="2"/>
        <v>48213</v>
      </c>
      <c r="X37" s="668">
        <f>IF(SUM($X$2:X36)=1,0,IF($T$2&lt;W37,1,0))</f>
        <v>0</v>
      </c>
      <c r="Y37" s="669">
        <f t="shared" ref="Y37" si="25">W36</f>
        <v>47939</v>
      </c>
      <c r="AJ37" s="683"/>
    </row>
    <row r="38" spans="1:279">
      <c r="A38" s="669">
        <f>A37+30</f>
        <v>46569</v>
      </c>
      <c r="C38" s="677">
        <f t="shared" si="9"/>
        <v>46569</v>
      </c>
      <c r="D38" s="717" t="str">
        <f t="shared" si="10"/>
        <v/>
      </c>
      <c r="E38" s="668" t="str">
        <f t="shared" si="11"/>
        <v/>
      </c>
      <c r="F38" s="668" t="str">
        <f t="shared" si="12"/>
        <v/>
      </c>
      <c r="G38" s="669" t="str">
        <f t="shared" si="13"/>
        <v/>
      </c>
      <c r="H38" s="669">
        <f t="shared" si="14"/>
        <v>46569</v>
      </c>
      <c r="J38" s="668">
        <v>3</v>
      </c>
      <c r="K38" s="668" t="str">
        <f t="shared" si="23"/>
        <v/>
      </c>
      <c r="L38" s="684" t="str">
        <f t="shared" si="24"/>
        <v/>
      </c>
      <c r="W38" s="669">
        <f>W36+366</f>
        <v>48305</v>
      </c>
      <c r="X38" s="668">
        <f>IF(SUM($X$2:X37)=1,0,IF($T$2&lt;W38,1,0))</f>
        <v>0</v>
      </c>
      <c r="Y38" s="669">
        <f t="shared" si="0"/>
        <v>48305</v>
      </c>
      <c r="Z38" s="668" t="s">
        <v>361</v>
      </c>
      <c r="AJ38" s="683"/>
    </row>
    <row r="39" spans="1:279" ht="16.8">
      <c r="A39" s="669">
        <f>A38+31</f>
        <v>46600</v>
      </c>
      <c r="C39" s="677">
        <f t="shared" si="9"/>
        <v>46600</v>
      </c>
      <c r="D39" s="717" t="str">
        <f t="shared" si="10"/>
        <v/>
      </c>
      <c r="E39" s="668" t="str">
        <f t="shared" si="11"/>
        <v/>
      </c>
      <c r="F39" s="668" t="str">
        <f t="shared" si="12"/>
        <v/>
      </c>
      <c r="G39" s="669" t="str">
        <f t="shared" si="13"/>
        <v/>
      </c>
      <c r="H39" s="669">
        <f t="shared" si="14"/>
        <v>46600</v>
      </c>
      <c r="J39" s="668">
        <v>4</v>
      </c>
      <c r="K39" s="668" t="str">
        <f>IF(ISNA(HLOOKUP(J39,$K$29:$P$33,5,FALSE))=TRUE,"",(HLOOKUP(J39,$K$29:$P$33,5,FALSE)))</f>
        <v/>
      </c>
      <c r="L39" s="684" t="str">
        <f t="shared" si="24"/>
        <v/>
      </c>
      <c r="W39" s="669">
        <f>W37+366</f>
        <v>48579</v>
      </c>
      <c r="X39" s="668">
        <f>IF(SUM($X$2:X38)=1,0,IF($T$2&lt;W39,1,0))</f>
        <v>0</v>
      </c>
      <c r="Y39" s="669">
        <f t="shared" ref="Y39" si="26">W38</f>
        <v>48305</v>
      </c>
      <c r="AJ39" s="685"/>
    </row>
    <row r="40" spans="1:279" ht="16.8">
      <c r="A40" s="669">
        <f>A39+31</f>
        <v>46631</v>
      </c>
      <c r="C40" s="677">
        <f t="shared" si="9"/>
        <v>46631</v>
      </c>
      <c r="D40" s="717" t="str">
        <f t="shared" si="10"/>
        <v/>
      </c>
      <c r="E40" s="668" t="str">
        <f t="shared" si="11"/>
        <v/>
      </c>
      <c r="F40" s="668" t="str">
        <f t="shared" si="12"/>
        <v/>
      </c>
      <c r="G40" s="669" t="str">
        <f t="shared" si="13"/>
        <v/>
      </c>
      <c r="H40" s="669">
        <f t="shared" si="14"/>
        <v>46631</v>
      </c>
      <c r="J40" s="668">
        <v>5</v>
      </c>
      <c r="K40" s="668" t="str">
        <f t="shared" ref="K40:K41" si="27">IF(ISNA(HLOOKUP(J40,$K$29:$P$33,5,FALSE))=TRUE,"",(HLOOKUP(J40,$K$29:$P$33,5,FALSE)))</f>
        <v/>
      </c>
      <c r="L40" s="684" t="str">
        <f t="shared" si="24"/>
        <v/>
      </c>
      <c r="W40" s="669">
        <f t="shared" si="2"/>
        <v>48670</v>
      </c>
      <c r="X40" s="668">
        <f>IF(SUM($X$2:X39)=1,0,IF($T$2&lt;W40,1,0))</f>
        <v>0</v>
      </c>
      <c r="Y40" s="669">
        <f t="shared" si="0"/>
        <v>48670</v>
      </c>
      <c r="Z40" s="668" t="s">
        <v>362</v>
      </c>
      <c r="AJ40" s="685"/>
    </row>
    <row r="41" spans="1:279">
      <c r="A41" s="669">
        <f>A40+30</f>
        <v>46661</v>
      </c>
      <c r="C41" s="677">
        <f t="shared" si="9"/>
        <v>46661</v>
      </c>
      <c r="D41" s="717" t="str">
        <f t="shared" si="10"/>
        <v/>
      </c>
      <c r="E41" s="668" t="str">
        <f t="shared" si="11"/>
        <v/>
      </c>
      <c r="F41" s="668" t="str">
        <f t="shared" si="12"/>
        <v/>
      </c>
      <c r="G41" s="669" t="str">
        <f t="shared" si="13"/>
        <v/>
      </c>
      <c r="H41" s="669">
        <f t="shared" si="14"/>
        <v>46661</v>
      </c>
      <c r="J41" s="668">
        <v>6</v>
      </c>
      <c r="K41" s="668" t="str">
        <f t="shared" si="27"/>
        <v/>
      </c>
      <c r="L41" s="684" t="str">
        <f t="shared" si="24"/>
        <v/>
      </c>
      <c r="W41" s="669">
        <f t="shared" si="2"/>
        <v>48944</v>
      </c>
      <c r="X41" s="668">
        <f>IF(SUM($X$2:X40)=1,0,IF($T$2&lt;W41,1,0))</f>
        <v>0</v>
      </c>
      <c r="Y41" s="669">
        <f t="shared" ref="Y41" si="28">W40</f>
        <v>48670</v>
      </c>
    </row>
    <row r="42" spans="1:279">
      <c r="A42" s="669">
        <f>A41+31</f>
        <v>46692</v>
      </c>
      <c r="C42" s="677">
        <f t="shared" si="9"/>
        <v>46692</v>
      </c>
      <c r="D42" s="717" t="str">
        <f t="shared" si="10"/>
        <v/>
      </c>
      <c r="E42" s="668" t="str">
        <f t="shared" si="11"/>
        <v/>
      </c>
      <c r="F42" s="668" t="str">
        <f t="shared" si="12"/>
        <v/>
      </c>
      <c r="G42" s="669" t="str">
        <f t="shared" si="13"/>
        <v/>
      </c>
      <c r="H42" s="669">
        <f t="shared" si="14"/>
        <v>46692</v>
      </c>
      <c r="Y42" s="686"/>
    </row>
    <row r="43" spans="1:279">
      <c r="A43" s="669">
        <f>A42+30</f>
        <v>46722</v>
      </c>
      <c r="C43" s="677">
        <f t="shared" si="9"/>
        <v>46722</v>
      </c>
      <c r="D43" s="717" t="str">
        <f t="shared" si="10"/>
        <v/>
      </c>
      <c r="E43" s="668" t="str">
        <f t="shared" si="11"/>
        <v/>
      </c>
      <c r="F43" s="668" t="str">
        <f t="shared" si="12"/>
        <v/>
      </c>
      <c r="G43" s="669" t="str">
        <f t="shared" si="13"/>
        <v/>
      </c>
      <c r="H43" s="669">
        <f t="shared" si="14"/>
        <v>46722</v>
      </c>
    </row>
    <row r="44" spans="1:279">
      <c r="A44" s="669">
        <f>A43+31</f>
        <v>46753</v>
      </c>
      <c r="C44" s="677">
        <f t="shared" si="9"/>
        <v>46753</v>
      </c>
      <c r="D44" s="717" t="str">
        <f t="shared" si="10"/>
        <v/>
      </c>
      <c r="E44" s="668" t="str">
        <f t="shared" si="11"/>
        <v/>
      </c>
      <c r="F44" s="668" t="str">
        <f t="shared" si="12"/>
        <v/>
      </c>
      <c r="G44" s="669" t="str">
        <f t="shared" si="13"/>
        <v/>
      </c>
      <c r="H44" s="669">
        <f t="shared" si="14"/>
        <v>46753</v>
      </c>
      <c r="J44" s="668">
        <v>2</v>
      </c>
      <c r="K44" s="669" t="e">
        <f>VLOOKUP(J44,$E$20:$H$215,4,FALSE)</f>
        <v>#N/A</v>
      </c>
      <c r="L44" s="668" t="s">
        <v>199</v>
      </c>
      <c r="M44" s="668" t="e">
        <f>VLOOKUP(J44,$E$20:$G$215,2,FALSE)</f>
        <v>#N/A</v>
      </c>
      <c r="N44" s="684" t="e">
        <f>VLOOKUP(J44,$E$20:$G$215,3,FALSE)</f>
        <v>#N/A</v>
      </c>
    </row>
    <row r="45" spans="1:279">
      <c r="A45" s="669">
        <f>A44+31</f>
        <v>46784</v>
      </c>
      <c r="B45" s="668" t="b">
        <f>ISNA(VLOOKUP(A45,$E$4:$E$13,1,FALSE))</f>
        <v>0</v>
      </c>
      <c r="C45" s="677">
        <f t="shared" si="9"/>
        <v>46784</v>
      </c>
      <c r="D45" s="717" t="str">
        <f t="shared" si="10"/>
        <v/>
      </c>
      <c r="E45" s="668" t="str">
        <f t="shared" si="11"/>
        <v/>
      </c>
      <c r="F45" s="668" t="str">
        <f t="shared" si="12"/>
        <v/>
      </c>
      <c r="G45" s="669" t="str">
        <f t="shared" si="13"/>
        <v/>
      </c>
      <c r="H45" s="669">
        <f t="shared" si="14"/>
        <v>46784</v>
      </c>
      <c r="J45" s="668">
        <v>1</v>
      </c>
      <c r="K45" s="669" t="e">
        <f>VLOOKUP(J45,$E$20:$H$215,4,FALSE)</f>
        <v>#N/A</v>
      </c>
      <c r="L45" s="668" t="s">
        <v>324</v>
      </c>
      <c r="M45" s="668" t="e">
        <f>VLOOKUP(J45,$E$20:$G$215,2,FALSE)</f>
        <v>#N/A</v>
      </c>
      <c r="N45" s="684" t="e">
        <f>VLOOKUP(J45,$E$20:$G$215,3,FALSE)</f>
        <v>#N/A</v>
      </c>
    </row>
    <row r="46" spans="1:279">
      <c r="A46" s="669">
        <f>IF(B45=TRUE,(A45+28),(A45+29))</f>
        <v>46813</v>
      </c>
      <c r="C46" s="677">
        <f t="shared" si="9"/>
        <v>46813</v>
      </c>
      <c r="D46" s="717" t="str">
        <f t="shared" si="10"/>
        <v/>
      </c>
      <c r="E46" s="668" t="str">
        <f t="shared" si="11"/>
        <v/>
      </c>
      <c r="F46" s="668" t="str">
        <f t="shared" si="12"/>
        <v/>
      </c>
      <c r="G46" s="669" t="str">
        <f t="shared" si="13"/>
        <v/>
      </c>
      <c r="H46" s="669">
        <f t="shared" si="14"/>
        <v>46813</v>
      </c>
    </row>
    <row r="47" spans="1:279">
      <c r="A47" s="669">
        <f>A46+31</f>
        <v>46844</v>
      </c>
      <c r="C47" s="677">
        <f t="shared" si="9"/>
        <v>46844</v>
      </c>
      <c r="D47" s="717" t="str">
        <f t="shared" si="10"/>
        <v/>
      </c>
      <c r="E47" s="668" t="str">
        <f t="shared" si="11"/>
        <v/>
      </c>
      <c r="F47" s="668" t="str">
        <f t="shared" si="12"/>
        <v/>
      </c>
      <c r="G47" s="669" t="str">
        <f t="shared" si="13"/>
        <v/>
      </c>
      <c r="H47" s="669">
        <f t="shared" si="14"/>
        <v>46844</v>
      </c>
    </row>
    <row r="48" spans="1:279">
      <c r="A48" s="669">
        <f>A47+30</f>
        <v>46874</v>
      </c>
      <c r="C48" s="677">
        <f t="shared" si="9"/>
        <v>46874</v>
      </c>
      <c r="D48" s="717" t="str">
        <f t="shared" si="10"/>
        <v/>
      </c>
      <c r="E48" s="668" t="str">
        <f t="shared" si="11"/>
        <v/>
      </c>
      <c r="F48" s="668" t="str">
        <f t="shared" si="12"/>
        <v/>
      </c>
      <c r="G48" s="669" t="str">
        <f t="shared" si="13"/>
        <v/>
      </c>
      <c r="H48" s="669">
        <f t="shared" si="14"/>
        <v>46874</v>
      </c>
      <c r="M48" s="668" t="s">
        <v>339</v>
      </c>
      <c r="N48" s="717" t="s">
        <v>106</v>
      </c>
      <c r="O48" s="717" t="s">
        <v>106</v>
      </c>
      <c r="P48" s="717" t="s">
        <v>106</v>
      </c>
      <c r="Q48" s="717" t="s">
        <v>341</v>
      </c>
      <c r="R48" s="717" t="s">
        <v>341</v>
      </c>
      <c r="S48" s="717" t="s">
        <v>343</v>
      </c>
      <c r="T48" s="717" t="s">
        <v>343</v>
      </c>
      <c r="U48" s="717">
        <v>1200</v>
      </c>
      <c r="V48" s="717">
        <v>1200</v>
      </c>
      <c r="W48" s="717">
        <v>1300</v>
      </c>
      <c r="X48" s="717">
        <v>1300</v>
      </c>
      <c r="Y48" s="717">
        <v>1300</v>
      </c>
      <c r="Z48" s="717">
        <v>1300</v>
      </c>
      <c r="AA48" s="717">
        <v>1300</v>
      </c>
      <c r="AB48" s="717">
        <v>1300</v>
      </c>
      <c r="AC48" s="717">
        <v>1300</v>
      </c>
      <c r="AD48" s="717">
        <v>1500</v>
      </c>
      <c r="AE48" s="717">
        <v>1500</v>
      </c>
      <c r="AF48" s="717">
        <v>2100</v>
      </c>
      <c r="AG48" s="717">
        <v>2100</v>
      </c>
      <c r="AH48" s="717">
        <v>2100</v>
      </c>
      <c r="AI48" s="717">
        <v>2100</v>
      </c>
      <c r="AJ48" s="717">
        <v>2100</v>
      </c>
      <c r="AK48" s="717">
        <v>2100</v>
      </c>
      <c r="AL48" s="717">
        <v>2100</v>
      </c>
      <c r="AM48" s="717">
        <v>2100</v>
      </c>
      <c r="AN48" s="717">
        <v>2100</v>
      </c>
      <c r="AO48" s="717">
        <v>2100</v>
      </c>
      <c r="AP48" s="717">
        <v>2100</v>
      </c>
      <c r="AQ48" s="717">
        <v>2100</v>
      </c>
      <c r="AR48" s="717">
        <v>2100</v>
      </c>
      <c r="AS48" s="717">
        <v>2100</v>
      </c>
      <c r="AT48" s="717">
        <v>2100</v>
      </c>
      <c r="AU48" s="717">
        <v>2100</v>
      </c>
      <c r="AV48" s="717">
        <v>2100</v>
      </c>
      <c r="AW48" s="717">
        <v>2100</v>
      </c>
      <c r="AX48" s="717">
        <v>2100</v>
      </c>
      <c r="AY48" s="717">
        <v>2100</v>
      </c>
      <c r="AZ48" s="717">
        <v>2100</v>
      </c>
      <c r="BA48" s="717">
        <v>2200</v>
      </c>
      <c r="BB48" s="717">
        <v>2200</v>
      </c>
      <c r="BC48" s="717">
        <v>2200</v>
      </c>
      <c r="BD48" s="717">
        <v>2200</v>
      </c>
      <c r="BE48" s="717">
        <v>2200</v>
      </c>
      <c r="BF48" s="717">
        <v>2300</v>
      </c>
      <c r="BG48" s="717">
        <v>2300</v>
      </c>
      <c r="BH48" s="717">
        <v>2300</v>
      </c>
      <c r="BI48" s="717">
        <v>2300</v>
      </c>
      <c r="BJ48" s="717">
        <v>2300</v>
      </c>
      <c r="BK48" s="717">
        <v>3100</v>
      </c>
      <c r="BL48" s="717">
        <v>3300</v>
      </c>
      <c r="BM48" s="717">
        <v>3300</v>
      </c>
      <c r="BN48" s="717">
        <v>3600</v>
      </c>
      <c r="BO48" s="717">
        <v>3600</v>
      </c>
      <c r="BP48" s="717">
        <v>3700</v>
      </c>
      <c r="BQ48" s="668" t="s">
        <v>106</v>
      </c>
      <c r="BR48" s="668" t="s">
        <v>106</v>
      </c>
      <c r="BS48" s="717">
        <v>3500</v>
      </c>
      <c r="BT48" s="717">
        <v>3500</v>
      </c>
      <c r="BU48" s="717">
        <v>3500</v>
      </c>
      <c r="BV48" s="717">
        <v>3500</v>
      </c>
      <c r="BW48" s="717">
        <v>3500</v>
      </c>
      <c r="BX48" s="717">
        <v>3500</v>
      </c>
      <c r="BY48" s="717">
        <v>3500</v>
      </c>
      <c r="BZ48" s="717">
        <v>3500</v>
      </c>
      <c r="CA48" s="717"/>
      <c r="CB48" s="717"/>
      <c r="CC48" s="717"/>
      <c r="CD48" s="717"/>
      <c r="CE48" s="717"/>
      <c r="CF48" s="717"/>
      <c r="CG48" s="717"/>
      <c r="CH48" s="717"/>
      <c r="CI48" s="717"/>
      <c r="CJ48" s="717"/>
      <c r="CK48" s="717"/>
      <c r="CL48" s="717"/>
      <c r="CM48" s="717"/>
      <c r="CN48" s="717"/>
      <c r="CO48" s="717"/>
      <c r="CP48" s="717"/>
      <c r="CQ48" s="717"/>
      <c r="CR48" s="717"/>
      <c r="CS48" s="717"/>
      <c r="CT48" s="717"/>
      <c r="CU48" s="717"/>
      <c r="CV48" s="717"/>
      <c r="CW48" s="717"/>
      <c r="CX48" s="717"/>
      <c r="CY48" s="717"/>
      <c r="CZ48" s="717"/>
      <c r="DA48" s="717"/>
      <c r="DB48" s="717"/>
      <c r="DC48" s="717"/>
      <c r="DD48" s="717"/>
      <c r="DE48" s="717"/>
      <c r="DF48" s="717"/>
      <c r="DG48" s="717"/>
      <c r="DH48" s="717"/>
      <c r="DI48" s="717"/>
      <c r="DJ48" s="717"/>
      <c r="DK48" s="717"/>
      <c r="DL48" s="717"/>
      <c r="DM48" s="717"/>
      <c r="DN48" s="717"/>
      <c r="DO48" s="717"/>
      <c r="DP48" s="717"/>
      <c r="DQ48" s="717"/>
      <c r="DR48" s="717"/>
      <c r="DS48" s="717"/>
      <c r="DT48" s="717"/>
      <c r="DU48" s="717"/>
      <c r="DV48" s="717"/>
      <c r="DW48" s="717"/>
      <c r="DX48" s="717"/>
      <c r="DY48" s="717"/>
      <c r="DZ48" s="717"/>
      <c r="EA48" s="717"/>
      <c r="EB48" s="717"/>
      <c r="EC48" s="717"/>
      <c r="ED48" s="717"/>
      <c r="EE48" s="717"/>
      <c r="EF48" s="717"/>
      <c r="EG48" s="717"/>
      <c r="EH48" s="717"/>
      <c r="EI48" s="717"/>
      <c r="EJ48" s="717"/>
      <c r="EK48" s="717"/>
      <c r="EL48" s="717"/>
      <c r="EM48" s="717"/>
      <c r="EN48" s="717"/>
      <c r="EO48" s="717"/>
      <c r="EP48" s="717"/>
      <c r="EQ48" s="717"/>
      <c r="ER48" s="717"/>
      <c r="ES48" s="717"/>
      <c r="ET48" s="717"/>
      <c r="EU48" s="717"/>
      <c r="EV48" s="717"/>
      <c r="EW48" s="717"/>
      <c r="EX48" s="717"/>
      <c r="EY48" s="717"/>
      <c r="EZ48" s="717"/>
      <c r="FA48" s="717"/>
      <c r="FB48" s="717"/>
      <c r="FC48" s="717"/>
      <c r="FD48" s="717"/>
      <c r="FE48" s="717"/>
      <c r="FF48" s="717"/>
      <c r="FG48" s="717"/>
      <c r="FH48" s="717"/>
      <c r="FI48" s="717"/>
      <c r="FJ48" s="717"/>
      <c r="FK48" s="717"/>
      <c r="FL48" s="717"/>
      <c r="FM48" s="717"/>
      <c r="FN48" s="717"/>
      <c r="FO48" s="717"/>
      <c r="FP48" s="717"/>
      <c r="FQ48" s="717"/>
      <c r="FR48" s="717"/>
      <c r="FS48" s="717"/>
      <c r="FT48" s="717"/>
      <c r="FU48" s="717"/>
      <c r="FV48" s="717"/>
      <c r="FW48" s="717"/>
      <c r="FX48" s="717"/>
      <c r="FY48" s="717"/>
      <c r="FZ48" s="717"/>
      <c r="GA48" s="717"/>
      <c r="GB48" s="717"/>
      <c r="GC48" s="717"/>
      <c r="GD48" s="717"/>
      <c r="GG48" s="717"/>
      <c r="GH48" s="717"/>
      <c r="GI48" s="717"/>
      <c r="GJ48" s="717"/>
      <c r="GK48" s="717"/>
      <c r="GL48" s="717"/>
      <c r="GM48" s="717"/>
      <c r="GP48" s="717"/>
      <c r="GQ48" s="717"/>
      <c r="GR48" s="717"/>
      <c r="GS48" s="717"/>
      <c r="GT48" s="717"/>
      <c r="GU48" s="717"/>
      <c r="GV48" s="717"/>
      <c r="GW48" s="717"/>
      <c r="GX48" s="717"/>
      <c r="GY48" s="717"/>
      <c r="GZ48" s="717"/>
      <c r="HA48" s="717"/>
      <c r="HB48" s="717"/>
      <c r="HC48" s="717"/>
      <c r="HD48" s="717"/>
      <c r="HE48" s="717"/>
      <c r="HF48" s="717"/>
      <c r="HG48" s="717"/>
      <c r="HH48" s="717"/>
      <c r="HI48" s="717"/>
      <c r="HJ48" s="717"/>
      <c r="HK48" s="717"/>
      <c r="HL48" s="717"/>
      <c r="HM48" s="717"/>
      <c r="HN48" s="717"/>
      <c r="HO48" s="717"/>
      <c r="HP48" s="717"/>
      <c r="HQ48" s="717"/>
      <c r="HR48" s="717"/>
      <c r="HS48" s="717"/>
      <c r="HT48" s="717"/>
      <c r="HU48" s="717"/>
      <c r="HV48" s="717"/>
      <c r="HW48" s="717"/>
      <c r="HX48" s="717"/>
      <c r="HY48" s="717"/>
      <c r="HZ48" s="717"/>
      <c r="IA48" s="717"/>
      <c r="IB48" s="717"/>
      <c r="IC48" s="717"/>
      <c r="ID48" s="717"/>
      <c r="IE48" s="717"/>
      <c r="IF48" s="717"/>
      <c r="IG48" s="717"/>
      <c r="IH48" s="717"/>
      <c r="II48" s="717"/>
      <c r="IJ48" s="717"/>
      <c r="IK48" s="717"/>
      <c r="IL48" s="717"/>
      <c r="IM48" s="717"/>
      <c r="IN48" s="717"/>
      <c r="IO48" s="717"/>
      <c r="IP48" s="717"/>
      <c r="IQ48" s="717"/>
      <c r="IR48" s="717"/>
      <c r="IS48" s="717"/>
      <c r="IT48" s="717"/>
      <c r="IU48" s="717"/>
      <c r="IV48" s="717"/>
      <c r="IW48" s="717"/>
      <c r="IX48" s="717"/>
      <c r="IY48" s="717"/>
      <c r="IZ48" s="717"/>
      <c r="JA48" s="717"/>
      <c r="JB48" s="717"/>
      <c r="JC48" s="717"/>
      <c r="JD48" s="717"/>
      <c r="JE48" s="717"/>
      <c r="JF48" s="717"/>
      <c r="JG48" s="717"/>
      <c r="JH48" s="717"/>
      <c r="JI48" s="717"/>
      <c r="JJ48" s="717"/>
      <c r="JK48" s="717"/>
      <c r="JL48" s="717"/>
      <c r="JM48" s="717"/>
      <c r="JN48" s="717"/>
      <c r="JO48" s="717"/>
      <c r="JP48" s="717"/>
      <c r="JQ48" s="717"/>
      <c r="JR48" s="717"/>
      <c r="JS48" s="717"/>
    </row>
    <row r="49" spans="1:279">
      <c r="A49" s="669">
        <f>A48+31</f>
        <v>46905</v>
      </c>
      <c r="C49" s="677">
        <f t="shared" si="9"/>
        <v>46905</v>
      </c>
      <c r="D49" s="717" t="str">
        <f t="shared" si="10"/>
        <v/>
      </c>
      <c r="E49" s="668" t="str">
        <f t="shared" si="11"/>
        <v/>
      </c>
      <c r="F49" s="668" t="str">
        <f t="shared" si="12"/>
        <v/>
      </c>
      <c r="G49" s="669" t="str">
        <f t="shared" si="13"/>
        <v/>
      </c>
      <c r="H49" s="669">
        <f t="shared" si="14"/>
        <v>46905</v>
      </c>
      <c r="N49" s="717" t="s">
        <v>342</v>
      </c>
      <c r="O49" s="717" t="s">
        <v>366</v>
      </c>
      <c r="P49" s="717" t="s">
        <v>410</v>
      </c>
      <c r="Q49" s="717" t="s">
        <v>367</v>
      </c>
      <c r="R49" s="717" t="s">
        <v>368</v>
      </c>
      <c r="S49" s="717" t="s">
        <v>369</v>
      </c>
      <c r="T49" s="717" t="s">
        <v>370</v>
      </c>
      <c r="U49" s="717" t="s">
        <v>580</v>
      </c>
      <c r="V49" s="717" t="s">
        <v>373</v>
      </c>
      <c r="W49" s="717" t="s">
        <v>580</v>
      </c>
      <c r="X49" s="717" t="s">
        <v>374</v>
      </c>
      <c r="Y49" s="717" t="s">
        <v>380</v>
      </c>
      <c r="Z49" s="717" t="s">
        <v>375</v>
      </c>
      <c r="AA49" s="717" t="s">
        <v>381</v>
      </c>
      <c r="AB49" s="717" t="s">
        <v>377</v>
      </c>
      <c r="AC49" s="717" t="s">
        <v>378</v>
      </c>
      <c r="AD49" s="717" t="s">
        <v>580</v>
      </c>
      <c r="AE49" s="717" t="s">
        <v>374</v>
      </c>
      <c r="AF49" s="717" t="s">
        <v>580</v>
      </c>
      <c r="AG49" s="717" t="s">
        <v>373</v>
      </c>
      <c r="AH49" s="717" t="s">
        <v>374</v>
      </c>
      <c r="AI49" s="717" t="s">
        <v>375</v>
      </c>
      <c r="AJ49" s="717" t="s">
        <v>376</v>
      </c>
      <c r="AK49" s="717" t="s">
        <v>381</v>
      </c>
      <c r="AL49" s="717" t="s">
        <v>411</v>
      </c>
      <c r="AM49" s="717" t="s">
        <v>382</v>
      </c>
      <c r="AN49" s="717" t="s">
        <v>383</v>
      </c>
      <c r="AO49" s="717" t="s">
        <v>384</v>
      </c>
      <c r="AP49" s="717" t="s">
        <v>367</v>
      </c>
      <c r="AQ49" s="717" t="s">
        <v>385</v>
      </c>
      <c r="AR49" s="717" t="s">
        <v>436</v>
      </c>
      <c r="AS49" s="717" t="s">
        <v>391</v>
      </c>
      <c r="AT49" s="717" t="s">
        <v>398</v>
      </c>
      <c r="AU49" s="717" t="s">
        <v>369</v>
      </c>
      <c r="AV49" s="717" t="s">
        <v>582</v>
      </c>
      <c r="AW49" s="717" t="s">
        <v>386</v>
      </c>
      <c r="AX49" s="717" t="s">
        <v>387</v>
      </c>
      <c r="AY49" s="717" t="s">
        <v>388</v>
      </c>
      <c r="AZ49" s="717" t="s">
        <v>392</v>
      </c>
      <c r="BA49" s="717" t="s">
        <v>580</v>
      </c>
      <c r="BB49" s="717" t="s">
        <v>374</v>
      </c>
      <c r="BC49" s="717" t="s">
        <v>380</v>
      </c>
      <c r="BD49" s="717" t="s">
        <v>375</v>
      </c>
      <c r="BE49" s="717" t="s">
        <v>376</v>
      </c>
      <c r="BF49" s="717" t="s">
        <v>580</v>
      </c>
      <c r="BG49" s="717" t="s">
        <v>373</v>
      </c>
      <c r="BH49" s="717" t="s">
        <v>374</v>
      </c>
      <c r="BI49" s="717" t="s">
        <v>380</v>
      </c>
      <c r="BJ49" s="717" t="s">
        <v>375</v>
      </c>
      <c r="BK49" s="717" t="s">
        <v>580</v>
      </c>
      <c r="BL49" s="717" t="s">
        <v>580</v>
      </c>
      <c r="BM49" s="717" t="s">
        <v>373</v>
      </c>
      <c r="BN49" s="717" t="s">
        <v>387</v>
      </c>
      <c r="BO49" s="717" t="s">
        <v>388</v>
      </c>
      <c r="BP49" s="717" t="s">
        <v>373</v>
      </c>
      <c r="BQ49" s="717" t="s">
        <v>402</v>
      </c>
      <c r="BR49" s="717" t="s">
        <v>403</v>
      </c>
      <c r="BS49" s="717" t="s">
        <v>445</v>
      </c>
      <c r="BT49" s="717" t="s">
        <v>446</v>
      </c>
      <c r="BU49" s="717" t="s">
        <v>447</v>
      </c>
      <c r="BV49" s="717" t="s">
        <v>448</v>
      </c>
      <c r="BW49" s="717" t="s">
        <v>449</v>
      </c>
      <c r="BX49" s="717" t="s">
        <v>450</v>
      </c>
      <c r="BY49" s="717" t="s">
        <v>451</v>
      </c>
      <c r="BZ49" s="717" t="s">
        <v>452</v>
      </c>
      <c r="CA49" s="717"/>
      <c r="CB49" s="717"/>
      <c r="CC49" s="717"/>
      <c r="CD49" s="717"/>
      <c r="CE49" s="717"/>
      <c r="CF49" s="717"/>
      <c r="CG49" s="717"/>
      <c r="CH49" s="717"/>
      <c r="CI49" s="717"/>
      <c r="CJ49" s="717"/>
      <c r="CK49" s="717"/>
      <c r="CL49" s="717"/>
      <c r="CM49" s="717"/>
      <c r="CN49" s="717"/>
      <c r="CO49" s="717"/>
      <c r="CP49" s="717"/>
      <c r="CQ49" s="717"/>
      <c r="CR49" s="717"/>
      <c r="CS49" s="717"/>
      <c r="CT49" s="717"/>
      <c r="CU49" s="717"/>
      <c r="CV49" s="717"/>
      <c r="CW49" s="717"/>
      <c r="CX49" s="717"/>
      <c r="CY49" s="717"/>
      <c r="CZ49" s="717"/>
      <c r="DA49" s="717"/>
      <c r="DB49" s="717"/>
      <c r="DC49" s="717"/>
      <c r="DD49" s="717"/>
      <c r="DE49" s="717"/>
      <c r="DF49" s="717"/>
      <c r="DG49" s="717"/>
      <c r="DH49" s="717"/>
      <c r="DI49" s="717"/>
      <c r="DJ49" s="717"/>
      <c r="DK49" s="717"/>
      <c r="DL49" s="717"/>
      <c r="DM49" s="717"/>
      <c r="DN49" s="717"/>
      <c r="DO49" s="717"/>
      <c r="DP49" s="717"/>
      <c r="DQ49" s="717"/>
      <c r="DR49" s="717"/>
      <c r="DS49" s="717"/>
      <c r="DT49" s="717"/>
      <c r="DU49" s="717"/>
      <c r="DV49" s="717"/>
      <c r="DW49" s="717"/>
      <c r="DX49" s="717"/>
      <c r="DY49" s="717"/>
      <c r="DZ49" s="717"/>
      <c r="EA49" s="717"/>
      <c r="EB49" s="717"/>
      <c r="EC49" s="717"/>
      <c r="ED49" s="717"/>
      <c r="EE49" s="717"/>
      <c r="EF49" s="717"/>
      <c r="EG49" s="717"/>
      <c r="EH49" s="717"/>
      <c r="EI49" s="717"/>
      <c r="EJ49" s="717"/>
      <c r="EK49" s="717"/>
      <c r="EL49" s="717"/>
      <c r="EM49" s="717"/>
      <c r="EN49" s="717"/>
      <c r="EO49" s="717"/>
      <c r="EP49" s="717"/>
      <c r="EQ49" s="717"/>
      <c r="ER49" s="717"/>
      <c r="ES49" s="717"/>
      <c r="ET49" s="717"/>
      <c r="EU49" s="717"/>
      <c r="EV49" s="717"/>
      <c r="EW49" s="717"/>
      <c r="EX49" s="717"/>
      <c r="EY49" s="717"/>
      <c r="EZ49" s="717"/>
      <c r="FA49" s="717"/>
      <c r="FB49" s="717"/>
      <c r="FC49" s="717"/>
      <c r="FD49" s="717"/>
      <c r="FE49" s="717"/>
      <c r="FF49" s="717"/>
      <c r="FG49" s="717"/>
      <c r="FH49" s="717"/>
      <c r="FI49" s="717"/>
      <c r="FJ49" s="717"/>
      <c r="FK49" s="717"/>
      <c r="FL49" s="717"/>
      <c r="FM49" s="717"/>
      <c r="FN49" s="717"/>
      <c r="FO49" s="717"/>
      <c r="FP49" s="717"/>
      <c r="FQ49" s="717"/>
      <c r="FR49" s="717"/>
      <c r="FS49" s="717"/>
      <c r="FT49" s="717"/>
      <c r="FU49" s="717"/>
      <c r="FV49" s="717"/>
      <c r="FW49" s="717"/>
      <c r="FX49" s="717"/>
      <c r="FY49" s="717"/>
      <c r="FZ49" s="717"/>
      <c r="GA49" s="717"/>
      <c r="GB49" s="717"/>
      <c r="GC49" s="717"/>
      <c r="GD49" s="717"/>
      <c r="GG49" s="717"/>
      <c r="GH49" s="717"/>
      <c r="GI49" s="717"/>
      <c r="GJ49" s="717"/>
      <c r="GK49" s="717"/>
      <c r="GL49" s="717"/>
      <c r="GM49" s="717"/>
      <c r="GP49" s="717"/>
      <c r="GQ49" s="717"/>
      <c r="GR49" s="717"/>
      <c r="GS49" s="717"/>
      <c r="GT49" s="717"/>
      <c r="GU49" s="717"/>
      <c r="GV49" s="717"/>
      <c r="GW49" s="717"/>
      <c r="GX49" s="717"/>
      <c r="GY49" s="717"/>
      <c r="GZ49" s="717"/>
      <c r="HA49" s="717"/>
      <c r="HB49" s="717"/>
      <c r="HC49" s="717"/>
      <c r="HD49" s="717"/>
      <c r="HE49" s="717"/>
      <c r="HF49" s="717"/>
      <c r="HG49" s="717"/>
      <c r="HH49" s="717"/>
      <c r="HI49" s="717"/>
      <c r="HJ49" s="717"/>
      <c r="HK49" s="717"/>
      <c r="HL49" s="717"/>
      <c r="HM49" s="717"/>
      <c r="HN49" s="717"/>
      <c r="HO49" s="717"/>
      <c r="HP49" s="717"/>
      <c r="HQ49" s="717"/>
      <c r="HR49" s="717"/>
      <c r="HS49" s="717"/>
      <c r="HT49" s="717"/>
      <c r="HU49" s="717"/>
      <c r="HV49" s="717"/>
      <c r="HW49" s="717"/>
      <c r="HX49" s="717"/>
      <c r="HY49" s="717"/>
      <c r="HZ49" s="717"/>
      <c r="IA49" s="717"/>
      <c r="IB49" s="717"/>
      <c r="IC49" s="717"/>
      <c r="ID49" s="717"/>
      <c r="IE49" s="717"/>
      <c r="IF49" s="717"/>
      <c r="IG49" s="717"/>
      <c r="IH49" s="717"/>
      <c r="II49" s="717"/>
      <c r="IJ49" s="717"/>
      <c r="IK49" s="717"/>
      <c r="IL49" s="717"/>
      <c r="IM49" s="717"/>
      <c r="IN49" s="717"/>
      <c r="IO49" s="717"/>
      <c r="IP49" s="717"/>
      <c r="IQ49" s="717"/>
      <c r="IR49" s="717"/>
      <c r="IS49" s="717"/>
      <c r="IT49" s="717"/>
      <c r="IU49" s="717"/>
      <c r="IV49" s="717"/>
      <c r="IW49" s="717"/>
      <c r="IX49" s="717"/>
      <c r="IY49" s="717"/>
      <c r="IZ49" s="717"/>
      <c r="JA49" s="717"/>
      <c r="JB49" s="717"/>
      <c r="JC49" s="717"/>
      <c r="JD49" s="717"/>
      <c r="JE49" s="717"/>
      <c r="JF49" s="717"/>
      <c r="JG49" s="717"/>
      <c r="JH49" s="717"/>
      <c r="JI49" s="717"/>
      <c r="JJ49" s="717"/>
      <c r="JK49" s="717"/>
      <c r="JL49" s="717"/>
      <c r="JM49" s="717"/>
      <c r="JN49" s="717"/>
      <c r="JO49" s="717"/>
      <c r="JP49" s="717"/>
      <c r="JQ49" s="717"/>
      <c r="JR49" s="717"/>
      <c r="JS49" s="717"/>
    </row>
    <row r="50" spans="1:279" s="688" customFormat="1" ht="59.25" customHeight="1">
      <c r="A50" s="687">
        <f>A49+30</f>
        <v>46935</v>
      </c>
      <c r="C50" s="689">
        <f t="shared" si="9"/>
        <v>46935</v>
      </c>
      <c r="D50" s="690" t="str">
        <f t="shared" si="10"/>
        <v/>
      </c>
      <c r="E50" s="688" t="str">
        <f t="shared" si="11"/>
        <v/>
      </c>
      <c r="F50" s="688" t="str">
        <f t="shared" si="12"/>
        <v/>
      </c>
      <c r="G50" s="687" t="str">
        <f t="shared" si="13"/>
        <v/>
      </c>
      <c r="H50" s="687">
        <f t="shared" si="14"/>
        <v>46935</v>
      </c>
      <c r="N50" s="690" t="s">
        <v>126</v>
      </c>
      <c r="O50" s="690" t="str">
        <f>'F1  Cover'!A32</f>
        <v xml:space="preserve">Esc </v>
      </c>
      <c r="P50" s="690" t="str">
        <f>'F1  Cover'!B38</f>
        <v>Retention @ 5%</v>
      </c>
      <c r="Q50" s="690" t="str">
        <f>'Pg 1 Payment'!B26</f>
        <v>Deduct: Previous certificate (A)</v>
      </c>
      <c r="R50" s="690" t="str">
        <f>'Pg 1 Payment'!B26</f>
        <v>Deduct: Previous certificate (A)</v>
      </c>
      <c r="S50" s="690" t="str">
        <f>'Pg 2 Sum Scheduled'!B27</f>
        <v>Deduct: Previous Certificate Escalatable work (C)</v>
      </c>
      <c r="T50" s="690" t="str">
        <f>'Pg 2 Sum Scheduled'!B27</f>
        <v>Deduct: Previous Certificate Escalatable work (C)</v>
      </c>
      <c r="U50" s="690" t="str">
        <f>'1200'!B8</f>
        <v>Establishment for Facility  Management property services provision</v>
      </c>
      <c r="V50" s="691" t="str">
        <f>'1200'!B9</f>
        <v>Time related obligations</v>
      </c>
      <c r="W50" s="690" t="str">
        <f>'1300'!B8</f>
        <v>Engagement of the previous service provider</v>
      </c>
      <c r="X50" s="690" t="str">
        <f>'1300'!B10</f>
        <v>Plan and programe taking on operations</v>
      </c>
      <c r="Y50" s="690" t="str">
        <f>'1300'!B11</f>
        <v>Taking over files and documentation</v>
      </c>
      <c r="Z50" s="690" t="str">
        <f>'1300'!B12</f>
        <v>Cost of Transport - files and documentation</v>
      </c>
      <c r="AA50" s="690" t="str">
        <f>'1300'!B14</f>
        <v>Taking over operations</v>
      </c>
      <c r="AB50" s="688" t="str">
        <f>'1300'!B15</f>
        <v>Plan and program handing over operations</v>
      </c>
      <c r="AC50" s="688" t="str">
        <f>'1300'!B16</f>
        <v>Handing over operations</v>
      </c>
      <c r="AD50" s="688" t="str">
        <f>'1500'!B8</f>
        <v>Formal charges</v>
      </c>
      <c r="AE50" s="688" t="str">
        <f>'1500'!B10</f>
        <v>Other costs approved by the Employer</v>
      </c>
      <c r="AF50" s="688" t="str">
        <f>'2100'!B8</f>
        <v>Preparation of annual subcontracting plan and programme</v>
      </c>
      <c r="AG50" s="688" t="str">
        <f>'2100'!B9</f>
        <v>Preparation of proforma quotation documents</v>
      </c>
      <c r="AH50" s="688" t="str">
        <f>'2100'!B10</f>
        <v>Preparation of proforma tender documents</v>
      </c>
      <c r="AI50" s="688" t="str">
        <f>'2100'!B12</f>
        <v>Quotations</v>
      </c>
      <c r="AJ50" s="688" t="str">
        <f>'2100'!B13</f>
        <v>Tenders</v>
      </c>
      <c r="AK50" s="688" t="str">
        <f>'2100'!B14</f>
        <v>Tender advertisements</v>
      </c>
      <c r="AL50" s="688" t="str">
        <f>'2100'!B17</f>
        <v>Quotations</v>
      </c>
      <c r="AM50" s="688" t="str">
        <f>'2100'!B18</f>
        <v>Tenders</v>
      </c>
      <c r="AN50" s="688" t="str">
        <f>'2100'!B20</f>
        <v>Fire Fighting Equipment &amp; Sprinklers</v>
      </c>
      <c r="AO50" s="688" t="str">
        <f>'2100'!B21</f>
        <v>Security</v>
      </c>
      <c r="AP50" s="688" t="str">
        <f>'2100'!B22</f>
        <v>Cleaning</v>
      </c>
      <c r="AQ50" s="688" t="str">
        <f>'2100'!B23</f>
        <v>Hygiene</v>
      </c>
      <c r="AR50" s="688" t="str">
        <f>'2100'!B24</f>
        <v>Pest Control</v>
      </c>
      <c r="AS50" s="688" t="str">
        <f>'2100'!B25</f>
        <v>Water Supply &amp; Cups</v>
      </c>
      <c r="AT50" s="688" t="str">
        <f>'2100'!B26</f>
        <v>Elevator Maintenance</v>
      </c>
      <c r="AU50" s="688" t="str">
        <f>'2100'!B27</f>
        <v>Maintenance of Electric and Electronic Installations &amp; Generator</v>
      </c>
      <c r="AV50" s="688" t="str">
        <f>'2100'!B28</f>
        <v>Heating, ventilation, air conditioning, BMS, rainwater harvesting and vacuum system control</v>
      </c>
      <c r="AW50" s="688" t="str">
        <f>'2100'!B29</f>
        <v>Armed Response</v>
      </c>
      <c r="AX50" s="688" t="str">
        <f>'2100'!B30</f>
        <v>Landscaping and irrigation</v>
      </c>
      <c r="AY50" s="688" t="str">
        <f>'2100'!B31</f>
        <v>Third Party assistance</v>
      </c>
      <c r="AZ50" s="688" t="str">
        <f>'2100'!B32</f>
        <v>Subcontract supervision and administration</v>
      </c>
      <c r="BA50" s="688" t="str">
        <f>'2200'!B8</f>
        <v>Materials and other direct costs for minor works</v>
      </c>
      <c r="BB50" s="688" t="str">
        <f>'2200'!B10</f>
        <v>Own skilled, but unqualified artisan / technician / labourer</v>
      </c>
      <c r="BC50" s="688" t="str">
        <f>'2200'!B11</f>
        <v>Own qualified artisan / technician / supervisor</v>
      </c>
      <c r="BD50" s="688" t="str">
        <f>'2200'!B12</f>
        <v>Third Party engagements in minor repairs and services</v>
      </c>
      <c r="BE50" s="688" t="str">
        <f>'2200'!B13</f>
        <v>Management attendance</v>
      </c>
      <c r="BF50" s="688" t="str">
        <f>'2300'!B8</f>
        <v>Facility maintenance subcontract costs (Ad-hoc)</v>
      </c>
      <c r="BG50" s="688" t="str">
        <f>'2300'!B9</f>
        <v>Facility maintenance subcontract costs (Security, OHS and other)</v>
      </c>
      <c r="BH50" s="688" t="str">
        <f>'2300'!B10</f>
        <v>Maintaining the ITIS/SAP building management system</v>
      </c>
      <c r="BI50" s="688" t="str">
        <f>'2300'!B11</f>
        <v>Tender briefing meeting</v>
      </c>
      <c r="BJ50" s="688" t="str">
        <f>'2300'!B12</f>
        <v>Tender opening meeting</v>
      </c>
      <c r="BK50" s="688" t="str">
        <f>'3100'!B8</f>
        <v>Meeting services</v>
      </c>
      <c r="BL50" s="688" t="str">
        <f>'3300'!B8</f>
        <v>Monthly reporting for management meetings</v>
      </c>
      <c r="BM50" s="688" t="str">
        <f>'3300'!B9</f>
        <v>Capturing data for all employed persons</v>
      </c>
      <c r="BN50" s="688" t="e">
        <f>'2200'!#REF!</f>
        <v>#REF!</v>
      </c>
      <c r="BO50" s="688" t="e">
        <f>'2200'!#REF!</f>
        <v>#REF!</v>
      </c>
      <c r="BP50" s="688" t="str">
        <f>'2300'!B11</f>
        <v>Tender briefing meeting</v>
      </c>
      <c r="BQ50" s="688" t="str">
        <f>'F1  Cover'!A34</f>
        <v>WAF</v>
      </c>
      <c r="BR50" s="688" t="str">
        <f>'F1  Cover'!A36</f>
        <v>PEN</v>
      </c>
      <c r="BS50" s="688" t="e">
        <f>'2100'!#REF!</f>
        <v>#REF!</v>
      </c>
      <c r="BT50" s="692" t="e">
        <f>'2100'!#REF!</f>
        <v>#REF!</v>
      </c>
      <c r="BU50" s="692" t="e">
        <f>'2100'!#REF!</f>
        <v>#REF!</v>
      </c>
      <c r="BV50" s="692" t="e">
        <f>'2100'!#REF!</f>
        <v>#REF!</v>
      </c>
      <c r="BW50" s="692" t="e">
        <f>'2100'!#REF!</f>
        <v>#REF!</v>
      </c>
      <c r="BX50" s="692" t="e">
        <f>'2100'!#REF!</f>
        <v>#REF!</v>
      </c>
      <c r="BY50" s="692" t="e">
        <f>'2100'!#REF!</f>
        <v>#REF!</v>
      </c>
      <c r="BZ50" s="692" t="e">
        <f>'2100'!#REF!</f>
        <v>#REF!</v>
      </c>
    </row>
    <row r="51" spans="1:279">
      <c r="A51" s="669">
        <f>A50+31</f>
        <v>46966</v>
      </c>
      <c r="C51" s="677">
        <f t="shared" si="9"/>
        <v>46966</v>
      </c>
      <c r="D51" s="717" t="str">
        <f t="shared" si="10"/>
        <v/>
      </c>
      <c r="E51" s="668" t="str">
        <f t="shared" si="11"/>
        <v/>
      </c>
      <c r="F51" s="668" t="str">
        <f t="shared" si="12"/>
        <v/>
      </c>
      <c r="G51" s="669" t="str">
        <f t="shared" si="13"/>
        <v/>
      </c>
      <c r="H51" s="669">
        <f t="shared" si="14"/>
        <v>46966</v>
      </c>
    </row>
    <row r="52" spans="1:279">
      <c r="A52" s="669">
        <f>A51+31</f>
        <v>46997</v>
      </c>
      <c r="C52" s="677">
        <f t="shared" si="9"/>
        <v>46997</v>
      </c>
      <c r="D52" s="717" t="str">
        <f t="shared" si="10"/>
        <v/>
      </c>
      <c r="E52" s="668" t="str">
        <f t="shared" si="11"/>
        <v/>
      </c>
      <c r="F52" s="668" t="str">
        <f t="shared" si="12"/>
        <v/>
      </c>
      <c r="G52" s="669" t="str">
        <f t="shared" si="13"/>
        <v/>
      </c>
      <c r="H52" s="669">
        <f t="shared" si="14"/>
        <v>46997</v>
      </c>
      <c r="L52" s="678" t="s">
        <v>336</v>
      </c>
      <c r="M52" s="717">
        <f>IF(M53="",0,IF(M53=0,0,M53-1))</f>
        <v>0</v>
      </c>
      <c r="N52" s="693">
        <f>VLOOKUP($M$52,$M$57:$ZZ$207,2,FALSE)</f>
        <v>46232</v>
      </c>
      <c r="O52" s="694">
        <f>O56</f>
        <v>0</v>
      </c>
      <c r="P52" s="694">
        <f>P56</f>
        <v>0</v>
      </c>
      <c r="Q52" s="694">
        <f>VLOOKUP($M$52,$M$57:$ZZ$207,5,FALSE)</f>
        <v>0</v>
      </c>
      <c r="R52" s="694">
        <f>VLOOKUP($M$52,$M$57:$ZZ$207,6,FALSE)</f>
        <v>0</v>
      </c>
      <c r="S52" s="694">
        <f>VLOOKUP($M$52,$M$57:$ZZ$207,7,FALSE)</f>
        <v>0</v>
      </c>
      <c r="T52" s="694">
        <f>VLOOKUP($M$52,$M$57:$ZZ$207,8,FALSE)</f>
        <v>0</v>
      </c>
      <c r="U52" s="682">
        <f>VLOOKUP($M$52,$M$57:$ZZ$207,9,FALSE)</f>
        <v>0</v>
      </c>
      <c r="V52" s="682">
        <f>VLOOKUP($M$52,$M$57:$ZZ$207,10,FALSE)</f>
        <v>0</v>
      </c>
      <c r="W52" s="682">
        <f>VLOOKUP($M$52,$M$57:$ZZ$207,11,FALSE)</f>
        <v>0</v>
      </c>
      <c r="X52" s="682">
        <f>VLOOKUP($M$52,$M$57:$ZZ$207,12,FALSE)</f>
        <v>0</v>
      </c>
      <c r="Y52" s="682">
        <f>VLOOKUP($M$52,$M$57:$ZZ$207,13,FALSE)</f>
        <v>0</v>
      </c>
      <c r="Z52" s="682">
        <f>VLOOKUP($M$52,$M$57:$ZZ$207,14,FALSE)</f>
        <v>0</v>
      </c>
      <c r="AA52" s="682">
        <f>VLOOKUP($M$52,$M$57:$ZZ$207,15,FALSE)</f>
        <v>0</v>
      </c>
      <c r="AB52" s="682">
        <f>VLOOKUP($M$52,$M$57:$ZZ$207,16,FALSE)</f>
        <v>0</v>
      </c>
      <c r="AC52" s="682">
        <f>VLOOKUP($M$52,$M$57:$ZZ$207,17,FALSE)</f>
        <v>0</v>
      </c>
      <c r="AD52" s="682">
        <f>VLOOKUP($M$52,$M$57:$ZZ$207,18,FALSE)</f>
        <v>0</v>
      </c>
      <c r="AE52" s="682">
        <f>VLOOKUP($M$52,$M$57:$ZZ$207,19,FALSE)</f>
        <v>0</v>
      </c>
      <c r="AF52" s="682">
        <f>VLOOKUP($M$52,$M$57:$ZZ$207,20,FALSE)</f>
        <v>0</v>
      </c>
      <c r="AG52" s="682">
        <f>VLOOKUP($M$52,$M$57:$ZZ$207,21,FALSE)</f>
        <v>0</v>
      </c>
      <c r="AH52" s="682">
        <f>VLOOKUP($M$52,$M$57:$ZZ$207,22,FALSE)</f>
        <v>0</v>
      </c>
      <c r="AI52" s="682">
        <f>VLOOKUP($M$52,$M$57:$ZZ$207,23,FALSE)</f>
        <v>0</v>
      </c>
      <c r="AJ52" s="682">
        <f>VLOOKUP($M$52,$M$57:$ZZ$207,24,FALSE)</f>
        <v>0</v>
      </c>
      <c r="AK52" s="682">
        <f>VLOOKUP($M$52,$M$57:$ZZ$207,25,FALSE)</f>
        <v>0</v>
      </c>
      <c r="AL52" s="682">
        <f>VLOOKUP($M$52,$M$57:$ZZ$207,26,FALSE)</f>
        <v>0</v>
      </c>
      <c r="AM52" s="682">
        <f>VLOOKUP($M$52,$M$57:$ZZ$207,27,FALSE)</f>
        <v>0</v>
      </c>
      <c r="AN52" s="682">
        <f>VLOOKUP($M$52,$M$57:$ZZ$207,28,FALSE)</f>
        <v>0</v>
      </c>
      <c r="AO52" s="682">
        <f>VLOOKUP($M$52,$M$57:$ZZ$207,29,FALSE)</f>
        <v>0</v>
      </c>
      <c r="AP52" s="682">
        <f>VLOOKUP($M$52,$M$57:$ZZ$207,30,FALSE)</f>
        <v>0</v>
      </c>
      <c r="AQ52" s="682">
        <f>VLOOKUP($M$52,$M$57:$ZZ$207,31,FALSE)</f>
        <v>0</v>
      </c>
      <c r="AR52" s="682">
        <f>VLOOKUP($M$52,$M$57:$ZZ$207,32,FALSE)</f>
        <v>0</v>
      </c>
      <c r="AS52" s="682">
        <f>VLOOKUP($M$52,$M$57:$ZZ$207,33,FALSE)</f>
        <v>0</v>
      </c>
      <c r="AT52" s="682">
        <f>VLOOKUP($M$52,$M$57:$ZZ$207,34,FALSE)</f>
        <v>0</v>
      </c>
      <c r="AU52" s="682">
        <f>VLOOKUP($M$52,$M$57:$ZZ$207,35,FALSE)</f>
        <v>0</v>
      </c>
      <c r="AV52" s="682">
        <f>VLOOKUP($M$52,$M$57:$ZZ$207,36,FALSE)</f>
        <v>0</v>
      </c>
      <c r="AW52" s="682">
        <f>VLOOKUP($M$52,$M$57:$ZZ$207,37,FALSE)</f>
        <v>0</v>
      </c>
      <c r="AX52" s="682">
        <f>VLOOKUP($M$52,$M$57:$ZZ$207,38,FALSE)</f>
        <v>0</v>
      </c>
      <c r="AY52" s="682">
        <f>VLOOKUP($M$52,$M$57:$ZZ$207,39,FALSE)</f>
        <v>0</v>
      </c>
      <c r="AZ52" s="682">
        <f>VLOOKUP($M$52,$M$57:$ZZ$207,40,FALSE)</f>
        <v>0</v>
      </c>
      <c r="BA52" s="682">
        <f>VLOOKUP($M$52,$M$57:$ZZ$207,41,FALSE)</f>
        <v>0</v>
      </c>
      <c r="BB52" s="682">
        <f>VLOOKUP($M$52,$M$57:$ZZ$207,42,FALSE)</f>
        <v>0</v>
      </c>
      <c r="BC52" s="682">
        <f>VLOOKUP($M$52,$M$57:$ZZ$207,43,FALSE)</f>
        <v>0</v>
      </c>
      <c r="BD52" s="682">
        <f>VLOOKUP($M$52,$M$57:$ZZ$207,44,FALSE)</f>
        <v>0</v>
      </c>
      <c r="BE52" s="682">
        <f>VLOOKUP($M$52,$M$57:$ZZ$207,45,FALSE)</f>
        <v>0</v>
      </c>
      <c r="BF52" s="682">
        <f>VLOOKUP($M$52,$M$57:$ZZ$207,46,FALSE)</f>
        <v>0</v>
      </c>
      <c r="BG52" s="682">
        <f>VLOOKUP($M$52,$M$57:$ZZ$207,47,FALSE)</f>
        <v>0</v>
      </c>
      <c r="BH52" s="682">
        <f>VLOOKUP($M$52,$M$57:$ZZ$207,48,FALSE)</f>
        <v>0</v>
      </c>
      <c r="BI52" s="682">
        <f>VLOOKUP($M$52,$M$57:$ZZ$207,49,FALSE)</f>
        <v>0</v>
      </c>
      <c r="BJ52" s="682">
        <f>VLOOKUP($M$52,$M$57:$ZZ$207,50,FALSE)</f>
        <v>0</v>
      </c>
      <c r="BK52" s="682">
        <f>VLOOKUP($M$52,$M$57:$ZZ$207,51,FALSE)</f>
        <v>0</v>
      </c>
      <c r="BL52" s="682">
        <f>VLOOKUP($M$52,$M$57:$ZZ$207,52,FALSE)</f>
        <v>0</v>
      </c>
      <c r="BM52" s="682">
        <f>VLOOKUP($M$52,$M$57:$ZZ$207,53,FALSE)</f>
        <v>0</v>
      </c>
      <c r="BN52" s="682">
        <f>VLOOKUP($M$52,$M$57:$ZZ$207,54,FALSE)</f>
        <v>0</v>
      </c>
      <c r="BO52" s="682">
        <f>VLOOKUP($M$52,$M$57:$ZZ$207,55,FALSE)</f>
        <v>0</v>
      </c>
      <c r="BP52" s="682">
        <f>VLOOKUP($M$52,$M$57:$ZZ$207,56,FALSE)</f>
        <v>0</v>
      </c>
      <c r="BQ52" s="682">
        <f>BQ56</f>
        <v>0</v>
      </c>
      <c r="BR52" s="682">
        <f>BR56</f>
        <v>0</v>
      </c>
      <c r="BS52" s="682">
        <f>VLOOKUP($M$52,$M$57:$ZZ$207,59,FALSE)</f>
        <v>0</v>
      </c>
      <c r="BT52" s="682">
        <f>VLOOKUP($M$52,$M$57:$ZZ$207,60,FALSE)</f>
        <v>0</v>
      </c>
      <c r="BU52" s="682">
        <f>VLOOKUP($M$52,$M$57:$ZZ$207,61,FALSE)</f>
        <v>0</v>
      </c>
      <c r="BV52" s="682">
        <f>VLOOKUP($M$52,$M$57:$ZZ$207,62,FALSE)</f>
        <v>0</v>
      </c>
      <c r="BW52" s="682">
        <f>VLOOKUP($M$52,$M$57:$ZZ$207,63,FALSE)</f>
        <v>0</v>
      </c>
      <c r="BX52" s="682">
        <f>VLOOKUP($M$52,$M$57:$ZZ$207,64,FALSE)</f>
        <v>0</v>
      </c>
      <c r="BY52" s="682">
        <f>VLOOKUP($M$52,$M$57:$ZZ$207,65,FALSE)</f>
        <v>0</v>
      </c>
      <c r="BZ52" s="682">
        <f>VLOOKUP($M$52,$M$57:$ZZ$207,66,FALSE)</f>
        <v>0</v>
      </c>
      <c r="CA52" s="682"/>
      <c r="CB52" s="682"/>
      <c r="CC52" s="682"/>
      <c r="CD52" s="682"/>
      <c r="CE52" s="682"/>
      <c r="CF52" s="682"/>
      <c r="CG52" s="682"/>
      <c r="CH52" s="682"/>
      <c r="CI52" s="682"/>
      <c r="CJ52" s="682"/>
      <c r="CK52" s="682"/>
      <c r="CL52" s="682"/>
      <c r="CM52" s="682"/>
      <c r="CN52" s="682"/>
      <c r="CO52" s="682"/>
      <c r="CP52" s="682"/>
      <c r="CQ52" s="682"/>
      <c r="CR52" s="682"/>
      <c r="CS52" s="682"/>
      <c r="CT52" s="682"/>
      <c r="CU52" s="682"/>
      <c r="CV52" s="682"/>
      <c r="CW52" s="682"/>
      <c r="CX52" s="682"/>
      <c r="CY52" s="682"/>
      <c r="CZ52" s="682"/>
      <c r="DA52" s="682"/>
      <c r="DB52" s="682"/>
      <c r="DC52" s="682"/>
      <c r="DD52" s="682"/>
      <c r="DE52" s="682"/>
      <c r="DF52" s="682"/>
      <c r="DG52" s="682"/>
      <c r="DH52" s="682"/>
      <c r="DI52" s="682"/>
      <c r="DJ52" s="682"/>
      <c r="DK52" s="682"/>
      <c r="DL52" s="682"/>
      <c r="DM52" s="682"/>
      <c r="DN52" s="682"/>
      <c r="DO52" s="682"/>
      <c r="DP52" s="682"/>
      <c r="DQ52" s="682"/>
      <c r="DR52" s="682"/>
      <c r="DS52" s="682"/>
      <c r="DT52" s="682"/>
      <c r="DU52" s="682"/>
      <c r="DV52" s="682"/>
      <c r="DW52" s="682"/>
      <c r="DX52" s="682"/>
      <c r="DY52" s="682"/>
      <c r="DZ52" s="682"/>
      <c r="EA52" s="682"/>
      <c r="EB52" s="682"/>
      <c r="EC52" s="682"/>
      <c r="ED52" s="682"/>
      <c r="EE52" s="682"/>
      <c r="EF52" s="682"/>
      <c r="EG52" s="682"/>
      <c r="EH52" s="682"/>
      <c r="EI52" s="682"/>
      <c r="EJ52" s="682"/>
      <c r="EK52" s="682"/>
      <c r="EL52" s="682"/>
      <c r="EM52" s="682"/>
      <c r="EN52" s="682"/>
      <c r="EO52" s="682"/>
      <c r="EP52" s="682"/>
      <c r="EQ52" s="682"/>
      <c r="ER52" s="682"/>
      <c r="ES52" s="682"/>
      <c r="ET52" s="682"/>
      <c r="EU52" s="682"/>
      <c r="EV52" s="682"/>
      <c r="EW52" s="682"/>
      <c r="EX52" s="682"/>
      <c r="EY52" s="682"/>
      <c r="EZ52" s="682"/>
      <c r="FA52" s="682"/>
      <c r="FB52" s="682"/>
      <c r="FC52" s="682"/>
      <c r="FD52" s="682"/>
      <c r="FE52" s="682"/>
      <c r="FF52" s="682"/>
      <c r="FG52" s="682"/>
      <c r="FH52" s="682"/>
      <c r="FI52" s="682"/>
      <c r="FJ52" s="682"/>
      <c r="FK52" s="682"/>
      <c r="FL52" s="682"/>
      <c r="FM52" s="682"/>
      <c r="FN52" s="682"/>
      <c r="FO52" s="682"/>
      <c r="FP52" s="682"/>
      <c r="FQ52" s="682"/>
      <c r="FR52" s="682"/>
      <c r="FS52" s="682"/>
      <c r="FT52" s="682"/>
      <c r="FU52" s="682"/>
      <c r="FV52" s="682"/>
      <c r="FW52" s="682"/>
      <c r="FX52" s="682"/>
      <c r="FY52" s="682"/>
      <c r="FZ52" s="682"/>
      <c r="GA52" s="682"/>
      <c r="GB52" s="682"/>
      <c r="GC52" s="682"/>
      <c r="GD52" s="682"/>
      <c r="GG52" s="682"/>
      <c r="GH52" s="682"/>
      <c r="GI52" s="682"/>
      <c r="GJ52" s="682"/>
      <c r="GK52" s="682"/>
      <c r="GL52" s="682"/>
      <c r="GM52" s="682"/>
      <c r="GP52" s="682"/>
      <c r="GQ52" s="682"/>
      <c r="GR52" s="682"/>
      <c r="GS52" s="682"/>
      <c r="GT52" s="682"/>
      <c r="GU52" s="682"/>
      <c r="GV52" s="682"/>
      <c r="GW52" s="682"/>
      <c r="GX52" s="682"/>
      <c r="GY52" s="682"/>
      <c r="GZ52" s="682"/>
      <c r="HA52" s="682"/>
      <c r="HB52" s="682"/>
      <c r="HC52" s="682"/>
      <c r="HD52" s="682"/>
      <c r="HE52" s="682"/>
      <c r="HF52" s="682"/>
      <c r="HG52" s="682"/>
      <c r="HH52" s="682"/>
      <c r="HI52" s="682"/>
      <c r="HJ52" s="682"/>
      <c r="HK52" s="682"/>
      <c r="HL52" s="682"/>
      <c r="HM52" s="682"/>
      <c r="HN52" s="682"/>
      <c r="HO52" s="682"/>
      <c r="HP52" s="682"/>
      <c r="HQ52" s="682"/>
      <c r="HR52" s="682"/>
      <c r="HS52" s="682"/>
      <c r="HT52" s="682"/>
      <c r="HU52" s="682"/>
      <c r="HV52" s="682"/>
      <c r="HW52" s="682"/>
      <c r="HX52" s="682"/>
      <c r="HY52" s="682"/>
      <c r="HZ52" s="682"/>
      <c r="IA52" s="682"/>
      <c r="IB52" s="682"/>
      <c r="IC52" s="682"/>
      <c r="ID52" s="682"/>
      <c r="IE52" s="682"/>
      <c r="IF52" s="682"/>
      <c r="IG52" s="682"/>
      <c r="IH52" s="682"/>
      <c r="II52" s="682"/>
      <c r="IJ52" s="682"/>
      <c r="IK52" s="682"/>
      <c r="IL52" s="682"/>
      <c r="IM52" s="682"/>
      <c r="IN52" s="682"/>
      <c r="IO52" s="682"/>
      <c r="IP52" s="682"/>
      <c r="IQ52" s="682"/>
      <c r="IR52" s="682"/>
      <c r="IS52" s="682"/>
      <c r="IT52" s="682"/>
      <c r="IU52" s="682"/>
      <c r="IV52" s="682"/>
      <c r="IW52" s="682"/>
      <c r="IX52" s="682"/>
      <c r="IY52" s="682"/>
      <c r="IZ52" s="682"/>
      <c r="JA52" s="682"/>
      <c r="JB52" s="682"/>
      <c r="JC52" s="682"/>
      <c r="JD52" s="682"/>
      <c r="JE52" s="682"/>
      <c r="JF52" s="682"/>
      <c r="JG52" s="682"/>
      <c r="JH52" s="682"/>
      <c r="JI52" s="682"/>
      <c r="JJ52" s="682"/>
      <c r="JK52" s="682"/>
      <c r="JL52" s="682"/>
      <c r="JM52" s="682"/>
      <c r="JN52" s="682"/>
      <c r="JO52" s="682"/>
      <c r="JP52" s="682"/>
      <c r="JQ52" s="682"/>
      <c r="JR52" s="682"/>
      <c r="JS52" s="682"/>
    </row>
    <row r="53" spans="1:279">
      <c r="A53" s="669">
        <f>A52+30</f>
        <v>47027</v>
      </c>
      <c r="C53" s="677">
        <f t="shared" si="9"/>
        <v>47027</v>
      </c>
      <c r="D53" s="717" t="str">
        <f t="shared" si="10"/>
        <v/>
      </c>
      <c r="E53" s="668" t="str">
        <f t="shared" si="11"/>
        <v/>
      </c>
      <c r="F53" s="668" t="str">
        <f t="shared" si="12"/>
        <v/>
      </c>
      <c r="G53" s="669" t="str">
        <f t="shared" si="13"/>
        <v/>
      </c>
      <c r="H53" s="669">
        <f t="shared" si="14"/>
        <v>47027</v>
      </c>
      <c r="L53" s="678" t="s">
        <v>337</v>
      </c>
      <c r="M53" s="695">
        <f>'F1  Cover'!K8</f>
        <v>1</v>
      </c>
      <c r="N53" s="693">
        <f>'F1  Cover'!L8</f>
        <v>46006</v>
      </c>
      <c r="O53" s="696">
        <f>'F1  Cover'!K32</f>
        <v>0</v>
      </c>
      <c r="P53" s="696">
        <f>'F1  Cover'!K38</f>
        <v>0</v>
      </c>
      <c r="Q53" s="696">
        <f>'Pg 1 Payment'!H24</f>
        <v>0</v>
      </c>
      <c r="R53" s="696">
        <f>'Pg 1 Payment'!J24</f>
        <v>0</v>
      </c>
      <c r="S53" s="697">
        <f>'Pg 2 Sum Scheduled'!H26</f>
        <v>0</v>
      </c>
      <c r="T53" s="697">
        <f>'Pg 2 Sum Scheduled'!I26</f>
        <v>0</v>
      </c>
      <c r="U53" s="698">
        <f>'1200'!H8</f>
        <v>0</v>
      </c>
      <c r="V53" s="698">
        <f>'1200'!H9</f>
        <v>0</v>
      </c>
      <c r="W53" s="698">
        <f>'1300'!H8</f>
        <v>0</v>
      </c>
      <c r="X53" s="698">
        <f>'1300'!H10</f>
        <v>0</v>
      </c>
      <c r="Y53" s="698">
        <f>'1300'!H11</f>
        <v>0</v>
      </c>
      <c r="Z53" s="698">
        <f>'1300'!H12</f>
        <v>0</v>
      </c>
      <c r="AA53" s="698">
        <f>'1300'!H14</f>
        <v>0</v>
      </c>
      <c r="AB53" s="698">
        <f>'1300'!H15</f>
        <v>0</v>
      </c>
      <c r="AC53" s="698">
        <f>'1300'!H16</f>
        <v>0</v>
      </c>
      <c r="AD53" s="698">
        <f>'1500'!H8</f>
        <v>0</v>
      </c>
      <c r="AE53" s="698">
        <f>'1500'!H10</f>
        <v>0</v>
      </c>
      <c r="AF53" s="698">
        <f>'2100'!H8</f>
        <v>0</v>
      </c>
      <c r="AG53" s="698">
        <f>'2100'!H9</f>
        <v>0</v>
      </c>
      <c r="AH53" s="698">
        <f>'2100'!H10</f>
        <v>0</v>
      </c>
      <c r="AI53" s="698">
        <f>'2100'!H12</f>
        <v>0</v>
      </c>
      <c r="AJ53" s="698">
        <f>'2100'!H13</f>
        <v>0</v>
      </c>
      <c r="AK53" s="698">
        <f>'2100'!H14</f>
        <v>0</v>
      </c>
      <c r="AL53" s="698">
        <f>'2100'!H17</f>
        <v>0</v>
      </c>
      <c r="AM53" s="698">
        <f>'2100'!H18</f>
        <v>0</v>
      </c>
      <c r="AN53" s="698">
        <f>'2100'!H20</f>
        <v>0</v>
      </c>
      <c r="AO53" s="698">
        <f>'2100'!H21</f>
        <v>0</v>
      </c>
      <c r="AP53" s="698">
        <f>'2100'!H22</f>
        <v>0</v>
      </c>
      <c r="AQ53" s="698">
        <f>'2100'!H23</f>
        <v>0</v>
      </c>
      <c r="AR53" s="698">
        <f>'2100'!H24</f>
        <v>0</v>
      </c>
      <c r="AS53" s="698">
        <f>'2100'!H25</f>
        <v>0</v>
      </c>
      <c r="AT53" s="698">
        <f>'2100'!H26</f>
        <v>0</v>
      </c>
      <c r="AU53" s="698">
        <f>'2100'!H27</f>
        <v>0</v>
      </c>
      <c r="AV53" s="698">
        <f>'2100'!H28</f>
        <v>0</v>
      </c>
      <c r="AW53" s="698">
        <f>'2100'!H29</f>
        <v>0</v>
      </c>
      <c r="AX53" s="698">
        <f>'2100'!H30</f>
        <v>0</v>
      </c>
      <c r="AY53" s="698">
        <f>'2100'!H31</f>
        <v>0</v>
      </c>
      <c r="AZ53" s="698">
        <f>'2100'!H32</f>
        <v>0</v>
      </c>
      <c r="BA53" s="698">
        <f>'2200'!H8</f>
        <v>0</v>
      </c>
      <c r="BB53" s="698">
        <f>'2200'!H10</f>
        <v>0</v>
      </c>
      <c r="BC53" s="698">
        <f>'2200'!H11</f>
        <v>0</v>
      </c>
      <c r="BD53" s="698">
        <f>'2200'!H12</f>
        <v>0</v>
      </c>
      <c r="BE53" s="698">
        <f>'2200'!H13</f>
        <v>0</v>
      </c>
      <c r="BF53" s="698">
        <f>'2300'!H8</f>
        <v>0</v>
      </c>
      <c r="BG53" s="698">
        <f>'2300'!H9</f>
        <v>0</v>
      </c>
      <c r="BH53" s="698">
        <f>'2300'!H10</f>
        <v>0</v>
      </c>
      <c r="BI53" s="698">
        <f>'2300'!H11</f>
        <v>0</v>
      </c>
      <c r="BJ53" s="698">
        <f>'2300'!H12</f>
        <v>0</v>
      </c>
      <c r="BK53" s="698">
        <f>'3100'!H8</f>
        <v>0</v>
      </c>
      <c r="BL53" s="698">
        <f>'3300'!H8</f>
        <v>0</v>
      </c>
      <c r="BM53" s="698">
        <f>'3300'!H9</f>
        <v>0</v>
      </c>
      <c r="BN53" s="698" t="e">
        <f>'2200'!#REF!</f>
        <v>#REF!</v>
      </c>
      <c r="BO53" s="698" t="e">
        <f>'2200'!#REF!</f>
        <v>#REF!</v>
      </c>
      <c r="BP53" s="698">
        <f>'2300'!H11</f>
        <v>0</v>
      </c>
      <c r="BQ53" s="698">
        <f>'F1  Cover'!K34</f>
        <v>0</v>
      </c>
      <c r="BR53" s="698">
        <f>'F1  Cover'!K36</f>
        <v>0</v>
      </c>
      <c r="BS53" s="698" t="e">
        <f>'2100'!#REF!</f>
        <v>#REF!</v>
      </c>
      <c r="BT53" s="698" t="e">
        <f>'2100'!#REF!</f>
        <v>#REF!</v>
      </c>
      <c r="BU53" s="698" t="e">
        <f>'2100'!#REF!</f>
        <v>#REF!</v>
      </c>
      <c r="BV53" s="698" t="e">
        <f>'2100'!#REF!</f>
        <v>#REF!</v>
      </c>
      <c r="BW53" s="698" t="e">
        <f>'2100'!#REF!</f>
        <v>#REF!</v>
      </c>
      <c r="BX53" s="698" t="e">
        <f>'2100'!#REF!</f>
        <v>#REF!</v>
      </c>
      <c r="BY53" s="698" t="e">
        <f>'2100'!#REF!</f>
        <v>#REF!</v>
      </c>
      <c r="BZ53" s="698" t="e">
        <f>'2100'!#REF!</f>
        <v>#REF!</v>
      </c>
      <c r="CA53" s="698"/>
      <c r="CB53" s="698"/>
      <c r="CC53" s="698"/>
      <c r="CD53" s="698"/>
      <c r="CE53" s="698"/>
      <c r="CF53" s="698"/>
      <c r="CG53" s="698"/>
      <c r="CH53" s="698"/>
      <c r="CI53" s="698"/>
      <c r="CJ53" s="698"/>
      <c r="CK53" s="698"/>
      <c r="CL53" s="698"/>
      <c r="CM53" s="698"/>
      <c r="CN53" s="698"/>
      <c r="CO53" s="698"/>
      <c r="CP53" s="698"/>
      <c r="CQ53" s="698"/>
      <c r="CR53" s="698"/>
      <c r="CS53" s="698"/>
      <c r="CT53" s="698"/>
      <c r="CU53" s="698"/>
      <c r="CV53" s="698"/>
      <c r="CW53" s="698"/>
      <c r="CX53" s="698"/>
      <c r="CY53" s="698"/>
      <c r="CZ53" s="698"/>
      <c r="DA53" s="698"/>
      <c r="DB53" s="698"/>
      <c r="DC53" s="698"/>
      <c r="DD53" s="698"/>
      <c r="DE53" s="698"/>
      <c r="DF53" s="698"/>
      <c r="DG53" s="698"/>
      <c r="DH53" s="698"/>
      <c r="DI53" s="698"/>
      <c r="DJ53" s="698"/>
      <c r="DK53" s="698"/>
      <c r="DL53" s="698"/>
      <c r="DM53" s="698"/>
      <c r="DN53" s="698"/>
      <c r="DO53" s="698"/>
      <c r="DP53" s="698"/>
      <c r="DQ53" s="698"/>
      <c r="DR53" s="698"/>
      <c r="DS53" s="698"/>
      <c r="DT53" s="698"/>
      <c r="DU53" s="698"/>
      <c r="DV53" s="698"/>
      <c r="DW53" s="698"/>
      <c r="DX53" s="698"/>
      <c r="DY53" s="698"/>
      <c r="DZ53" s="698"/>
      <c r="EA53" s="698"/>
      <c r="EB53" s="698"/>
      <c r="EC53" s="698"/>
      <c r="ED53" s="698"/>
      <c r="EE53" s="698"/>
      <c r="EF53" s="698"/>
      <c r="EG53" s="698"/>
      <c r="EH53" s="698"/>
      <c r="EI53" s="698"/>
      <c r="EJ53" s="698"/>
      <c r="EK53" s="698"/>
      <c r="EL53" s="698"/>
      <c r="EM53" s="698"/>
      <c r="EN53" s="698"/>
      <c r="EO53" s="698"/>
      <c r="EP53" s="698"/>
      <c r="EQ53" s="698"/>
      <c r="ER53" s="698"/>
      <c r="ES53" s="698"/>
      <c r="ET53" s="698"/>
      <c r="EU53" s="698"/>
      <c r="EV53" s="698"/>
      <c r="EW53" s="698"/>
      <c r="EX53" s="698"/>
      <c r="EY53" s="698"/>
      <c r="EZ53" s="698"/>
      <c r="FA53" s="698"/>
      <c r="FB53" s="698"/>
      <c r="FC53" s="698"/>
      <c r="FD53" s="698"/>
      <c r="FE53" s="698"/>
      <c r="FF53" s="698"/>
      <c r="FG53" s="698"/>
      <c r="FH53" s="698"/>
      <c r="FI53" s="698"/>
      <c r="FJ53" s="698"/>
      <c r="FK53" s="698"/>
      <c r="FL53" s="698"/>
      <c r="FM53" s="698"/>
      <c r="FN53" s="698"/>
      <c r="FO53" s="698"/>
      <c r="FP53" s="698"/>
      <c r="FQ53" s="698"/>
      <c r="FR53" s="698"/>
      <c r="FS53" s="698"/>
      <c r="FT53" s="698"/>
      <c r="FU53" s="698"/>
      <c r="FV53" s="698"/>
      <c r="FW53" s="698"/>
      <c r="FX53" s="698"/>
      <c r="FY53" s="698"/>
      <c r="FZ53" s="698"/>
      <c r="GA53" s="698"/>
      <c r="GB53" s="698"/>
      <c r="GC53" s="698"/>
      <c r="GD53" s="698"/>
      <c r="GG53" s="698"/>
      <c r="GH53" s="698"/>
      <c r="GI53" s="698"/>
      <c r="GJ53" s="698"/>
      <c r="GK53" s="698"/>
      <c r="GL53" s="698"/>
      <c r="GM53" s="698"/>
      <c r="GP53" s="698"/>
      <c r="GQ53" s="698"/>
      <c r="GR53" s="698"/>
      <c r="GS53" s="698"/>
      <c r="GT53" s="698"/>
      <c r="GU53" s="698"/>
      <c r="GV53" s="698"/>
      <c r="GW53" s="698"/>
      <c r="GX53" s="698"/>
      <c r="GY53" s="698"/>
      <c r="GZ53" s="698"/>
      <c r="HA53" s="698"/>
      <c r="HB53" s="698"/>
      <c r="HC53" s="698"/>
      <c r="HD53" s="698"/>
      <c r="HE53" s="698"/>
      <c r="HF53" s="698"/>
      <c r="HG53" s="698"/>
      <c r="HH53" s="698"/>
      <c r="HI53" s="698"/>
      <c r="HJ53" s="698"/>
      <c r="HK53" s="698"/>
      <c r="HL53" s="698"/>
      <c r="HM53" s="698"/>
      <c r="HN53" s="698"/>
      <c r="HO53" s="698"/>
      <c r="HP53" s="698"/>
      <c r="HQ53" s="698"/>
      <c r="HR53" s="698"/>
      <c r="HS53" s="698"/>
      <c r="HT53" s="698"/>
      <c r="HU53" s="698"/>
      <c r="HV53" s="698"/>
      <c r="HW53" s="698"/>
      <c r="HX53" s="698"/>
      <c r="HY53" s="698"/>
      <c r="HZ53" s="698"/>
      <c r="IA53" s="698"/>
      <c r="IB53" s="698"/>
      <c r="IC53" s="698"/>
      <c r="ID53" s="698"/>
      <c r="IE53" s="698"/>
      <c r="IF53" s="698"/>
      <c r="IG53" s="698"/>
      <c r="IH53" s="698"/>
      <c r="II53" s="698"/>
      <c r="IJ53" s="698"/>
      <c r="IK53" s="698"/>
      <c r="IL53" s="698"/>
      <c r="IM53" s="698"/>
      <c r="IN53" s="698"/>
      <c r="IO53" s="698"/>
      <c r="IP53" s="698"/>
      <c r="IQ53" s="698"/>
      <c r="IR53" s="698"/>
      <c r="IS53" s="698"/>
      <c r="IT53" s="698"/>
      <c r="IU53" s="698"/>
      <c r="IV53" s="698"/>
      <c r="IW53" s="698"/>
      <c r="IX53" s="698"/>
      <c r="IY53" s="698"/>
      <c r="IZ53" s="698"/>
      <c r="JA53" s="698"/>
      <c r="JB53" s="698"/>
      <c r="JC53" s="698"/>
      <c r="JD53" s="698"/>
      <c r="JE53" s="698"/>
      <c r="JF53" s="698"/>
      <c r="JG53" s="698"/>
      <c r="JH53" s="698"/>
      <c r="JI53" s="698"/>
      <c r="JJ53" s="698"/>
      <c r="JK53" s="698"/>
      <c r="JL53" s="698"/>
      <c r="JM53" s="698"/>
      <c r="JN53" s="698"/>
      <c r="JO53" s="698"/>
      <c r="JP53" s="698"/>
      <c r="JQ53" s="698"/>
      <c r="JR53" s="698"/>
      <c r="JS53" s="698"/>
    </row>
    <row r="54" spans="1:279">
      <c r="A54" s="669">
        <f>A53+31</f>
        <v>47058</v>
      </c>
      <c r="C54" s="677">
        <f t="shared" si="9"/>
        <v>47058</v>
      </c>
      <c r="D54" s="717" t="str">
        <f t="shared" si="10"/>
        <v/>
      </c>
      <c r="E54" s="668" t="str">
        <f t="shared" si="11"/>
        <v/>
      </c>
      <c r="F54" s="668" t="str">
        <f t="shared" si="12"/>
        <v/>
      </c>
      <c r="G54" s="669" t="str">
        <f t="shared" si="13"/>
        <v/>
      </c>
      <c r="H54" s="669">
        <f t="shared" si="14"/>
        <v>47058</v>
      </c>
      <c r="L54" s="678" t="s">
        <v>344</v>
      </c>
      <c r="M54" s="695">
        <f>M53+1</f>
        <v>2</v>
      </c>
    </row>
    <row r="55" spans="1:279">
      <c r="A55" s="669">
        <f>A54+30</f>
        <v>47088</v>
      </c>
      <c r="C55" s="677">
        <f t="shared" si="9"/>
        <v>47088</v>
      </c>
      <c r="D55" s="717" t="str">
        <f t="shared" si="10"/>
        <v/>
      </c>
      <c r="E55" s="668" t="str">
        <f t="shared" si="11"/>
        <v/>
      </c>
      <c r="F55" s="668" t="str">
        <f t="shared" si="12"/>
        <v/>
      </c>
      <c r="G55" s="669" t="str">
        <f t="shared" si="13"/>
        <v/>
      </c>
      <c r="H55" s="669">
        <f t="shared" si="14"/>
        <v>47088</v>
      </c>
    </row>
    <row r="56" spans="1:279">
      <c r="A56" s="669">
        <f>A55+31</f>
        <v>47119</v>
      </c>
      <c r="C56" s="677">
        <f t="shared" si="9"/>
        <v>47119</v>
      </c>
      <c r="D56" s="717" t="str">
        <f t="shared" si="10"/>
        <v/>
      </c>
      <c r="E56" s="668" t="str">
        <f t="shared" si="11"/>
        <v/>
      </c>
      <c r="F56" s="668" t="str">
        <f t="shared" si="12"/>
        <v/>
      </c>
      <c r="G56" s="669" t="str">
        <f t="shared" si="13"/>
        <v/>
      </c>
      <c r="H56" s="669">
        <f t="shared" si="14"/>
        <v>47119</v>
      </c>
      <c r="M56" s="668" t="s">
        <v>338</v>
      </c>
      <c r="N56" s="668" t="s">
        <v>126</v>
      </c>
      <c r="O56" s="694">
        <f>SUM(O57:O207)</f>
        <v>0</v>
      </c>
      <c r="P56" s="694">
        <f>SUM(P57:P207)</f>
        <v>0</v>
      </c>
      <c r="BQ56" s="694">
        <f>SUM(BQ57:BQ207)</f>
        <v>0</v>
      </c>
      <c r="BR56" s="694">
        <f>SUM(BR57:BR207)</f>
        <v>0</v>
      </c>
    </row>
    <row r="57" spans="1:279">
      <c r="A57" s="669">
        <f>A56+31</f>
        <v>47150</v>
      </c>
      <c r="B57" s="668" t="b">
        <f>ISNA(VLOOKUP(A57,$E$4:$E$13,1,FALSE))</f>
        <v>1</v>
      </c>
      <c r="C57" s="677">
        <f t="shared" si="9"/>
        <v>47150</v>
      </c>
      <c r="D57" s="717" t="str">
        <f t="shared" si="10"/>
        <v/>
      </c>
      <c r="E57" s="668" t="str">
        <f t="shared" si="11"/>
        <v/>
      </c>
      <c r="F57" s="668" t="str">
        <f t="shared" si="12"/>
        <v/>
      </c>
      <c r="G57" s="669" t="str">
        <f t="shared" si="13"/>
        <v/>
      </c>
      <c r="H57" s="669">
        <f t="shared" si="14"/>
        <v>47150</v>
      </c>
      <c r="M57" s="717">
        <v>0</v>
      </c>
      <c r="N57" s="693">
        <f>A15</f>
        <v>46232</v>
      </c>
      <c r="O57" s="694">
        <v>0</v>
      </c>
      <c r="P57" s="694">
        <v>0</v>
      </c>
      <c r="Q57" s="694">
        <v>0</v>
      </c>
      <c r="R57" s="694">
        <v>0</v>
      </c>
      <c r="S57" s="694">
        <v>0</v>
      </c>
      <c r="T57" s="694">
        <v>0</v>
      </c>
      <c r="U57" s="682">
        <v>0</v>
      </c>
      <c r="V57" s="682">
        <v>0</v>
      </c>
      <c r="W57" s="682">
        <v>0</v>
      </c>
      <c r="X57" s="682">
        <v>0</v>
      </c>
      <c r="Y57" s="682">
        <v>0</v>
      </c>
      <c r="Z57" s="682">
        <v>0</v>
      </c>
      <c r="AA57" s="682">
        <v>0</v>
      </c>
      <c r="AB57" s="682">
        <v>0</v>
      </c>
      <c r="AC57" s="682">
        <v>0</v>
      </c>
      <c r="AD57" s="682">
        <v>0</v>
      </c>
      <c r="AE57" s="682">
        <v>0</v>
      </c>
      <c r="AF57" s="682">
        <v>0</v>
      </c>
      <c r="AG57" s="682">
        <v>0</v>
      </c>
      <c r="AH57" s="682">
        <v>0</v>
      </c>
      <c r="AI57" s="682">
        <v>0</v>
      </c>
      <c r="AJ57" s="682">
        <v>0</v>
      </c>
      <c r="AK57" s="682">
        <v>0</v>
      </c>
      <c r="AL57" s="682">
        <v>0</v>
      </c>
      <c r="AM57" s="682">
        <v>0</v>
      </c>
      <c r="AN57" s="682">
        <v>0</v>
      </c>
      <c r="AO57" s="682">
        <v>0</v>
      </c>
      <c r="AP57" s="682">
        <v>0</v>
      </c>
      <c r="AQ57" s="682">
        <v>0</v>
      </c>
      <c r="AR57" s="682">
        <v>0</v>
      </c>
      <c r="AS57" s="682">
        <v>0</v>
      </c>
      <c r="AT57" s="682">
        <v>0</v>
      </c>
      <c r="AU57" s="682">
        <v>0</v>
      </c>
      <c r="AV57" s="682">
        <v>0</v>
      </c>
      <c r="AW57" s="682">
        <v>0</v>
      </c>
      <c r="AX57" s="682">
        <v>0</v>
      </c>
      <c r="AY57" s="682">
        <v>0</v>
      </c>
      <c r="AZ57" s="682">
        <v>0</v>
      </c>
      <c r="BA57" s="682">
        <v>0</v>
      </c>
      <c r="BB57" s="682">
        <v>0</v>
      </c>
      <c r="BC57" s="682">
        <v>0</v>
      </c>
      <c r="BD57" s="682">
        <v>0</v>
      </c>
      <c r="BE57" s="682">
        <v>0</v>
      </c>
      <c r="BF57" s="682">
        <v>0</v>
      </c>
      <c r="BG57" s="682">
        <v>0</v>
      </c>
      <c r="BH57" s="682">
        <v>0</v>
      </c>
      <c r="BI57" s="682">
        <v>0</v>
      </c>
      <c r="BJ57" s="682">
        <v>0</v>
      </c>
      <c r="BK57" s="682">
        <v>0</v>
      </c>
      <c r="BL57" s="682">
        <v>0</v>
      </c>
      <c r="BM57" s="682">
        <v>0</v>
      </c>
      <c r="BN57" s="682">
        <v>0</v>
      </c>
      <c r="BO57" s="682">
        <v>0</v>
      </c>
      <c r="BP57" s="682">
        <v>0</v>
      </c>
      <c r="BQ57" s="682">
        <v>0</v>
      </c>
      <c r="BR57" s="682">
        <v>0</v>
      </c>
      <c r="BS57" s="682">
        <v>0</v>
      </c>
      <c r="BT57" s="682">
        <v>0</v>
      </c>
      <c r="BU57" s="682">
        <v>0</v>
      </c>
      <c r="BV57" s="682">
        <v>0</v>
      </c>
      <c r="BW57" s="682">
        <v>0</v>
      </c>
      <c r="BX57" s="682">
        <v>0</v>
      </c>
      <c r="BY57" s="682">
        <v>0</v>
      </c>
      <c r="BZ57" s="682">
        <v>0</v>
      </c>
      <c r="CA57" s="682"/>
      <c r="CB57" s="682"/>
      <c r="CC57" s="682"/>
      <c r="CD57" s="682"/>
      <c r="CE57" s="682"/>
      <c r="CF57" s="682"/>
      <c r="CG57" s="682"/>
      <c r="CH57" s="682"/>
      <c r="CI57" s="682"/>
      <c r="CJ57" s="682"/>
      <c r="CK57" s="682"/>
      <c r="CL57" s="682"/>
      <c r="CM57" s="682"/>
      <c r="CN57" s="682"/>
      <c r="CO57" s="682"/>
      <c r="CP57" s="682"/>
      <c r="CQ57" s="682"/>
      <c r="CR57" s="682"/>
      <c r="CS57" s="682"/>
      <c r="CT57" s="682"/>
      <c r="CU57" s="682"/>
      <c r="CV57" s="682"/>
      <c r="CW57" s="682"/>
      <c r="CX57" s="682"/>
      <c r="CY57" s="682"/>
      <c r="CZ57" s="682"/>
      <c r="DA57" s="682"/>
      <c r="DB57" s="682"/>
      <c r="DC57" s="682"/>
      <c r="DD57" s="682"/>
      <c r="DE57" s="682"/>
      <c r="DF57" s="682"/>
      <c r="DG57" s="682"/>
      <c r="DH57" s="682"/>
      <c r="DI57" s="682"/>
      <c r="DJ57" s="682"/>
      <c r="DK57" s="682"/>
      <c r="DL57" s="682"/>
      <c r="DM57" s="682"/>
      <c r="DN57" s="682"/>
      <c r="DO57" s="682"/>
      <c r="DP57" s="682"/>
      <c r="DQ57" s="682"/>
      <c r="DR57" s="682"/>
      <c r="DS57" s="682"/>
      <c r="DT57" s="682"/>
      <c r="DU57" s="682"/>
      <c r="DV57" s="682"/>
      <c r="DW57" s="682"/>
      <c r="DX57" s="682"/>
      <c r="DY57" s="682"/>
      <c r="DZ57" s="682"/>
      <c r="EA57" s="682"/>
      <c r="EB57" s="682"/>
      <c r="EC57" s="682"/>
      <c r="ED57" s="682"/>
      <c r="EE57" s="682"/>
      <c r="EF57" s="682"/>
      <c r="EG57" s="682"/>
      <c r="EH57" s="682"/>
      <c r="EI57" s="682"/>
      <c r="EJ57" s="682"/>
      <c r="EK57" s="682"/>
      <c r="EL57" s="682"/>
      <c r="EM57" s="682"/>
      <c r="EN57" s="682"/>
      <c r="EO57" s="682"/>
      <c r="EP57" s="682"/>
      <c r="EQ57" s="682"/>
      <c r="ER57" s="682"/>
      <c r="ES57" s="682"/>
      <c r="ET57" s="682"/>
      <c r="EU57" s="682"/>
      <c r="EV57" s="682"/>
      <c r="EW57" s="682"/>
      <c r="EX57" s="682"/>
      <c r="EY57" s="682"/>
      <c r="EZ57" s="682"/>
      <c r="FA57" s="682"/>
      <c r="FB57" s="682"/>
      <c r="FC57" s="682"/>
      <c r="FD57" s="682"/>
      <c r="FE57" s="682"/>
      <c r="FF57" s="682"/>
      <c r="FG57" s="682"/>
      <c r="FH57" s="682"/>
      <c r="FI57" s="682"/>
      <c r="FJ57" s="682"/>
      <c r="FK57" s="682"/>
      <c r="FL57" s="682"/>
      <c r="FM57" s="682"/>
      <c r="FN57" s="682"/>
      <c r="FO57" s="682"/>
      <c r="FP57" s="682"/>
      <c r="FQ57" s="682"/>
      <c r="FR57" s="682"/>
      <c r="FS57" s="682"/>
      <c r="FT57" s="682"/>
      <c r="FU57" s="682"/>
      <c r="FV57" s="682"/>
      <c r="FW57" s="682"/>
      <c r="FX57" s="682"/>
      <c r="FY57" s="682"/>
      <c r="FZ57" s="682"/>
      <c r="GA57" s="682"/>
      <c r="GB57" s="682"/>
      <c r="GC57" s="682"/>
      <c r="GD57" s="682"/>
      <c r="GG57" s="682"/>
      <c r="GH57" s="682"/>
      <c r="GI57" s="682"/>
      <c r="GJ57" s="682"/>
      <c r="GK57" s="682"/>
      <c r="GL57" s="682"/>
      <c r="GM57" s="682"/>
      <c r="GP57" s="682"/>
      <c r="GQ57" s="682"/>
      <c r="GR57" s="682"/>
      <c r="GS57" s="682"/>
      <c r="GT57" s="682"/>
      <c r="GU57" s="682"/>
      <c r="GV57" s="682"/>
      <c r="GW57" s="682"/>
      <c r="GX57" s="682"/>
      <c r="GY57" s="682"/>
      <c r="GZ57" s="682"/>
      <c r="HA57" s="682"/>
      <c r="HB57" s="682"/>
      <c r="HC57" s="682"/>
      <c r="HD57" s="682"/>
      <c r="HE57" s="682"/>
      <c r="HF57" s="682"/>
      <c r="HG57" s="682"/>
      <c r="HH57" s="682"/>
      <c r="HI57" s="682"/>
      <c r="HJ57" s="682"/>
      <c r="HK57" s="682"/>
      <c r="HL57" s="682"/>
      <c r="HM57" s="682"/>
      <c r="HN57" s="682"/>
      <c r="HO57" s="682"/>
      <c r="HP57" s="682"/>
      <c r="HQ57" s="682"/>
      <c r="HR57" s="682"/>
      <c r="HS57" s="682"/>
      <c r="HT57" s="682"/>
      <c r="HU57" s="682"/>
      <c r="HV57" s="682"/>
      <c r="HW57" s="682"/>
      <c r="HX57" s="682"/>
      <c r="HY57" s="682"/>
      <c r="HZ57" s="682"/>
      <c r="IA57" s="682"/>
      <c r="IB57" s="682"/>
      <c r="IC57" s="682"/>
      <c r="ID57" s="682"/>
      <c r="IE57" s="682"/>
      <c r="IF57" s="682"/>
      <c r="IG57" s="682"/>
      <c r="IH57" s="682"/>
      <c r="II57" s="682"/>
      <c r="IJ57" s="682"/>
      <c r="IK57" s="682"/>
      <c r="IL57" s="682"/>
      <c r="IM57" s="682"/>
      <c r="IN57" s="682"/>
      <c r="IO57" s="682"/>
      <c r="IP57" s="682"/>
      <c r="IQ57" s="682"/>
      <c r="IR57" s="682"/>
      <c r="IS57" s="682"/>
      <c r="IT57" s="682"/>
      <c r="IU57" s="682"/>
      <c r="IV57" s="682"/>
      <c r="IW57" s="682"/>
      <c r="IX57" s="682"/>
      <c r="IY57" s="682"/>
      <c r="IZ57" s="682"/>
      <c r="JA57" s="682"/>
      <c r="JB57" s="682"/>
      <c r="JC57" s="682"/>
      <c r="JD57" s="682"/>
      <c r="JE57" s="682"/>
      <c r="JF57" s="682"/>
      <c r="JG57" s="682"/>
      <c r="JH57" s="682"/>
      <c r="JI57" s="682"/>
      <c r="JJ57" s="682"/>
      <c r="JK57" s="682"/>
      <c r="JL57" s="682"/>
      <c r="JM57" s="682"/>
      <c r="JN57" s="682"/>
      <c r="JO57" s="682"/>
      <c r="JP57" s="682"/>
      <c r="JQ57" s="682"/>
      <c r="JR57" s="682"/>
      <c r="JS57" s="682"/>
    </row>
    <row r="58" spans="1:279">
      <c r="A58" s="669">
        <f>IF(B57=TRUE,(A57+28),(A57+29))</f>
        <v>47178</v>
      </c>
      <c r="C58" s="677">
        <f t="shared" si="9"/>
        <v>47178</v>
      </c>
      <c r="D58" s="717" t="str">
        <f t="shared" si="10"/>
        <v/>
      </c>
      <c r="E58" s="668" t="str">
        <f t="shared" si="11"/>
        <v/>
      </c>
      <c r="F58" s="668" t="str">
        <f t="shared" si="12"/>
        <v/>
      </c>
      <c r="G58" s="669" t="str">
        <f t="shared" si="13"/>
        <v/>
      </c>
      <c r="H58" s="669">
        <f t="shared" si="14"/>
        <v>47178</v>
      </c>
      <c r="M58" s="717">
        <v>1</v>
      </c>
      <c r="N58" s="693"/>
      <c r="O58" s="694"/>
      <c r="P58" s="694"/>
      <c r="Q58" s="694"/>
      <c r="R58" s="694"/>
      <c r="S58" s="694"/>
      <c r="T58" s="694"/>
      <c r="U58" s="682"/>
      <c r="AS58" s="715"/>
    </row>
    <row r="59" spans="1:279">
      <c r="A59" s="669">
        <f>A58+31</f>
        <v>47209</v>
      </c>
      <c r="C59" s="677">
        <f t="shared" si="9"/>
        <v>47209</v>
      </c>
      <c r="D59" s="717" t="str">
        <f t="shared" si="10"/>
        <v/>
      </c>
      <c r="E59" s="668" t="str">
        <f t="shared" si="11"/>
        <v/>
      </c>
      <c r="F59" s="668" t="str">
        <f t="shared" si="12"/>
        <v/>
      </c>
      <c r="G59" s="669" t="str">
        <f t="shared" si="13"/>
        <v/>
      </c>
      <c r="H59" s="669">
        <f t="shared" si="14"/>
        <v>47209</v>
      </c>
      <c r="M59" s="717">
        <v>2</v>
      </c>
      <c r="N59" s="693"/>
      <c r="O59" s="694"/>
      <c r="P59" s="694"/>
      <c r="Q59" s="694"/>
      <c r="R59" s="694"/>
      <c r="S59" s="694"/>
      <c r="T59" s="694"/>
      <c r="U59" s="682"/>
    </row>
    <row r="60" spans="1:279">
      <c r="A60" s="669">
        <f>A59+30</f>
        <v>47239</v>
      </c>
      <c r="C60" s="677">
        <f t="shared" si="9"/>
        <v>47239</v>
      </c>
      <c r="D60" s="717" t="str">
        <f t="shared" si="10"/>
        <v/>
      </c>
      <c r="E60" s="668" t="str">
        <f t="shared" si="11"/>
        <v/>
      </c>
      <c r="F60" s="668" t="str">
        <f t="shared" si="12"/>
        <v/>
      </c>
      <c r="G60" s="669" t="str">
        <f t="shared" si="13"/>
        <v/>
      </c>
      <c r="H60" s="669">
        <f t="shared" si="14"/>
        <v>47239</v>
      </c>
      <c r="M60" s="717">
        <v>3</v>
      </c>
      <c r="N60" s="693"/>
      <c r="O60" s="694"/>
      <c r="P60" s="694"/>
      <c r="Q60" s="694"/>
      <c r="R60" s="694"/>
      <c r="S60" s="694"/>
      <c r="T60" s="694"/>
      <c r="U60" s="682"/>
    </row>
    <row r="61" spans="1:279">
      <c r="A61" s="669">
        <f>A60+31</f>
        <v>47270</v>
      </c>
      <c r="C61" s="677">
        <f t="shared" si="9"/>
        <v>47270</v>
      </c>
      <c r="D61" s="717" t="str">
        <f t="shared" si="10"/>
        <v/>
      </c>
      <c r="E61" s="668" t="str">
        <f t="shared" si="11"/>
        <v/>
      </c>
      <c r="F61" s="668" t="str">
        <f t="shared" si="12"/>
        <v/>
      </c>
      <c r="G61" s="669" t="str">
        <f t="shared" si="13"/>
        <v/>
      </c>
      <c r="H61" s="669">
        <f t="shared" si="14"/>
        <v>47270</v>
      </c>
      <c r="M61" s="717">
        <v>4</v>
      </c>
      <c r="N61" s="693"/>
      <c r="O61" s="694"/>
      <c r="P61" s="694"/>
      <c r="Q61" s="694"/>
      <c r="R61" s="694"/>
      <c r="S61" s="694"/>
      <c r="T61" s="694"/>
      <c r="U61" s="682"/>
    </row>
    <row r="62" spans="1:279">
      <c r="A62" s="669">
        <f>A61+30</f>
        <v>47300</v>
      </c>
      <c r="C62" s="677">
        <f t="shared" si="9"/>
        <v>47300</v>
      </c>
      <c r="D62" s="717" t="str">
        <f t="shared" si="10"/>
        <v/>
      </c>
      <c r="E62" s="668" t="str">
        <f t="shared" si="11"/>
        <v/>
      </c>
      <c r="F62" s="668" t="str">
        <f t="shared" si="12"/>
        <v/>
      </c>
      <c r="G62" s="669" t="str">
        <f t="shared" si="13"/>
        <v/>
      </c>
      <c r="H62" s="669">
        <f t="shared" si="14"/>
        <v>47300</v>
      </c>
      <c r="M62" s="717">
        <v>5</v>
      </c>
      <c r="N62" s="693"/>
      <c r="O62" s="694"/>
      <c r="P62" s="694"/>
      <c r="Q62" s="694"/>
      <c r="R62" s="694"/>
      <c r="S62" s="694"/>
      <c r="T62" s="694"/>
    </row>
    <row r="63" spans="1:279">
      <c r="A63" s="669">
        <f>A62+31</f>
        <v>47331</v>
      </c>
      <c r="C63" s="677">
        <f t="shared" si="9"/>
        <v>47331</v>
      </c>
      <c r="D63" s="717" t="str">
        <f t="shared" si="10"/>
        <v/>
      </c>
      <c r="E63" s="668" t="str">
        <f t="shared" si="11"/>
        <v/>
      </c>
      <c r="F63" s="668" t="str">
        <f t="shared" si="12"/>
        <v/>
      </c>
      <c r="G63" s="669" t="str">
        <f t="shared" si="13"/>
        <v/>
      </c>
      <c r="H63" s="669">
        <f t="shared" si="14"/>
        <v>47331</v>
      </c>
      <c r="M63" s="717">
        <v>6</v>
      </c>
      <c r="N63" s="693"/>
      <c r="O63" s="694"/>
      <c r="P63" s="694"/>
      <c r="Q63" s="694"/>
      <c r="R63" s="694"/>
      <c r="S63" s="694"/>
      <c r="T63" s="694"/>
    </row>
    <row r="64" spans="1:279">
      <c r="A64" s="669">
        <f>A63+31</f>
        <v>47362</v>
      </c>
      <c r="C64" s="677">
        <f t="shared" si="9"/>
        <v>47362</v>
      </c>
      <c r="D64" s="717" t="str">
        <f t="shared" si="10"/>
        <v/>
      </c>
      <c r="E64" s="668" t="str">
        <f t="shared" si="11"/>
        <v/>
      </c>
      <c r="F64" s="668" t="str">
        <f t="shared" si="12"/>
        <v/>
      </c>
      <c r="G64" s="669" t="str">
        <f t="shared" si="13"/>
        <v/>
      </c>
      <c r="H64" s="669">
        <f t="shared" si="14"/>
        <v>47362</v>
      </c>
      <c r="M64" s="717">
        <v>7</v>
      </c>
      <c r="N64" s="693"/>
      <c r="O64" s="694"/>
      <c r="P64" s="694"/>
      <c r="Q64" s="694"/>
      <c r="R64" s="694"/>
      <c r="S64" s="694"/>
      <c r="T64" s="694"/>
    </row>
    <row r="65" spans="1:20">
      <c r="A65" s="669">
        <f>A64+30</f>
        <v>47392</v>
      </c>
      <c r="C65" s="677">
        <f t="shared" si="9"/>
        <v>47392</v>
      </c>
      <c r="D65" s="717" t="str">
        <f t="shared" si="10"/>
        <v/>
      </c>
      <c r="E65" s="668" t="str">
        <f t="shared" si="11"/>
        <v/>
      </c>
      <c r="F65" s="668" t="str">
        <f t="shared" si="12"/>
        <v/>
      </c>
      <c r="G65" s="669" t="str">
        <f t="shared" si="13"/>
        <v/>
      </c>
      <c r="H65" s="669">
        <f t="shared" si="14"/>
        <v>47392</v>
      </c>
      <c r="M65" s="717">
        <v>8</v>
      </c>
      <c r="N65" s="693"/>
      <c r="O65" s="694"/>
      <c r="P65" s="694"/>
      <c r="Q65" s="694"/>
      <c r="R65" s="694"/>
      <c r="S65" s="694"/>
      <c r="T65" s="694"/>
    </row>
    <row r="66" spans="1:20">
      <c r="A66" s="669">
        <f>A65+31</f>
        <v>47423</v>
      </c>
      <c r="C66" s="677">
        <f t="shared" si="9"/>
        <v>47423</v>
      </c>
      <c r="D66" s="717" t="str">
        <f t="shared" si="10"/>
        <v/>
      </c>
      <c r="E66" s="668" t="str">
        <f t="shared" si="11"/>
        <v/>
      </c>
      <c r="F66" s="668" t="str">
        <f t="shared" si="12"/>
        <v/>
      </c>
      <c r="G66" s="669" t="str">
        <f t="shared" si="13"/>
        <v/>
      </c>
      <c r="H66" s="669">
        <f t="shared" si="14"/>
        <v>47423</v>
      </c>
      <c r="M66" s="717">
        <v>9</v>
      </c>
      <c r="N66" s="693"/>
      <c r="O66" s="694"/>
      <c r="P66" s="694"/>
      <c r="Q66" s="694"/>
      <c r="R66" s="694"/>
      <c r="S66" s="694"/>
      <c r="T66" s="694"/>
    </row>
    <row r="67" spans="1:20">
      <c r="A67" s="669">
        <f>A66+30</f>
        <v>47453</v>
      </c>
      <c r="C67" s="677">
        <f t="shared" si="9"/>
        <v>47453</v>
      </c>
      <c r="D67" s="717" t="str">
        <f t="shared" si="10"/>
        <v/>
      </c>
      <c r="E67" s="668" t="str">
        <f t="shared" si="11"/>
        <v/>
      </c>
      <c r="F67" s="668" t="str">
        <f t="shared" si="12"/>
        <v/>
      </c>
      <c r="G67" s="669" t="str">
        <f t="shared" si="13"/>
        <v/>
      </c>
      <c r="H67" s="669">
        <f t="shared" si="14"/>
        <v>47453</v>
      </c>
      <c r="M67" s="717">
        <v>10</v>
      </c>
      <c r="N67" s="693"/>
      <c r="O67" s="694"/>
      <c r="P67" s="694"/>
      <c r="Q67" s="694"/>
      <c r="R67" s="694"/>
      <c r="S67" s="694"/>
      <c r="T67" s="694"/>
    </row>
    <row r="68" spans="1:20">
      <c r="A68" s="669">
        <f>A67+31</f>
        <v>47484</v>
      </c>
      <c r="C68" s="677">
        <f t="shared" si="9"/>
        <v>47484</v>
      </c>
      <c r="D68" s="717" t="str">
        <f t="shared" si="10"/>
        <v/>
      </c>
      <c r="E68" s="668" t="str">
        <f t="shared" si="11"/>
        <v/>
      </c>
      <c r="F68" s="668" t="str">
        <f t="shared" si="12"/>
        <v/>
      </c>
      <c r="G68" s="669" t="str">
        <f t="shared" si="13"/>
        <v/>
      </c>
      <c r="H68" s="669">
        <f t="shared" si="14"/>
        <v>47484</v>
      </c>
      <c r="M68" s="717">
        <v>11</v>
      </c>
      <c r="N68" s="693"/>
      <c r="O68" s="694"/>
      <c r="P68" s="694"/>
      <c r="Q68" s="694"/>
      <c r="R68" s="694"/>
      <c r="S68" s="694"/>
      <c r="T68" s="694"/>
    </row>
    <row r="69" spans="1:20">
      <c r="A69" s="669">
        <f>A68+31</f>
        <v>47515</v>
      </c>
      <c r="B69" s="668" t="b">
        <f>ISNA(VLOOKUP(A69,$E$4:$E$13,1,FALSE))</f>
        <v>1</v>
      </c>
      <c r="C69" s="677">
        <f t="shared" si="9"/>
        <v>47515</v>
      </c>
      <c r="D69" s="717" t="str">
        <f t="shared" si="10"/>
        <v/>
      </c>
      <c r="E69" s="668" t="str">
        <f t="shared" si="11"/>
        <v/>
      </c>
      <c r="F69" s="668" t="str">
        <f t="shared" si="12"/>
        <v/>
      </c>
      <c r="G69" s="669" t="str">
        <f t="shared" si="13"/>
        <v/>
      </c>
      <c r="H69" s="669">
        <f t="shared" si="14"/>
        <v>47515</v>
      </c>
      <c r="M69" s="717">
        <v>12</v>
      </c>
      <c r="N69" s="693"/>
      <c r="O69" s="694"/>
      <c r="P69" s="694"/>
      <c r="Q69" s="694"/>
      <c r="R69" s="694"/>
      <c r="S69" s="694"/>
      <c r="T69" s="694"/>
    </row>
    <row r="70" spans="1:20">
      <c r="A70" s="669">
        <f>IF(B69=TRUE,(A69+28),(A69+29))</f>
        <v>47543</v>
      </c>
      <c r="C70" s="677">
        <f t="shared" si="9"/>
        <v>47543</v>
      </c>
      <c r="D70" s="717" t="str">
        <f t="shared" si="10"/>
        <v/>
      </c>
      <c r="E70" s="668" t="str">
        <f t="shared" si="11"/>
        <v/>
      </c>
      <c r="F70" s="668" t="str">
        <f t="shared" si="12"/>
        <v/>
      </c>
      <c r="G70" s="669" t="str">
        <f t="shared" si="13"/>
        <v/>
      </c>
      <c r="H70" s="669">
        <f t="shared" si="14"/>
        <v>47543</v>
      </c>
      <c r="M70" s="717">
        <v>13</v>
      </c>
      <c r="N70" s="693"/>
      <c r="O70" s="694"/>
      <c r="P70" s="694"/>
      <c r="Q70" s="694"/>
      <c r="R70" s="694"/>
      <c r="S70" s="694"/>
      <c r="T70" s="694"/>
    </row>
    <row r="71" spans="1:20">
      <c r="A71" s="669">
        <f>A70+31</f>
        <v>47574</v>
      </c>
      <c r="C71" s="677">
        <f t="shared" si="9"/>
        <v>47574</v>
      </c>
      <c r="D71" s="717" t="str">
        <f t="shared" si="10"/>
        <v/>
      </c>
      <c r="E71" s="668" t="str">
        <f t="shared" si="11"/>
        <v/>
      </c>
      <c r="F71" s="668" t="str">
        <f t="shared" si="12"/>
        <v/>
      </c>
      <c r="G71" s="669" t="str">
        <f t="shared" si="13"/>
        <v/>
      </c>
      <c r="H71" s="669">
        <f t="shared" si="14"/>
        <v>47574</v>
      </c>
      <c r="M71" s="717">
        <v>14</v>
      </c>
      <c r="N71" s="693"/>
      <c r="O71" s="694"/>
      <c r="P71" s="694"/>
      <c r="Q71" s="694"/>
      <c r="R71" s="694"/>
      <c r="S71" s="694"/>
      <c r="T71" s="694"/>
    </row>
    <row r="72" spans="1:20">
      <c r="A72" s="669">
        <f>A71+30</f>
        <v>47604</v>
      </c>
      <c r="C72" s="677">
        <f t="shared" si="9"/>
        <v>47604</v>
      </c>
      <c r="D72" s="717" t="str">
        <f t="shared" si="10"/>
        <v/>
      </c>
      <c r="E72" s="668" t="str">
        <f t="shared" si="11"/>
        <v/>
      </c>
      <c r="F72" s="668" t="str">
        <f t="shared" si="12"/>
        <v/>
      </c>
      <c r="G72" s="669" t="str">
        <f t="shared" si="13"/>
        <v/>
      </c>
      <c r="H72" s="669">
        <f t="shared" si="14"/>
        <v>47604</v>
      </c>
      <c r="M72" s="717">
        <v>15</v>
      </c>
      <c r="N72" s="693"/>
      <c r="O72" s="694"/>
      <c r="P72" s="694"/>
      <c r="Q72" s="694"/>
      <c r="R72" s="694"/>
      <c r="S72" s="694"/>
      <c r="T72" s="694"/>
    </row>
    <row r="73" spans="1:20">
      <c r="A73" s="669">
        <f>A72+31</f>
        <v>47635</v>
      </c>
      <c r="C73" s="677">
        <f t="shared" si="9"/>
        <v>47635</v>
      </c>
      <c r="D73" s="717" t="str">
        <f t="shared" si="10"/>
        <v/>
      </c>
      <c r="E73" s="668" t="str">
        <f t="shared" si="11"/>
        <v/>
      </c>
      <c r="F73" s="668" t="str">
        <f t="shared" si="12"/>
        <v/>
      </c>
      <c r="G73" s="669" t="str">
        <f t="shared" si="13"/>
        <v/>
      </c>
      <c r="H73" s="669">
        <f t="shared" si="14"/>
        <v>47635</v>
      </c>
      <c r="M73" s="717">
        <v>16</v>
      </c>
      <c r="N73" s="693"/>
      <c r="O73" s="694"/>
      <c r="P73" s="694"/>
      <c r="Q73" s="694"/>
      <c r="R73" s="694"/>
      <c r="S73" s="694"/>
      <c r="T73" s="694"/>
    </row>
    <row r="74" spans="1:20">
      <c r="A74" s="669">
        <f>A73+30</f>
        <v>47665</v>
      </c>
      <c r="C74" s="677">
        <f t="shared" si="9"/>
        <v>47665</v>
      </c>
      <c r="D74" s="717" t="str">
        <f t="shared" si="10"/>
        <v/>
      </c>
      <c r="E74" s="668" t="str">
        <f t="shared" si="11"/>
        <v/>
      </c>
      <c r="F74" s="668" t="str">
        <f t="shared" si="12"/>
        <v/>
      </c>
      <c r="G74" s="669" t="str">
        <f t="shared" si="13"/>
        <v/>
      </c>
      <c r="H74" s="669">
        <f t="shared" si="14"/>
        <v>47665</v>
      </c>
      <c r="M74" s="717">
        <v>17</v>
      </c>
      <c r="N74" s="693"/>
      <c r="O74" s="694"/>
      <c r="P74" s="694"/>
      <c r="Q74" s="694"/>
      <c r="R74" s="694"/>
      <c r="S74" s="694"/>
      <c r="T74" s="694"/>
    </row>
    <row r="75" spans="1:20">
      <c r="A75" s="669">
        <f>A74+31</f>
        <v>47696</v>
      </c>
      <c r="C75" s="677">
        <f t="shared" si="9"/>
        <v>47696</v>
      </c>
      <c r="D75" s="717" t="str">
        <f t="shared" si="10"/>
        <v/>
      </c>
      <c r="E75" s="668" t="str">
        <f t="shared" si="11"/>
        <v/>
      </c>
      <c r="F75" s="668" t="str">
        <f t="shared" si="12"/>
        <v/>
      </c>
      <c r="G75" s="669" t="str">
        <f t="shared" si="13"/>
        <v/>
      </c>
      <c r="H75" s="669">
        <f t="shared" si="14"/>
        <v>47696</v>
      </c>
      <c r="M75" s="717">
        <v>18</v>
      </c>
      <c r="N75" s="693"/>
      <c r="O75" s="694"/>
      <c r="P75" s="694"/>
      <c r="Q75" s="694"/>
      <c r="R75" s="694"/>
      <c r="S75" s="694"/>
      <c r="T75" s="694"/>
    </row>
    <row r="76" spans="1:20">
      <c r="A76" s="669">
        <f>A75+31</f>
        <v>47727</v>
      </c>
      <c r="C76" s="677">
        <f t="shared" si="9"/>
        <v>47727</v>
      </c>
      <c r="D76" s="717" t="str">
        <f t="shared" si="10"/>
        <v/>
      </c>
      <c r="E76" s="668" t="str">
        <f t="shared" si="11"/>
        <v/>
      </c>
      <c r="F76" s="668" t="str">
        <f t="shared" si="12"/>
        <v/>
      </c>
      <c r="G76" s="669" t="str">
        <f t="shared" si="13"/>
        <v/>
      </c>
      <c r="H76" s="669">
        <f t="shared" si="14"/>
        <v>47727</v>
      </c>
      <c r="M76" s="717">
        <v>19</v>
      </c>
      <c r="N76" s="693"/>
      <c r="O76" s="694"/>
      <c r="P76" s="694"/>
      <c r="Q76" s="694"/>
      <c r="R76" s="694"/>
      <c r="S76" s="694"/>
      <c r="T76" s="694"/>
    </row>
    <row r="77" spans="1:20">
      <c r="A77" s="669">
        <f>A76+30</f>
        <v>47757</v>
      </c>
      <c r="C77" s="677">
        <f t="shared" si="9"/>
        <v>47757</v>
      </c>
      <c r="D77" s="717" t="str">
        <f t="shared" si="10"/>
        <v/>
      </c>
      <c r="E77" s="668" t="str">
        <f t="shared" si="11"/>
        <v/>
      </c>
      <c r="F77" s="668" t="str">
        <f t="shared" si="12"/>
        <v/>
      </c>
      <c r="G77" s="669" t="str">
        <f t="shared" si="13"/>
        <v/>
      </c>
      <c r="H77" s="669">
        <f t="shared" si="14"/>
        <v>47757</v>
      </c>
      <c r="M77" s="717">
        <v>20</v>
      </c>
      <c r="N77" s="693"/>
      <c r="O77" s="694"/>
      <c r="P77" s="694"/>
      <c r="Q77" s="694"/>
      <c r="R77" s="694"/>
      <c r="S77" s="694"/>
      <c r="T77" s="694"/>
    </row>
    <row r="78" spans="1:20">
      <c r="A78" s="669">
        <f>A77+31</f>
        <v>47788</v>
      </c>
      <c r="C78" s="677">
        <f t="shared" si="9"/>
        <v>47788</v>
      </c>
      <c r="D78" s="717" t="str">
        <f t="shared" si="10"/>
        <v/>
      </c>
      <c r="E78" s="668" t="str">
        <f t="shared" si="11"/>
        <v/>
      </c>
      <c r="F78" s="668" t="str">
        <f t="shared" si="12"/>
        <v/>
      </c>
      <c r="G78" s="669" t="str">
        <f t="shared" si="13"/>
        <v/>
      </c>
      <c r="H78" s="669">
        <f t="shared" si="14"/>
        <v>47788</v>
      </c>
      <c r="M78" s="717">
        <v>21</v>
      </c>
      <c r="N78" s="693"/>
      <c r="O78" s="694"/>
      <c r="P78" s="694"/>
      <c r="Q78" s="694"/>
      <c r="R78" s="694"/>
      <c r="S78" s="694"/>
      <c r="T78" s="694"/>
    </row>
    <row r="79" spans="1:20">
      <c r="A79" s="669">
        <f>A78+30</f>
        <v>47818</v>
      </c>
      <c r="C79" s="677">
        <f t="shared" si="9"/>
        <v>47818</v>
      </c>
      <c r="D79" s="717" t="str">
        <f t="shared" si="10"/>
        <v/>
      </c>
      <c r="E79" s="668" t="str">
        <f t="shared" si="11"/>
        <v/>
      </c>
      <c r="F79" s="668" t="str">
        <f t="shared" si="12"/>
        <v/>
      </c>
      <c r="G79" s="669" t="str">
        <f t="shared" si="13"/>
        <v/>
      </c>
      <c r="H79" s="669">
        <f t="shared" si="14"/>
        <v>47818</v>
      </c>
      <c r="M79" s="717">
        <v>22</v>
      </c>
      <c r="N79" s="693"/>
      <c r="O79" s="694"/>
      <c r="P79" s="694"/>
      <c r="Q79" s="694"/>
      <c r="R79" s="694"/>
      <c r="S79" s="694"/>
      <c r="T79" s="694"/>
    </row>
    <row r="80" spans="1:20">
      <c r="A80" s="669">
        <f>A79+31</f>
        <v>47849</v>
      </c>
      <c r="C80" s="677">
        <f t="shared" si="9"/>
        <v>47849</v>
      </c>
      <c r="D80" s="717" t="str">
        <f t="shared" si="10"/>
        <v/>
      </c>
      <c r="E80" s="668" t="str">
        <f t="shared" si="11"/>
        <v/>
      </c>
      <c r="F80" s="668" t="str">
        <f t="shared" si="12"/>
        <v/>
      </c>
      <c r="G80" s="669" t="str">
        <f t="shared" si="13"/>
        <v/>
      </c>
      <c r="H80" s="669">
        <f t="shared" si="14"/>
        <v>47849</v>
      </c>
      <c r="M80" s="717">
        <v>23</v>
      </c>
      <c r="N80" s="693"/>
      <c r="O80" s="694"/>
      <c r="P80" s="694"/>
      <c r="Q80" s="694"/>
      <c r="R80" s="694"/>
      <c r="S80" s="694"/>
      <c r="T80" s="694"/>
    </row>
    <row r="81" spans="1:20">
      <c r="A81" s="669">
        <f>A80+31</f>
        <v>47880</v>
      </c>
      <c r="B81" s="668" t="b">
        <f>ISNA(VLOOKUP(A81,$E$4:$E$13,1,FALSE))</f>
        <v>1</v>
      </c>
      <c r="C81" s="677">
        <f t="shared" si="9"/>
        <v>47880</v>
      </c>
      <c r="D81" s="717" t="str">
        <f t="shared" si="10"/>
        <v/>
      </c>
      <c r="E81" s="668" t="str">
        <f t="shared" si="11"/>
        <v/>
      </c>
      <c r="F81" s="668" t="str">
        <f t="shared" si="12"/>
        <v/>
      </c>
      <c r="G81" s="669" t="str">
        <f t="shared" si="13"/>
        <v/>
      </c>
      <c r="H81" s="669">
        <f t="shared" si="14"/>
        <v>47880</v>
      </c>
      <c r="M81" s="717">
        <v>24</v>
      </c>
      <c r="N81" s="693"/>
      <c r="O81" s="694"/>
      <c r="P81" s="694"/>
      <c r="Q81" s="694"/>
      <c r="R81" s="694"/>
      <c r="S81" s="694"/>
      <c r="T81" s="694"/>
    </row>
    <row r="82" spans="1:20">
      <c r="A82" s="669">
        <f>IF(B81=TRUE,(A81+28),(A81+29))</f>
        <v>47908</v>
      </c>
      <c r="C82" s="677">
        <f t="shared" si="9"/>
        <v>47908</v>
      </c>
      <c r="D82" s="717" t="str">
        <f t="shared" si="10"/>
        <v/>
      </c>
      <c r="E82" s="668" t="str">
        <f t="shared" si="11"/>
        <v/>
      </c>
      <c r="F82" s="668" t="str">
        <f t="shared" si="12"/>
        <v/>
      </c>
      <c r="G82" s="669" t="str">
        <f t="shared" si="13"/>
        <v/>
      </c>
      <c r="H82" s="669">
        <f t="shared" si="14"/>
        <v>47908</v>
      </c>
      <c r="M82" s="717">
        <v>25</v>
      </c>
      <c r="N82" s="693"/>
      <c r="O82" s="694"/>
      <c r="P82" s="694"/>
      <c r="Q82" s="694"/>
      <c r="R82" s="694"/>
      <c r="S82" s="694"/>
      <c r="T82" s="694"/>
    </row>
    <row r="83" spans="1:20">
      <c r="A83" s="669">
        <f>A82+31</f>
        <v>47939</v>
      </c>
      <c r="C83" s="677">
        <f t="shared" si="9"/>
        <v>47939</v>
      </c>
      <c r="D83" s="717" t="str">
        <f t="shared" si="10"/>
        <v/>
      </c>
      <c r="E83" s="668" t="str">
        <f t="shared" si="11"/>
        <v/>
      </c>
      <c r="F83" s="668" t="str">
        <f t="shared" si="12"/>
        <v/>
      </c>
      <c r="G83" s="669" t="str">
        <f t="shared" si="13"/>
        <v/>
      </c>
      <c r="H83" s="669">
        <f t="shared" si="14"/>
        <v>47939</v>
      </c>
      <c r="M83" s="717">
        <v>26</v>
      </c>
      <c r="N83" s="693"/>
      <c r="O83" s="694"/>
      <c r="P83" s="694"/>
      <c r="Q83" s="694"/>
      <c r="R83" s="694"/>
      <c r="S83" s="694"/>
      <c r="T83" s="694"/>
    </row>
    <row r="84" spans="1:20">
      <c r="A84" s="669">
        <f>A83+30</f>
        <v>47969</v>
      </c>
      <c r="C84" s="677">
        <f t="shared" si="9"/>
        <v>47969</v>
      </c>
      <c r="D84" s="717" t="str">
        <f t="shared" si="10"/>
        <v/>
      </c>
      <c r="E84" s="668" t="str">
        <f t="shared" si="11"/>
        <v/>
      </c>
      <c r="F84" s="668" t="str">
        <f t="shared" si="12"/>
        <v/>
      </c>
      <c r="G84" s="669" t="str">
        <f t="shared" si="13"/>
        <v/>
      </c>
      <c r="H84" s="669">
        <f t="shared" si="14"/>
        <v>47969</v>
      </c>
      <c r="M84" s="717">
        <v>27</v>
      </c>
      <c r="N84" s="693"/>
      <c r="O84" s="694"/>
      <c r="P84" s="694"/>
      <c r="Q84" s="694"/>
      <c r="R84" s="694"/>
      <c r="S84" s="694"/>
      <c r="T84" s="694"/>
    </row>
    <row r="85" spans="1:20">
      <c r="A85" s="669">
        <f>A84+31</f>
        <v>48000</v>
      </c>
      <c r="C85" s="677">
        <f t="shared" ref="C85:C148" si="29">A85</f>
        <v>48000</v>
      </c>
      <c r="D85" s="717" t="str">
        <f t="shared" ref="D85:D148" si="30">IF(($P$23-C85)&lt;0,"",($P$23-C85))</f>
        <v/>
      </c>
      <c r="E85" s="668" t="str">
        <f t="shared" ref="E85:E148" si="31">IF(D85="","",RANK(D85,$D$20:$D$215,1))</f>
        <v/>
      </c>
      <c r="F85" s="668" t="str">
        <f t="shared" ref="F85:F148" si="32">IF(A85&lt;$L$37,$K$36,IF(A85&lt;$L$38,$K$37,IF(A85&lt;$L$39,$K$38,IF(A85&lt;$L$40,$K$39,IF(A85&lt;$L$41,$K$40,$K$41)))))</f>
        <v/>
      </c>
      <c r="G85" s="669" t="str">
        <f t="shared" ref="G85:G148" si="33">VLOOKUP(F85,$K$36:$L$41,2,FALSE)</f>
        <v/>
      </c>
      <c r="H85" s="669">
        <f t="shared" ref="H85:H148" si="34">A85</f>
        <v>48000</v>
      </c>
      <c r="M85" s="717">
        <v>28</v>
      </c>
      <c r="N85" s="693"/>
      <c r="O85" s="694"/>
      <c r="P85" s="694"/>
      <c r="Q85" s="694"/>
      <c r="R85" s="694"/>
      <c r="S85" s="694"/>
      <c r="T85" s="694"/>
    </row>
    <row r="86" spans="1:20">
      <c r="A86" s="669">
        <f>A85+30</f>
        <v>48030</v>
      </c>
      <c r="C86" s="677">
        <f t="shared" si="29"/>
        <v>48030</v>
      </c>
      <c r="D86" s="717" t="str">
        <f t="shared" si="30"/>
        <v/>
      </c>
      <c r="E86" s="668" t="str">
        <f t="shared" si="31"/>
        <v/>
      </c>
      <c r="F86" s="668" t="str">
        <f t="shared" si="32"/>
        <v/>
      </c>
      <c r="G86" s="669" t="str">
        <f t="shared" si="33"/>
        <v/>
      </c>
      <c r="H86" s="669">
        <f t="shared" si="34"/>
        <v>48030</v>
      </c>
      <c r="M86" s="717">
        <v>29</v>
      </c>
      <c r="N86" s="693"/>
      <c r="O86" s="694"/>
      <c r="P86" s="694"/>
      <c r="Q86" s="694"/>
      <c r="R86" s="694"/>
      <c r="S86" s="694"/>
      <c r="T86" s="694"/>
    </row>
    <row r="87" spans="1:20">
      <c r="A87" s="669">
        <f>A86+31</f>
        <v>48061</v>
      </c>
      <c r="C87" s="677">
        <f t="shared" si="29"/>
        <v>48061</v>
      </c>
      <c r="D87" s="717" t="str">
        <f t="shared" si="30"/>
        <v/>
      </c>
      <c r="E87" s="668" t="str">
        <f t="shared" si="31"/>
        <v/>
      </c>
      <c r="F87" s="668" t="str">
        <f t="shared" si="32"/>
        <v/>
      </c>
      <c r="G87" s="669" t="str">
        <f t="shared" si="33"/>
        <v/>
      </c>
      <c r="H87" s="669">
        <f t="shared" si="34"/>
        <v>48061</v>
      </c>
      <c r="M87" s="717">
        <v>30</v>
      </c>
      <c r="N87" s="693"/>
      <c r="O87" s="694"/>
      <c r="P87" s="694"/>
      <c r="Q87" s="694"/>
      <c r="R87" s="694"/>
      <c r="S87" s="694"/>
      <c r="T87" s="694"/>
    </row>
    <row r="88" spans="1:20">
      <c r="A88" s="669">
        <f>A87+31</f>
        <v>48092</v>
      </c>
      <c r="C88" s="677">
        <f t="shared" si="29"/>
        <v>48092</v>
      </c>
      <c r="D88" s="717" t="str">
        <f t="shared" si="30"/>
        <v/>
      </c>
      <c r="E88" s="668" t="str">
        <f t="shared" si="31"/>
        <v/>
      </c>
      <c r="F88" s="668" t="str">
        <f t="shared" si="32"/>
        <v/>
      </c>
      <c r="G88" s="669" t="str">
        <f t="shared" si="33"/>
        <v/>
      </c>
      <c r="H88" s="669">
        <f t="shared" si="34"/>
        <v>48092</v>
      </c>
      <c r="M88" s="717">
        <v>31</v>
      </c>
      <c r="N88" s="693"/>
      <c r="O88" s="694"/>
      <c r="P88" s="694"/>
      <c r="Q88" s="694"/>
      <c r="R88" s="694"/>
      <c r="S88" s="694"/>
      <c r="T88" s="694"/>
    </row>
    <row r="89" spans="1:20">
      <c r="A89" s="669">
        <f>A88+30</f>
        <v>48122</v>
      </c>
      <c r="C89" s="677">
        <f t="shared" si="29"/>
        <v>48122</v>
      </c>
      <c r="D89" s="717" t="str">
        <f t="shared" si="30"/>
        <v/>
      </c>
      <c r="E89" s="668" t="str">
        <f t="shared" si="31"/>
        <v/>
      </c>
      <c r="F89" s="668" t="str">
        <f t="shared" si="32"/>
        <v/>
      </c>
      <c r="G89" s="669" t="str">
        <f t="shared" si="33"/>
        <v/>
      </c>
      <c r="H89" s="669">
        <f t="shared" si="34"/>
        <v>48122</v>
      </c>
      <c r="M89" s="717">
        <v>32</v>
      </c>
      <c r="N89" s="693"/>
      <c r="O89" s="694"/>
      <c r="P89" s="694"/>
      <c r="Q89" s="694"/>
      <c r="R89" s="694"/>
      <c r="S89" s="694"/>
      <c r="T89" s="694"/>
    </row>
    <row r="90" spans="1:20">
      <c r="A90" s="669">
        <f>A89+31</f>
        <v>48153</v>
      </c>
      <c r="C90" s="677">
        <f t="shared" si="29"/>
        <v>48153</v>
      </c>
      <c r="D90" s="717" t="str">
        <f t="shared" si="30"/>
        <v/>
      </c>
      <c r="E90" s="668" t="str">
        <f t="shared" si="31"/>
        <v/>
      </c>
      <c r="F90" s="668" t="str">
        <f t="shared" si="32"/>
        <v/>
      </c>
      <c r="G90" s="669" t="str">
        <f t="shared" si="33"/>
        <v/>
      </c>
      <c r="H90" s="669">
        <f t="shared" si="34"/>
        <v>48153</v>
      </c>
      <c r="M90" s="717">
        <v>33</v>
      </c>
      <c r="N90" s="693"/>
      <c r="O90" s="694"/>
      <c r="P90" s="694"/>
      <c r="Q90" s="694"/>
      <c r="R90" s="694"/>
      <c r="S90" s="694"/>
      <c r="T90" s="694"/>
    </row>
    <row r="91" spans="1:20">
      <c r="A91" s="669">
        <f>A90+30</f>
        <v>48183</v>
      </c>
      <c r="C91" s="677">
        <f t="shared" si="29"/>
        <v>48183</v>
      </c>
      <c r="D91" s="717" t="str">
        <f t="shared" si="30"/>
        <v/>
      </c>
      <c r="E91" s="668" t="str">
        <f t="shared" si="31"/>
        <v/>
      </c>
      <c r="F91" s="668" t="str">
        <f t="shared" si="32"/>
        <v/>
      </c>
      <c r="G91" s="669" t="str">
        <f t="shared" si="33"/>
        <v/>
      </c>
      <c r="H91" s="669">
        <f t="shared" si="34"/>
        <v>48183</v>
      </c>
      <c r="M91" s="717">
        <v>34</v>
      </c>
      <c r="N91" s="693"/>
      <c r="O91" s="694"/>
      <c r="P91" s="694"/>
      <c r="Q91" s="694"/>
      <c r="R91" s="694"/>
      <c r="S91" s="694"/>
      <c r="T91" s="694"/>
    </row>
    <row r="92" spans="1:20">
      <c r="A92" s="669">
        <f>A91+31</f>
        <v>48214</v>
      </c>
      <c r="C92" s="677">
        <f t="shared" si="29"/>
        <v>48214</v>
      </c>
      <c r="D92" s="717" t="str">
        <f t="shared" si="30"/>
        <v/>
      </c>
      <c r="E92" s="668" t="str">
        <f t="shared" si="31"/>
        <v/>
      </c>
      <c r="F92" s="668" t="str">
        <f t="shared" si="32"/>
        <v/>
      </c>
      <c r="G92" s="669" t="str">
        <f t="shared" si="33"/>
        <v/>
      </c>
      <c r="H92" s="669">
        <f t="shared" si="34"/>
        <v>48214</v>
      </c>
      <c r="M92" s="717">
        <v>35</v>
      </c>
      <c r="N92" s="693"/>
      <c r="O92" s="694"/>
      <c r="P92" s="694"/>
      <c r="Q92" s="694"/>
      <c r="R92" s="694"/>
      <c r="S92" s="694"/>
      <c r="T92" s="694"/>
    </row>
    <row r="93" spans="1:20">
      <c r="A93" s="669">
        <f>A92+31</f>
        <v>48245</v>
      </c>
      <c r="B93" s="668" t="b">
        <f>ISNA(VLOOKUP(A93,$E$4:$E$13,1,FALSE))</f>
        <v>0</v>
      </c>
      <c r="C93" s="677">
        <f t="shared" si="29"/>
        <v>48245</v>
      </c>
      <c r="D93" s="717" t="str">
        <f t="shared" si="30"/>
        <v/>
      </c>
      <c r="E93" s="668" t="str">
        <f t="shared" si="31"/>
        <v/>
      </c>
      <c r="F93" s="668" t="str">
        <f t="shared" si="32"/>
        <v/>
      </c>
      <c r="G93" s="669" t="str">
        <f t="shared" si="33"/>
        <v/>
      </c>
      <c r="H93" s="669">
        <f t="shared" si="34"/>
        <v>48245</v>
      </c>
      <c r="M93" s="717">
        <v>36</v>
      </c>
      <c r="N93" s="693"/>
      <c r="O93" s="694"/>
      <c r="P93" s="694"/>
      <c r="Q93" s="694"/>
      <c r="R93" s="694"/>
      <c r="S93" s="694"/>
      <c r="T93" s="694"/>
    </row>
    <row r="94" spans="1:20">
      <c r="A94" s="669">
        <f>IF(B93=TRUE,(A93+28),(A93+29))</f>
        <v>48274</v>
      </c>
      <c r="C94" s="677">
        <f t="shared" si="29"/>
        <v>48274</v>
      </c>
      <c r="D94" s="717" t="str">
        <f t="shared" si="30"/>
        <v/>
      </c>
      <c r="E94" s="668" t="str">
        <f t="shared" si="31"/>
        <v/>
      </c>
      <c r="F94" s="668" t="str">
        <f t="shared" si="32"/>
        <v/>
      </c>
      <c r="G94" s="669" t="str">
        <f t="shared" si="33"/>
        <v/>
      </c>
      <c r="H94" s="669">
        <f t="shared" si="34"/>
        <v>48274</v>
      </c>
      <c r="M94" s="717">
        <v>37</v>
      </c>
      <c r="N94" s="693"/>
      <c r="O94" s="694"/>
      <c r="P94" s="694"/>
      <c r="Q94" s="694"/>
      <c r="R94" s="694"/>
      <c r="S94" s="694"/>
      <c r="T94" s="694"/>
    </row>
    <row r="95" spans="1:20">
      <c r="A95" s="669">
        <f>A94+31</f>
        <v>48305</v>
      </c>
      <c r="C95" s="677">
        <f t="shared" si="29"/>
        <v>48305</v>
      </c>
      <c r="D95" s="717" t="str">
        <f t="shared" si="30"/>
        <v/>
      </c>
      <c r="E95" s="668" t="str">
        <f t="shared" si="31"/>
        <v/>
      </c>
      <c r="F95" s="668" t="str">
        <f t="shared" si="32"/>
        <v/>
      </c>
      <c r="G95" s="669" t="str">
        <f t="shared" si="33"/>
        <v/>
      </c>
      <c r="H95" s="669">
        <f t="shared" si="34"/>
        <v>48305</v>
      </c>
      <c r="M95" s="717">
        <v>38</v>
      </c>
      <c r="N95" s="693"/>
      <c r="O95" s="694"/>
      <c r="P95" s="694"/>
      <c r="Q95" s="694"/>
      <c r="R95" s="694"/>
      <c r="S95" s="694"/>
      <c r="T95" s="694"/>
    </row>
    <row r="96" spans="1:20">
      <c r="A96" s="669">
        <f>A95+30</f>
        <v>48335</v>
      </c>
      <c r="C96" s="677">
        <f t="shared" si="29"/>
        <v>48335</v>
      </c>
      <c r="D96" s="717" t="str">
        <f t="shared" si="30"/>
        <v/>
      </c>
      <c r="E96" s="668" t="str">
        <f t="shared" si="31"/>
        <v/>
      </c>
      <c r="F96" s="668" t="str">
        <f t="shared" si="32"/>
        <v/>
      </c>
      <c r="G96" s="669" t="str">
        <f t="shared" si="33"/>
        <v/>
      </c>
      <c r="H96" s="669">
        <f t="shared" si="34"/>
        <v>48335</v>
      </c>
      <c r="M96" s="717">
        <v>39</v>
      </c>
      <c r="N96" s="693"/>
      <c r="O96" s="694"/>
      <c r="P96" s="694"/>
      <c r="Q96" s="694"/>
      <c r="R96" s="694"/>
      <c r="S96" s="694"/>
      <c r="T96" s="694"/>
    </row>
    <row r="97" spans="1:20">
      <c r="A97" s="669">
        <f>A96+31</f>
        <v>48366</v>
      </c>
      <c r="C97" s="677">
        <f t="shared" si="29"/>
        <v>48366</v>
      </c>
      <c r="D97" s="717" t="str">
        <f t="shared" si="30"/>
        <v/>
      </c>
      <c r="E97" s="668" t="str">
        <f t="shared" si="31"/>
        <v/>
      </c>
      <c r="F97" s="668" t="str">
        <f t="shared" si="32"/>
        <v/>
      </c>
      <c r="G97" s="669" t="str">
        <f t="shared" si="33"/>
        <v/>
      </c>
      <c r="H97" s="669">
        <f t="shared" si="34"/>
        <v>48366</v>
      </c>
      <c r="M97" s="717">
        <v>40</v>
      </c>
      <c r="N97" s="693"/>
      <c r="O97" s="694"/>
      <c r="P97" s="694"/>
      <c r="Q97" s="694"/>
      <c r="R97" s="694"/>
      <c r="S97" s="694"/>
      <c r="T97" s="694"/>
    </row>
    <row r="98" spans="1:20">
      <c r="A98" s="669">
        <f>A97+30</f>
        <v>48396</v>
      </c>
      <c r="C98" s="677">
        <f t="shared" si="29"/>
        <v>48396</v>
      </c>
      <c r="D98" s="717" t="str">
        <f t="shared" si="30"/>
        <v/>
      </c>
      <c r="E98" s="668" t="str">
        <f t="shared" si="31"/>
        <v/>
      </c>
      <c r="F98" s="668" t="str">
        <f t="shared" si="32"/>
        <v/>
      </c>
      <c r="G98" s="669" t="str">
        <f t="shared" si="33"/>
        <v/>
      </c>
      <c r="H98" s="669">
        <f t="shared" si="34"/>
        <v>48396</v>
      </c>
      <c r="M98" s="717">
        <v>41</v>
      </c>
      <c r="N98" s="693"/>
      <c r="O98" s="694"/>
      <c r="P98" s="694"/>
      <c r="Q98" s="694"/>
      <c r="R98" s="694"/>
      <c r="S98" s="694"/>
      <c r="T98" s="694"/>
    </row>
    <row r="99" spans="1:20">
      <c r="A99" s="669">
        <f>A98+31</f>
        <v>48427</v>
      </c>
      <c r="C99" s="677">
        <f t="shared" si="29"/>
        <v>48427</v>
      </c>
      <c r="D99" s="717" t="str">
        <f t="shared" si="30"/>
        <v/>
      </c>
      <c r="E99" s="668" t="str">
        <f t="shared" si="31"/>
        <v/>
      </c>
      <c r="F99" s="668" t="str">
        <f t="shared" si="32"/>
        <v/>
      </c>
      <c r="G99" s="669" t="str">
        <f t="shared" si="33"/>
        <v/>
      </c>
      <c r="H99" s="669">
        <f t="shared" si="34"/>
        <v>48427</v>
      </c>
      <c r="M99" s="717">
        <v>42</v>
      </c>
      <c r="N99" s="693"/>
      <c r="O99" s="694"/>
      <c r="P99" s="694"/>
      <c r="Q99" s="694"/>
      <c r="R99" s="694"/>
      <c r="S99" s="694"/>
      <c r="T99" s="694"/>
    </row>
    <row r="100" spans="1:20">
      <c r="A100" s="669">
        <f>A99+31</f>
        <v>48458</v>
      </c>
      <c r="C100" s="677">
        <f t="shared" si="29"/>
        <v>48458</v>
      </c>
      <c r="D100" s="717" t="str">
        <f t="shared" si="30"/>
        <v/>
      </c>
      <c r="E100" s="668" t="str">
        <f t="shared" si="31"/>
        <v/>
      </c>
      <c r="F100" s="668" t="str">
        <f t="shared" si="32"/>
        <v/>
      </c>
      <c r="G100" s="669" t="str">
        <f t="shared" si="33"/>
        <v/>
      </c>
      <c r="H100" s="669">
        <f t="shared" si="34"/>
        <v>48458</v>
      </c>
      <c r="M100" s="717">
        <v>43</v>
      </c>
      <c r="N100" s="693"/>
      <c r="O100" s="694"/>
      <c r="P100" s="694"/>
      <c r="Q100" s="694"/>
      <c r="R100" s="694"/>
      <c r="S100" s="694"/>
      <c r="T100" s="694"/>
    </row>
    <row r="101" spans="1:20">
      <c r="A101" s="669">
        <f>A100+30</f>
        <v>48488</v>
      </c>
      <c r="C101" s="677">
        <f t="shared" si="29"/>
        <v>48488</v>
      </c>
      <c r="D101" s="717" t="str">
        <f t="shared" si="30"/>
        <v/>
      </c>
      <c r="E101" s="668" t="str">
        <f t="shared" si="31"/>
        <v/>
      </c>
      <c r="F101" s="668" t="str">
        <f t="shared" si="32"/>
        <v/>
      </c>
      <c r="G101" s="669" t="str">
        <f t="shared" si="33"/>
        <v/>
      </c>
      <c r="H101" s="669">
        <f t="shared" si="34"/>
        <v>48488</v>
      </c>
      <c r="M101" s="717">
        <v>44</v>
      </c>
      <c r="N101" s="693"/>
      <c r="O101" s="694"/>
      <c r="P101" s="694"/>
      <c r="Q101" s="694"/>
      <c r="R101" s="694"/>
      <c r="S101" s="694"/>
      <c r="T101" s="694"/>
    </row>
    <row r="102" spans="1:20">
      <c r="A102" s="669">
        <f>A101+31</f>
        <v>48519</v>
      </c>
      <c r="C102" s="677">
        <f t="shared" si="29"/>
        <v>48519</v>
      </c>
      <c r="D102" s="717" t="str">
        <f t="shared" si="30"/>
        <v/>
      </c>
      <c r="E102" s="668" t="str">
        <f t="shared" si="31"/>
        <v/>
      </c>
      <c r="F102" s="668" t="str">
        <f t="shared" si="32"/>
        <v/>
      </c>
      <c r="G102" s="669" t="str">
        <f t="shared" si="33"/>
        <v/>
      </c>
      <c r="H102" s="669">
        <f t="shared" si="34"/>
        <v>48519</v>
      </c>
      <c r="M102" s="717">
        <v>45</v>
      </c>
      <c r="N102" s="693"/>
      <c r="O102" s="694"/>
      <c r="P102" s="694"/>
      <c r="Q102" s="694"/>
      <c r="R102" s="694"/>
      <c r="S102" s="694"/>
      <c r="T102" s="694"/>
    </row>
    <row r="103" spans="1:20">
      <c r="A103" s="669">
        <f>A102+30</f>
        <v>48549</v>
      </c>
      <c r="C103" s="677">
        <f t="shared" si="29"/>
        <v>48549</v>
      </c>
      <c r="D103" s="717" t="str">
        <f t="shared" si="30"/>
        <v/>
      </c>
      <c r="E103" s="668" t="str">
        <f t="shared" si="31"/>
        <v/>
      </c>
      <c r="F103" s="668" t="str">
        <f t="shared" si="32"/>
        <v/>
      </c>
      <c r="G103" s="669" t="str">
        <f t="shared" si="33"/>
        <v/>
      </c>
      <c r="H103" s="669">
        <f t="shared" si="34"/>
        <v>48549</v>
      </c>
      <c r="M103" s="717">
        <v>46</v>
      </c>
      <c r="N103" s="693"/>
      <c r="O103" s="694"/>
      <c r="P103" s="694"/>
      <c r="Q103" s="694"/>
      <c r="R103" s="694"/>
      <c r="S103" s="694"/>
      <c r="T103" s="694"/>
    </row>
    <row r="104" spans="1:20">
      <c r="A104" s="669">
        <f>A103+31</f>
        <v>48580</v>
      </c>
      <c r="C104" s="677">
        <f t="shared" si="29"/>
        <v>48580</v>
      </c>
      <c r="D104" s="717" t="str">
        <f t="shared" si="30"/>
        <v/>
      </c>
      <c r="E104" s="668" t="str">
        <f t="shared" si="31"/>
        <v/>
      </c>
      <c r="F104" s="668" t="str">
        <f t="shared" si="32"/>
        <v/>
      </c>
      <c r="G104" s="669" t="str">
        <f t="shared" si="33"/>
        <v/>
      </c>
      <c r="H104" s="669">
        <f t="shared" si="34"/>
        <v>48580</v>
      </c>
      <c r="M104" s="717">
        <v>47</v>
      </c>
      <c r="N104" s="693"/>
      <c r="O104" s="694"/>
      <c r="P104" s="694"/>
      <c r="Q104" s="694"/>
      <c r="R104" s="694"/>
      <c r="S104" s="694"/>
      <c r="T104" s="694"/>
    </row>
    <row r="105" spans="1:20">
      <c r="A105" s="669">
        <f>A104+31</f>
        <v>48611</v>
      </c>
      <c r="B105" s="668" t="b">
        <f>ISNA(VLOOKUP(A105,$E$4:$E$13,1,FALSE))</f>
        <v>1</v>
      </c>
      <c r="C105" s="677">
        <f t="shared" si="29"/>
        <v>48611</v>
      </c>
      <c r="D105" s="717" t="str">
        <f t="shared" si="30"/>
        <v/>
      </c>
      <c r="E105" s="668" t="str">
        <f t="shared" si="31"/>
        <v/>
      </c>
      <c r="F105" s="668" t="str">
        <f t="shared" si="32"/>
        <v/>
      </c>
      <c r="G105" s="669" t="str">
        <f t="shared" si="33"/>
        <v/>
      </c>
      <c r="H105" s="669">
        <f t="shared" si="34"/>
        <v>48611</v>
      </c>
      <c r="M105" s="717">
        <v>48</v>
      </c>
      <c r="N105" s="693"/>
      <c r="O105" s="694"/>
      <c r="P105" s="694"/>
      <c r="Q105" s="694"/>
      <c r="R105" s="694"/>
      <c r="S105" s="694"/>
      <c r="T105" s="694"/>
    </row>
    <row r="106" spans="1:20">
      <c r="A106" s="669">
        <f>IF(B105=TRUE,(A105+28),(A105+29))</f>
        <v>48639</v>
      </c>
      <c r="C106" s="677">
        <f t="shared" si="29"/>
        <v>48639</v>
      </c>
      <c r="D106" s="717" t="str">
        <f t="shared" si="30"/>
        <v/>
      </c>
      <c r="E106" s="668" t="str">
        <f t="shared" si="31"/>
        <v/>
      </c>
      <c r="F106" s="668" t="str">
        <f t="shared" si="32"/>
        <v/>
      </c>
      <c r="G106" s="669" t="str">
        <f t="shared" si="33"/>
        <v/>
      </c>
      <c r="H106" s="669">
        <f t="shared" si="34"/>
        <v>48639</v>
      </c>
      <c r="M106" s="717">
        <v>49</v>
      </c>
      <c r="N106" s="693"/>
      <c r="O106" s="694"/>
      <c r="P106" s="694"/>
      <c r="Q106" s="694"/>
      <c r="R106" s="694"/>
      <c r="S106" s="694"/>
      <c r="T106" s="694"/>
    </row>
    <row r="107" spans="1:20">
      <c r="A107" s="669">
        <f>A106+31</f>
        <v>48670</v>
      </c>
      <c r="C107" s="677">
        <f t="shared" si="29"/>
        <v>48670</v>
      </c>
      <c r="D107" s="717" t="str">
        <f t="shared" si="30"/>
        <v/>
      </c>
      <c r="E107" s="668" t="str">
        <f t="shared" si="31"/>
        <v/>
      </c>
      <c r="F107" s="668" t="str">
        <f t="shared" si="32"/>
        <v/>
      </c>
      <c r="G107" s="669" t="str">
        <f t="shared" si="33"/>
        <v/>
      </c>
      <c r="H107" s="669">
        <f t="shared" si="34"/>
        <v>48670</v>
      </c>
      <c r="M107" s="717">
        <v>50</v>
      </c>
      <c r="N107" s="693"/>
      <c r="O107" s="694"/>
      <c r="P107" s="694"/>
      <c r="Q107" s="694"/>
      <c r="R107" s="694"/>
      <c r="S107" s="694"/>
      <c r="T107" s="694"/>
    </row>
    <row r="108" spans="1:20">
      <c r="A108" s="669">
        <f>A107+30</f>
        <v>48700</v>
      </c>
      <c r="C108" s="677">
        <f t="shared" si="29"/>
        <v>48700</v>
      </c>
      <c r="D108" s="717" t="str">
        <f t="shared" si="30"/>
        <v/>
      </c>
      <c r="E108" s="668" t="str">
        <f t="shared" si="31"/>
        <v/>
      </c>
      <c r="F108" s="668" t="str">
        <f t="shared" si="32"/>
        <v/>
      </c>
      <c r="G108" s="669" t="str">
        <f t="shared" si="33"/>
        <v/>
      </c>
      <c r="H108" s="669">
        <f t="shared" si="34"/>
        <v>48700</v>
      </c>
      <c r="M108" s="717">
        <v>51</v>
      </c>
      <c r="N108" s="693"/>
      <c r="O108" s="694"/>
      <c r="P108" s="694"/>
      <c r="Q108" s="694"/>
      <c r="R108" s="694"/>
      <c r="S108" s="694"/>
      <c r="T108" s="694"/>
    </row>
    <row r="109" spans="1:20">
      <c r="A109" s="669">
        <f>A108+31</f>
        <v>48731</v>
      </c>
      <c r="C109" s="677">
        <f t="shared" si="29"/>
        <v>48731</v>
      </c>
      <c r="D109" s="717" t="str">
        <f t="shared" si="30"/>
        <v/>
      </c>
      <c r="E109" s="668" t="str">
        <f t="shared" si="31"/>
        <v/>
      </c>
      <c r="F109" s="668" t="str">
        <f t="shared" si="32"/>
        <v/>
      </c>
      <c r="G109" s="669" t="str">
        <f t="shared" si="33"/>
        <v/>
      </c>
      <c r="H109" s="669">
        <f t="shared" si="34"/>
        <v>48731</v>
      </c>
      <c r="M109" s="717">
        <v>52</v>
      </c>
      <c r="N109" s="693"/>
      <c r="O109" s="694"/>
      <c r="P109" s="694"/>
      <c r="Q109" s="694"/>
      <c r="R109" s="694"/>
      <c r="S109" s="694"/>
      <c r="T109" s="694"/>
    </row>
    <row r="110" spans="1:20">
      <c r="A110" s="669">
        <f>A109+30</f>
        <v>48761</v>
      </c>
      <c r="C110" s="677">
        <f t="shared" si="29"/>
        <v>48761</v>
      </c>
      <c r="D110" s="717" t="str">
        <f t="shared" si="30"/>
        <v/>
      </c>
      <c r="E110" s="668" t="str">
        <f t="shared" si="31"/>
        <v/>
      </c>
      <c r="F110" s="668" t="str">
        <f t="shared" si="32"/>
        <v/>
      </c>
      <c r="G110" s="669" t="str">
        <f t="shared" si="33"/>
        <v/>
      </c>
      <c r="H110" s="669">
        <f t="shared" si="34"/>
        <v>48761</v>
      </c>
      <c r="M110" s="717">
        <v>53</v>
      </c>
      <c r="N110" s="693"/>
      <c r="O110" s="694"/>
      <c r="P110" s="694"/>
      <c r="Q110" s="694"/>
      <c r="R110" s="694"/>
      <c r="S110" s="694"/>
      <c r="T110" s="694"/>
    </row>
    <row r="111" spans="1:20">
      <c r="A111" s="669">
        <f>A110+31</f>
        <v>48792</v>
      </c>
      <c r="C111" s="677">
        <f t="shared" si="29"/>
        <v>48792</v>
      </c>
      <c r="D111" s="717" t="str">
        <f t="shared" si="30"/>
        <v/>
      </c>
      <c r="E111" s="668" t="str">
        <f t="shared" si="31"/>
        <v/>
      </c>
      <c r="F111" s="668" t="str">
        <f t="shared" si="32"/>
        <v/>
      </c>
      <c r="G111" s="669" t="str">
        <f t="shared" si="33"/>
        <v/>
      </c>
      <c r="H111" s="669">
        <f t="shared" si="34"/>
        <v>48792</v>
      </c>
      <c r="M111" s="717">
        <v>54</v>
      </c>
      <c r="N111" s="693"/>
      <c r="O111" s="694"/>
      <c r="P111" s="694"/>
      <c r="Q111" s="694"/>
      <c r="R111" s="694"/>
      <c r="S111" s="694"/>
      <c r="T111" s="694"/>
    </row>
    <row r="112" spans="1:20">
      <c r="A112" s="669">
        <f>A111+31</f>
        <v>48823</v>
      </c>
      <c r="C112" s="677">
        <f t="shared" si="29"/>
        <v>48823</v>
      </c>
      <c r="D112" s="717" t="str">
        <f t="shared" si="30"/>
        <v/>
      </c>
      <c r="E112" s="668" t="str">
        <f t="shared" si="31"/>
        <v/>
      </c>
      <c r="F112" s="668" t="str">
        <f t="shared" si="32"/>
        <v/>
      </c>
      <c r="G112" s="669" t="str">
        <f t="shared" si="33"/>
        <v/>
      </c>
      <c r="H112" s="669">
        <f t="shared" si="34"/>
        <v>48823</v>
      </c>
      <c r="M112" s="717">
        <v>55</v>
      </c>
      <c r="N112" s="693"/>
      <c r="O112" s="694"/>
      <c r="P112" s="694"/>
      <c r="Q112" s="694"/>
      <c r="R112" s="694"/>
      <c r="S112" s="694"/>
      <c r="T112" s="694"/>
    </row>
    <row r="113" spans="1:20">
      <c r="A113" s="669">
        <f>A112+30</f>
        <v>48853</v>
      </c>
      <c r="C113" s="677">
        <f t="shared" si="29"/>
        <v>48853</v>
      </c>
      <c r="D113" s="717" t="str">
        <f t="shared" si="30"/>
        <v/>
      </c>
      <c r="E113" s="668" t="str">
        <f t="shared" si="31"/>
        <v/>
      </c>
      <c r="F113" s="668" t="str">
        <f t="shared" si="32"/>
        <v/>
      </c>
      <c r="G113" s="669" t="str">
        <f t="shared" si="33"/>
        <v/>
      </c>
      <c r="H113" s="669">
        <f t="shared" si="34"/>
        <v>48853</v>
      </c>
      <c r="M113" s="717">
        <v>56</v>
      </c>
      <c r="N113" s="693"/>
      <c r="O113" s="694"/>
      <c r="P113" s="694"/>
      <c r="Q113" s="694"/>
      <c r="R113" s="694"/>
      <c r="S113" s="694"/>
      <c r="T113" s="694"/>
    </row>
    <row r="114" spans="1:20">
      <c r="A114" s="669">
        <f>A113+31</f>
        <v>48884</v>
      </c>
      <c r="C114" s="677">
        <f t="shared" si="29"/>
        <v>48884</v>
      </c>
      <c r="D114" s="717" t="str">
        <f t="shared" si="30"/>
        <v/>
      </c>
      <c r="E114" s="668" t="str">
        <f t="shared" si="31"/>
        <v/>
      </c>
      <c r="F114" s="668" t="str">
        <f t="shared" si="32"/>
        <v/>
      </c>
      <c r="G114" s="669" t="str">
        <f t="shared" si="33"/>
        <v/>
      </c>
      <c r="H114" s="669">
        <f t="shared" si="34"/>
        <v>48884</v>
      </c>
      <c r="M114" s="717">
        <v>57</v>
      </c>
      <c r="N114" s="693"/>
      <c r="O114" s="694"/>
      <c r="P114" s="694"/>
      <c r="Q114" s="694"/>
      <c r="R114" s="694"/>
      <c r="S114" s="694"/>
      <c r="T114" s="694"/>
    </row>
    <row r="115" spans="1:20">
      <c r="A115" s="669">
        <f>A114+30</f>
        <v>48914</v>
      </c>
      <c r="C115" s="677">
        <f t="shared" si="29"/>
        <v>48914</v>
      </c>
      <c r="D115" s="717" t="str">
        <f t="shared" si="30"/>
        <v/>
      </c>
      <c r="E115" s="668" t="str">
        <f t="shared" si="31"/>
        <v/>
      </c>
      <c r="F115" s="668" t="str">
        <f t="shared" si="32"/>
        <v/>
      </c>
      <c r="G115" s="669" t="str">
        <f t="shared" si="33"/>
        <v/>
      </c>
      <c r="H115" s="669">
        <f t="shared" si="34"/>
        <v>48914</v>
      </c>
      <c r="M115" s="717">
        <v>58</v>
      </c>
      <c r="N115" s="693"/>
      <c r="O115" s="694"/>
      <c r="P115" s="694"/>
      <c r="Q115" s="694"/>
      <c r="R115" s="694"/>
      <c r="S115" s="694"/>
      <c r="T115" s="694"/>
    </row>
    <row r="116" spans="1:20">
      <c r="A116" s="669">
        <f>A115+31</f>
        <v>48945</v>
      </c>
      <c r="C116" s="677">
        <f t="shared" si="29"/>
        <v>48945</v>
      </c>
      <c r="D116" s="717" t="str">
        <f t="shared" si="30"/>
        <v/>
      </c>
      <c r="E116" s="668" t="str">
        <f t="shared" si="31"/>
        <v/>
      </c>
      <c r="F116" s="668" t="str">
        <f t="shared" si="32"/>
        <v/>
      </c>
      <c r="G116" s="669" t="str">
        <f t="shared" si="33"/>
        <v/>
      </c>
      <c r="H116" s="669">
        <f t="shared" si="34"/>
        <v>48945</v>
      </c>
      <c r="M116" s="717">
        <v>59</v>
      </c>
      <c r="N116" s="693"/>
      <c r="O116" s="694"/>
      <c r="P116" s="694"/>
      <c r="Q116" s="694"/>
      <c r="R116" s="694"/>
      <c r="S116" s="694"/>
      <c r="T116" s="694"/>
    </row>
    <row r="117" spans="1:20">
      <c r="A117" s="669">
        <f>A116+31</f>
        <v>48976</v>
      </c>
      <c r="B117" s="668" t="b">
        <f>ISNA(VLOOKUP(A117,$E$4:$E$13,1,FALSE))</f>
        <v>1</v>
      </c>
      <c r="C117" s="677">
        <f t="shared" si="29"/>
        <v>48976</v>
      </c>
      <c r="D117" s="717" t="str">
        <f t="shared" si="30"/>
        <v/>
      </c>
      <c r="E117" s="668" t="str">
        <f t="shared" si="31"/>
        <v/>
      </c>
      <c r="F117" s="668" t="str">
        <f t="shared" si="32"/>
        <v/>
      </c>
      <c r="G117" s="669" t="str">
        <f t="shared" si="33"/>
        <v/>
      </c>
      <c r="H117" s="669">
        <f t="shared" si="34"/>
        <v>48976</v>
      </c>
      <c r="M117" s="717">
        <v>60</v>
      </c>
      <c r="N117" s="693"/>
      <c r="O117" s="694"/>
      <c r="P117" s="694"/>
      <c r="Q117" s="694"/>
      <c r="R117" s="694"/>
      <c r="S117" s="694"/>
      <c r="T117" s="694"/>
    </row>
    <row r="118" spans="1:20">
      <c r="A118" s="669">
        <f>IF(B117=TRUE,(A117+28),(A117+29))</f>
        <v>49004</v>
      </c>
      <c r="C118" s="677">
        <f t="shared" si="29"/>
        <v>49004</v>
      </c>
      <c r="D118" s="717" t="str">
        <f t="shared" si="30"/>
        <v/>
      </c>
      <c r="E118" s="668" t="str">
        <f t="shared" si="31"/>
        <v/>
      </c>
      <c r="F118" s="668" t="str">
        <f t="shared" si="32"/>
        <v/>
      </c>
      <c r="G118" s="669" t="str">
        <f t="shared" si="33"/>
        <v/>
      </c>
      <c r="H118" s="669">
        <f t="shared" si="34"/>
        <v>49004</v>
      </c>
      <c r="M118" s="717">
        <v>61</v>
      </c>
      <c r="N118" s="693"/>
      <c r="O118" s="694"/>
      <c r="P118" s="694"/>
      <c r="Q118" s="694"/>
      <c r="R118" s="694"/>
      <c r="S118" s="694"/>
      <c r="T118" s="694"/>
    </row>
    <row r="119" spans="1:20">
      <c r="A119" s="669">
        <f>A118+31</f>
        <v>49035</v>
      </c>
      <c r="C119" s="677">
        <f t="shared" si="29"/>
        <v>49035</v>
      </c>
      <c r="D119" s="717" t="str">
        <f t="shared" si="30"/>
        <v/>
      </c>
      <c r="E119" s="668" t="str">
        <f t="shared" si="31"/>
        <v/>
      </c>
      <c r="F119" s="668" t="str">
        <f t="shared" si="32"/>
        <v/>
      </c>
      <c r="G119" s="669" t="str">
        <f t="shared" si="33"/>
        <v/>
      </c>
      <c r="H119" s="669">
        <f t="shared" si="34"/>
        <v>49035</v>
      </c>
      <c r="M119" s="717">
        <v>62</v>
      </c>
      <c r="N119" s="693"/>
      <c r="O119" s="694"/>
      <c r="P119" s="694"/>
      <c r="Q119" s="694"/>
      <c r="R119" s="694"/>
      <c r="S119" s="694"/>
      <c r="T119" s="694"/>
    </row>
    <row r="120" spans="1:20">
      <c r="A120" s="669">
        <f>A119+30</f>
        <v>49065</v>
      </c>
      <c r="C120" s="677">
        <f t="shared" si="29"/>
        <v>49065</v>
      </c>
      <c r="D120" s="717" t="str">
        <f t="shared" si="30"/>
        <v/>
      </c>
      <c r="E120" s="668" t="str">
        <f t="shared" si="31"/>
        <v/>
      </c>
      <c r="F120" s="668" t="str">
        <f t="shared" si="32"/>
        <v/>
      </c>
      <c r="G120" s="669" t="str">
        <f t="shared" si="33"/>
        <v/>
      </c>
      <c r="H120" s="669">
        <f t="shared" si="34"/>
        <v>49065</v>
      </c>
      <c r="M120" s="717">
        <v>63</v>
      </c>
      <c r="N120" s="693"/>
      <c r="O120" s="694"/>
      <c r="P120" s="694"/>
      <c r="Q120" s="694"/>
      <c r="R120" s="694"/>
      <c r="S120" s="694"/>
      <c r="T120" s="694"/>
    </row>
    <row r="121" spans="1:20">
      <c r="A121" s="669">
        <f>A120+31</f>
        <v>49096</v>
      </c>
      <c r="C121" s="677">
        <f t="shared" si="29"/>
        <v>49096</v>
      </c>
      <c r="D121" s="717" t="str">
        <f t="shared" si="30"/>
        <v/>
      </c>
      <c r="E121" s="668" t="str">
        <f t="shared" si="31"/>
        <v/>
      </c>
      <c r="F121" s="668" t="str">
        <f t="shared" si="32"/>
        <v/>
      </c>
      <c r="G121" s="669" t="str">
        <f t="shared" si="33"/>
        <v/>
      </c>
      <c r="H121" s="669">
        <f t="shared" si="34"/>
        <v>49096</v>
      </c>
      <c r="M121" s="717">
        <v>64</v>
      </c>
      <c r="N121" s="693"/>
      <c r="O121" s="694"/>
      <c r="P121" s="694"/>
      <c r="Q121" s="694"/>
      <c r="R121" s="694"/>
      <c r="S121" s="694"/>
      <c r="T121" s="694"/>
    </row>
    <row r="122" spans="1:20">
      <c r="A122" s="669">
        <f>A121+30</f>
        <v>49126</v>
      </c>
      <c r="C122" s="677">
        <f t="shared" si="29"/>
        <v>49126</v>
      </c>
      <c r="D122" s="717" t="str">
        <f t="shared" si="30"/>
        <v/>
      </c>
      <c r="E122" s="668" t="str">
        <f t="shared" si="31"/>
        <v/>
      </c>
      <c r="F122" s="668" t="str">
        <f t="shared" si="32"/>
        <v/>
      </c>
      <c r="G122" s="669" t="str">
        <f t="shared" si="33"/>
        <v/>
      </c>
      <c r="H122" s="669">
        <f t="shared" si="34"/>
        <v>49126</v>
      </c>
      <c r="M122" s="717">
        <v>65</v>
      </c>
      <c r="N122" s="693"/>
      <c r="O122" s="694"/>
      <c r="P122" s="694"/>
      <c r="Q122" s="694"/>
      <c r="R122" s="694"/>
      <c r="S122" s="694"/>
      <c r="T122" s="694"/>
    </row>
    <row r="123" spans="1:20">
      <c r="A123" s="669">
        <f>A122+31</f>
        <v>49157</v>
      </c>
      <c r="C123" s="677">
        <f t="shared" si="29"/>
        <v>49157</v>
      </c>
      <c r="D123" s="717" t="str">
        <f t="shared" si="30"/>
        <v/>
      </c>
      <c r="E123" s="668" t="str">
        <f t="shared" si="31"/>
        <v/>
      </c>
      <c r="F123" s="668" t="str">
        <f t="shared" si="32"/>
        <v/>
      </c>
      <c r="G123" s="669" t="str">
        <f t="shared" si="33"/>
        <v/>
      </c>
      <c r="H123" s="669">
        <f t="shared" si="34"/>
        <v>49157</v>
      </c>
      <c r="M123" s="717">
        <v>66</v>
      </c>
      <c r="N123" s="693"/>
      <c r="O123" s="694"/>
      <c r="P123" s="694"/>
      <c r="Q123" s="694"/>
      <c r="R123" s="694"/>
      <c r="S123" s="694"/>
      <c r="T123" s="694"/>
    </row>
    <row r="124" spans="1:20">
      <c r="A124" s="669">
        <f>A123+31</f>
        <v>49188</v>
      </c>
      <c r="C124" s="677">
        <f t="shared" si="29"/>
        <v>49188</v>
      </c>
      <c r="D124" s="717" t="str">
        <f t="shared" si="30"/>
        <v/>
      </c>
      <c r="E124" s="668" t="str">
        <f t="shared" si="31"/>
        <v/>
      </c>
      <c r="F124" s="668" t="str">
        <f t="shared" si="32"/>
        <v/>
      </c>
      <c r="G124" s="669" t="str">
        <f t="shared" si="33"/>
        <v/>
      </c>
      <c r="H124" s="669">
        <f t="shared" si="34"/>
        <v>49188</v>
      </c>
      <c r="M124" s="717">
        <v>67</v>
      </c>
      <c r="N124" s="693"/>
      <c r="O124" s="694"/>
      <c r="P124" s="694"/>
      <c r="Q124" s="694"/>
      <c r="R124" s="694"/>
      <c r="S124" s="694"/>
      <c r="T124" s="694"/>
    </row>
    <row r="125" spans="1:20">
      <c r="A125" s="669">
        <f>A124+30</f>
        <v>49218</v>
      </c>
      <c r="C125" s="677">
        <f t="shared" si="29"/>
        <v>49218</v>
      </c>
      <c r="D125" s="717" t="str">
        <f t="shared" si="30"/>
        <v/>
      </c>
      <c r="E125" s="668" t="str">
        <f t="shared" si="31"/>
        <v/>
      </c>
      <c r="F125" s="668" t="str">
        <f t="shared" si="32"/>
        <v/>
      </c>
      <c r="G125" s="669" t="str">
        <f t="shared" si="33"/>
        <v/>
      </c>
      <c r="H125" s="669">
        <f t="shared" si="34"/>
        <v>49218</v>
      </c>
      <c r="M125" s="717">
        <v>68</v>
      </c>
      <c r="N125" s="693"/>
      <c r="O125" s="694"/>
      <c r="P125" s="694"/>
      <c r="Q125" s="694"/>
      <c r="R125" s="694"/>
      <c r="S125" s="694"/>
      <c r="T125" s="694"/>
    </row>
    <row r="126" spans="1:20">
      <c r="A126" s="669">
        <f>A125+31</f>
        <v>49249</v>
      </c>
      <c r="C126" s="677">
        <f t="shared" si="29"/>
        <v>49249</v>
      </c>
      <c r="D126" s="717" t="str">
        <f t="shared" si="30"/>
        <v/>
      </c>
      <c r="E126" s="668" t="str">
        <f t="shared" si="31"/>
        <v/>
      </c>
      <c r="F126" s="668" t="str">
        <f t="shared" si="32"/>
        <v/>
      </c>
      <c r="G126" s="669" t="str">
        <f t="shared" si="33"/>
        <v/>
      </c>
      <c r="H126" s="669">
        <f t="shared" si="34"/>
        <v>49249</v>
      </c>
      <c r="M126" s="717">
        <v>69</v>
      </c>
      <c r="N126" s="693"/>
      <c r="O126" s="694"/>
      <c r="P126" s="694"/>
      <c r="Q126" s="694"/>
      <c r="R126" s="694"/>
      <c r="S126" s="694"/>
      <c r="T126" s="694"/>
    </row>
    <row r="127" spans="1:20">
      <c r="A127" s="669">
        <f>A126+30</f>
        <v>49279</v>
      </c>
      <c r="C127" s="677">
        <f t="shared" si="29"/>
        <v>49279</v>
      </c>
      <c r="D127" s="717" t="str">
        <f t="shared" si="30"/>
        <v/>
      </c>
      <c r="E127" s="668" t="str">
        <f t="shared" si="31"/>
        <v/>
      </c>
      <c r="F127" s="668" t="str">
        <f t="shared" si="32"/>
        <v/>
      </c>
      <c r="G127" s="669" t="str">
        <f t="shared" si="33"/>
        <v/>
      </c>
      <c r="H127" s="669">
        <f t="shared" si="34"/>
        <v>49279</v>
      </c>
      <c r="M127" s="717">
        <v>70</v>
      </c>
      <c r="N127" s="693"/>
      <c r="O127" s="694"/>
      <c r="P127" s="694"/>
      <c r="Q127" s="694"/>
      <c r="R127" s="694"/>
      <c r="S127" s="694"/>
      <c r="T127" s="694"/>
    </row>
    <row r="128" spans="1:20">
      <c r="A128" s="669">
        <f>A127+31</f>
        <v>49310</v>
      </c>
      <c r="C128" s="677">
        <f t="shared" si="29"/>
        <v>49310</v>
      </c>
      <c r="D128" s="717" t="str">
        <f t="shared" si="30"/>
        <v/>
      </c>
      <c r="E128" s="668" t="str">
        <f t="shared" si="31"/>
        <v/>
      </c>
      <c r="F128" s="668" t="str">
        <f t="shared" si="32"/>
        <v/>
      </c>
      <c r="G128" s="669" t="str">
        <f t="shared" si="33"/>
        <v/>
      </c>
      <c r="H128" s="669">
        <f t="shared" si="34"/>
        <v>49310</v>
      </c>
      <c r="M128" s="717">
        <v>71</v>
      </c>
      <c r="N128" s="693"/>
      <c r="O128" s="694"/>
      <c r="P128" s="694"/>
      <c r="Q128" s="694"/>
      <c r="R128" s="694"/>
      <c r="S128" s="694"/>
      <c r="T128" s="694"/>
    </row>
    <row r="129" spans="1:20">
      <c r="A129" s="669">
        <f>A128+31</f>
        <v>49341</v>
      </c>
      <c r="B129" s="668" t="b">
        <f>ISNA(VLOOKUP(A129,$E$4:$E$13,1,FALSE))</f>
        <v>1</v>
      </c>
      <c r="C129" s="677">
        <f t="shared" si="29"/>
        <v>49341</v>
      </c>
      <c r="D129" s="717" t="str">
        <f t="shared" si="30"/>
        <v/>
      </c>
      <c r="E129" s="668" t="str">
        <f t="shared" si="31"/>
        <v/>
      </c>
      <c r="F129" s="668" t="str">
        <f t="shared" si="32"/>
        <v/>
      </c>
      <c r="G129" s="669" t="str">
        <f t="shared" si="33"/>
        <v/>
      </c>
      <c r="H129" s="669">
        <f t="shared" si="34"/>
        <v>49341</v>
      </c>
      <c r="M129" s="717">
        <v>72</v>
      </c>
      <c r="N129" s="693"/>
      <c r="O129" s="694"/>
      <c r="P129" s="694"/>
      <c r="Q129" s="694"/>
      <c r="R129" s="694"/>
      <c r="S129" s="694"/>
      <c r="T129" s="694"/>
    </row>
    <row r="130" spans="1:20">
      <c r="A130" s="669">
        <f>IF(B129=TRUE,(A129+28),(A129+29))</f>
        <v>49369</v>
      </c>
      <c r="C130" s="677">
        <f t="shared" si="29"/>
        <v>49369</v>
      </c>
      <c r="D130" s="717" t="str">
        <f t="shared" si="30"/>
        <v/>
      </c>
      <c r="E130" s="668" t="str">
        <f t="shared" si="31"/>
        <v/>
      </c>
      <c r="F130" s="668" t="str">
        <f t="shared" si="32"/>
        <v/>
      </c>
      <c r="G130" s="669" t="str">
        <f t="shared" si="33"/>
        <v/>
      </c>
      <c r="H130" s="669">
        <f t="shared" si="34"/>
        <v>49369</v>
      </c>
      <c r="M130" s="717">
        <v>73</v>
      </c>
      <c r="N130" s="693"/>
      <c r="O130" s="694"/>
      <c r="P130" s="694"/>
      <c r="Q130" s="694"/>
      <c r="R130" s="694"/>
      <c r="S130" s="694"/>
      <c r="T130" s="694"/>
    </row>
    <row r="131" spans="1:20">
      <c r="A131" s="669">
        <f>A130+31</f>
        <v>49400</v>
      </c>
      <c r="C131" s="677">
        <f t="shared" si="29"/>
        <v>49400</v>
      </c>
      <c r="D131" s="717" t="str">
        <f t="shared" si="30"/>
        <v/>
      </c>
      <c r="E131" s="668" t="str">
        <f t="shared" si="31"/>
        <v/>
      </c>
      <c r="F131" s="668" t="str">
        <f t="shared" si="32"/>
        <v/>
      </c>
      <c r="G131" s="669" t="str">
        <f t="shared" si="33"/>
        <v/>
      </c>
      <c r="H131" s="669">
        <f t="shared" si="34"/>
        <v>49400</v>
      </c>
      <c r="M131" s="717">
        <v>74</v>
      </c>
      <c r="N131" s="693"/>
      <c r="O131" s="694"/>
      <c r="P131" s="694"/>
      <c r="Q131" s="694"/>
      <c r="R131" s="694"/>
      <c r="S131" s="694"/>
      <c r="T131" s="694"/>
    </row>
    <row r="132" spans="1:20">
      <c r="A132" s="669">
        <f>A131+30</f>
        <v>49430</v>
      </c>
      <c r="C132" s="677">
        <f t="shared" si="29"/>
        <v>49430</v>
      </c>
      <c r="D132" s="717" t="str">
        <f t="shared" si="30"/>
        <v/>
      </c>
      <c r="E132" s="668" t="str">
        <f t="shared" si="31"/>
        <v/>
      </c>
      <c r="F132" s="668" t="str">
        <f t="shared" si="32"/>
        <v/>
      </c>
      <c r="G132" s="669" t="str">
        <f t="shared" si="33"/>
        <v/>
      </c>
      <c r="H132" s="669">
        <f t="shared" si="34"/>
        <v>49430</v>
      </c>
      <c r="M132" s="717">
        <v>75</v>
      </c>
      <c r="N132" s="693"/>
      <c r="O132" s="694"/>
      <c r="P132" s="694"/>
      <c r="Q132" s="694"/>
      <c r="R132" s="694"/>
      <c r="S132" s="694"/>
      <c r="T132" s="694"/>
    </row>
    <row r="133" spans="1:20">
      <c r="A133" s="669">
        <f>A132+31</f>
        <v>49461</v>
      </c>
      <c r="C133" s="677">
        <f t="shared" si="29"/>
        <v>49461</v>
      </c>
      <c r="D133" s="717" t="str">
        <f t="shared" si="30"/>
        <v/>
      </c>
      <c r="E133" s="668" t="str">
        <f t="shared" si="31"/>
        <v/>
      </c>
      <c r="F133" s="668" t="str">
        <f t="shared" si="32"/>
        <v/>
      </c>
      <c r="G133" s="669" t="str">
        <f t="shared" si="33"/>
        <v/>
      </c>
      <c r="H133" s="669">
        <f t="shared" si="34"/>
        <v>49461</v>
      </c>
      <c r="M133" s="717">
        <v>76</v>
      </c>
      <c r="N133" s="693"/>
      <c r="O133" s="694"/>
      <c r="P133" s="694"/>
      <c r="Q133" s="694"/>
      <c r="R133" s="694"/>
      <c r="S133" s="694"/>
      <c r="T133" s="694"/>
    </row>
    <row r="134" spans="1:20">
      <c r="A134" s="669">
        <f>A133+30</f>
        <v>49491</v>
      </c>
      <c r="C134" s="677">
        <f t="shared" si="29"/>
        <v>49491</v>
      </c>
      <c r="D134" s="717" t="str">
        <f t="shared" si="30"/>
        <v/>
      </c>
      <c r="E134" s="668" t="str">
        <f t="shared" si="31"/>
        <v/>
      </c>
      <c r="F134" s="668" t="str">
        <f t="shared" si="32"/>
        <v/>
      </c>
      <c r="G134" s="669" t="str">
        <f t="shared" si="33"/>
        <v/>
      </c>
      <c r="H134" s="669">
        <f t="shared" si="34"/>
        <v>49491</v>
      </c>
      <c r="M134" s="717">
        <v>77</v>
      </c>
      <c r="N134" s="693"/>
      <c r="O134" s="694"/>
      <c r="P134" s="694"/>
      <c r="Q134" s="694"/>
      <c r="R134" s="694"/>
      <c r="S134" s="694"/>
      <c r="T134" s="694"/>
    </row>
    <row r="135" spans="1:20">
      <c r="A135" s="669">
        <f>A134+31</f>
        <v>49522</v>
      </c>
      <c r="C135" s="677">
        <f t="shared" si="29"/>
        <v>49522</v>
      </c>
      <c r="D135" s="717" t="str">
        <f t="shared" si="30"/>
        <v/>
      </c>
      <c r="E135" s="668" t="str">
        <f t="shared" si="31"/>
        <v/>
      </c>
      <c r="F135" s="668" t="str">
        <f t="shared" si="32"/>
        <v/>
      </c>
      <c r="G135" s="669" t="str">
        <f t="shared" si="33"/>
        <v/>
      </c>
      <c r="H135" s="669">
        <f t="shared" si="34"/>
        <v>49522</v>
      </c>
      <c r="M135" s="717">
        <v>78</v>
      </c>
      <c r="N135" s="693"/>
      <c r="O135" s="694"/>
      <c r="P135" s="694"/>
      <c r="Q135" s="694"/>
      <c r="R135" s="694"/>
      <c r="S135" s="694"/>
      <c r="T135" s="694"/>
    </row>
    <row r="136" spans="1:20">
      <c r="A136" s="669">
        <f>A135+31</f>
        <v>49553</v>
      </c>
      <c r="C136" s="677">
        <f t="shared" si="29"/>
        <v>49553</v>
      </c>
      <c r="D136" s="717" t="str">
        <f t="shared" si="30"/>
        <v/>
      </c>
      <c r="E136" s="668" t="str">
        <f t="shared" si="31"/>
        <v/>
      </c>
      <c r="F136" s="668" t="str">
        <f t="shared" si="32"/>
        <v/>
      </c>
      <c r="G136" s="669" t="str">
        <f t="shared" si="33"/>
        <v/>
      </c>
      <c r="H136" s="669">
        <f t="shared" si="34"/>
        <v>49553</v>
      </c>
      <c r="M136" s="717">
        <v>79</v>
      </c>
      <c r="N136" s="693"/>
      <c r="O136" s="694"/>
      <c r="P136" s="694"/>
      <c r="Q136" s="694"/>
      <c r="R136" s="694"/>
      <c r="S136" s="694"/>
      <c r="T136" s="694"/>
    </row>
    <row r="137" spans="1:20">
      <c r="A137" s="669">
        <f>A136+30</f>
        <v>49583</v>
      </c>
      <c r="C137" s="677">
        <f t="shared" si="29"/>
        <v>49583</v>
      </c>
      <c r="D137" s="717" t="str">
        <f t="shared" si="30"/>
        <v/>
      </c>
      <c r="E137" s="668" t="str">
        <f t="shared" si="31"/>
        <v/>
      </c>
      <c r="F137" s="668" t="str">
        <f t="shared" si="32"/>
        <v/>
      </c>
      <c r="G137" s="669" t="str">
        <f t="shared" si="33"/>
        <v/>
      </c>
      <c r="H137" s="669">
        <f t="shared" si="34"/>
        <v>49583</v>
      </c>
      <c r="M137" s="717">
        <v>80</v>
      </c>
      <c r="N137" s="693"/>
      <c r="O137" s="694"/>
      <c r="P137" s="694"/>
      <c r="Q137" s="694"/>
      <c r="R137" s="694"/>
      <c r="S137" s="694"/>
      <c r="T137" s="694"/>
    </row>
    <row r="138" spans="1:20">
      <c r="A138" s="669">
        <f>A137+31</f>
        <v>49614</v>
      </c>
      <c r="C138" s="677">
        <f t="shared" si="29"/>
        <v>49614</v>
      </c>
      <c r="D138" s="717" t="str">
        <f t="shared" si="30"/>
        <v/>
      </c>
      <c r="E138" s="668" t="str">
        <f t="shared" si="31"/>
        <v/>
      </c>
      <c r="F138" s="668" t="str">
        <f t="shared" si="32"/>
        <v/>
      </c>
      <c r="G138" s="669" t="str">
        <f t="shared" si="33"/>
        <v/>
      </c>
      <c r="H138" s="669">
        <f t="shared" si="34"/>
        <v>49614</v>
      </c>
      <c r="M138" s="717">
        <v>81</v>
      </c>
      <c r="N138" s="693"/>
      <c r="O138" s="694"/>
      <c r="P138" s="694"/>
      <c r="Q138" s="694"/>
      <c r="R138" s="694"/>
      <c r="S138" s="694"/>
      <c r="T138" s="694"/>
    </row>
    <row r="139" spans="1:20">
      <c r="A139" s="669">
        <f>A138+30</f>
        <v>49644</v>
      </c>
      <c r="C139" s="677">
        <f t="shared" si="29"/>
        <v>49644</v>
      </c>
      <c r="D139" s="717" t="str">
        <f t="shared" si="30"/>
        <v/>
      </c>
      <c r="E139" s="668" t="str">
        <f t="shared" si="31"/>
        <v/>
      </c>
      <c r="F139" s="668" t="str">
        <f t="shared" si="32"/>
        <v/>
      </c>
      <c r="G139" s="669" t="str">
        <f t="shared" si="33"/>
        <v/>
      </c>
      <c r="H139" s="669">
        <f t="shared" si="34"/>
        <v>49644</v>
      </c>
      <c r="M139" s="717">
        <v>82</v>
      </c>
      <c r="N139" s="693"/>
      <c r="O139" s="694"/>
      <c r="P139" s="694"/>
      <c r="Q139" s="694"/>
      <c r="R139" s="694"/>
      <c r="S139" s="694"/>
      <c r="T139" s="694"/>
    </row>
    <row r="140" spans="1:20">
      <c r="A140" s="669">
        <f>A139+31</f>
        <v>49675</v>
      </c>
      <c r="C140" s="677">
        <f t="shared" si="29"/>
        <v>49675</v>
      </c>
      <c r="D140" s="717" t="str">
        <f t="shared" si="30"/>
        <v/>
      </c>
      <c r="E140" s="668" t="str">
        <f t="shared" si="31"/>
        <v/>
      </c>
      <c r="F140" s="668" t="str">
        <f t="shared" si="32"/>
        <v/>
      </c>
      <c r="G140" s="669" t="str">
        <f t="shared" si="33"/>
        <v/>
      </c>
      <c r="H140" s="669">
        <f t="shared" si="34"/>
        <v>49675</v>
      </c>
      <c r="M140" s="717">
        <v>83</v>
      </c>
      <c r="N140" s="693"/>
      <c r="O140" s="694"/>
      <c r="P140" s="694"/>
      <c r="Q140" s="694"/>
      <c r="R140" s="694"/>
      <c r="S140" s="694"/>
      <c r="T140" s="694"/>
    </row>
    <row r="141" spans="1:20">
      <c r="A141" s="669">
        <f>A140+31</f>
        <v>49706</v>
      </c>
      <c r="B141" s="668" t="b">
        <f>ISNA(VLOOKUP(A141,$E$4:$E$13,1,FALSE))</f>
        <v>0</v>
      </c>
      <c r="C141" s="677">
        <f t="shared" si="29"/>
        <v>49706</v>
      </c>
      <c r="D141" s="717" t="str">
        <f t="shared" si="30"/>
        <v/>
      </c>
      <c r="E141" s="668" t="str">
        <f t="shared" si="31"/>
        <v/>
      </c>
      <c r="F141" s="668" t="str">
        <f t="shared" si="32"/>
        <v/>
      </c>
      <c r="G141" s="669" t="str">
        <f t="shared" si="33"/>
        <v/>
      </c>
      <c r="H141" s="669">
        <f t="shared" si="34"/>
        <v>49706</v>
      </c>
      <c r="M141" s="717">
        <v>84</v>
      </c>
      <c r="N141" s="693"/>
      <c r="O141" s="694"/>
      <c r="P141" s="694"/>
      <c r="Q141" s="694"/>
      <c r="R141" s="694"/>
      <c r="S141" s="694"/>
      <c r="T141" s="694"/>
    </row>
    <row r="142" spans="1:20">
      <c r="A142" s="669">
        <f>IF(B141=TRUE,(A141+28),(A141+29))</f>
        <v>49735</v>
      </c>
      <c r="C142" s="677">
        <f t="shared" si="29"/>
        <v>49735</v>
      </c>
      <c r="D142" s="717" t="str">
        <f t="shared" si="30"/>
        <v/>
      </c>
      <c r="E142" s="668" t="str">
        <f t="shared" si="31"/>
        <v/>
      </c>
      <c r="F142" s="668" t="str">
        <f t="shared" si="32"/>
        <v/>
      </c>
      <c r="G142" s="669" t="str">
        <f t="shared" si="33"/>
        <v/>
      </c>
      <c r="H142" s="669">
        <f t="shared" si="34"/>
        <v>49735</v>
      </c>
      <c r="M142" s="717">
        <v>85</v>
      </c>
      <c r="N142" s="693"/>
      <c r="O142" s="694"/>
      <c r="P142" s="694"/>
      <c r="Q142" s="694"/>
      <c r="R142" s="694"/>
      <c r="S142" s="694"/>
      <c r="T142" s="694"/>
    </row>
    <row r="143" spans="1:20">
      <c r="A143" s="669">
        <f>A142+31</f>
        <v>49766</v>
      </c>
      <c r="C143" s="677">
        <f t="shared" si="29"/>
        <v>49766</v>
      </c>
      <c r="D143" s="717" t="str">
        <f t="shared" si="30"/>
        <v/>
      </c>
      <c r="E143" s="668" t="str">
        <f t="shared" si="31"/>
        <v/>
      </c>
      <c r="F143" s="668" t="str">
        <f t="shared" si="32"/>
        <v/>
      </c>
      <c r="G143" s="669" t="str">
        <f t="shared" si="33"/>
        <v/>
      </c>
      <c r="H143" s="669">
        <f t="shared" si="34"/>
        <v>49766</v>
      </c>
      <c r="M143" s="717">
        <v>86</v>
      </c>
      <c r="N143" s="693"/>
      <c r="O143" s="694"/>
      <c r="P143" s="694"/>
      <c r="Q143" s="694"/>
      <c r="R143" s="694"/>
      <c r="S143" s="694"/>
      <c r="T143" s="694"/>
    </row>
    <row r="144" spans="1:20">
      <c r="A144" s="669">
        <f>A143+30</f>
        <v>49796</v>
      </c>
      <c r="C144" s="677">
        <f t="shared" si="29"/>
        <v>49796</v>
      </c>
      <c r="D144" s="717" t="str">
        <f t="shared" si="30"/>
        <v/>
      </c>
      <c r="E144" s="668" t="str">
        <f t="shared" si="31"/>
        <v/>
      </c>
      <c r="F144" s="668" t="str">
        <f t="shared" si="32"/>
        <v/>
      </c>
      <c r="G144" s="669" t="str">
        <f t="shared" si="33"/>
        <v/>
      </c>
      <c r="H144" s="669">
        <f t="shared" si="34"/>
        <v>49796</v>
      </c>
      <c r="M144" s="717">
        <v>87</v>
      </c>
      <c r="N144" s="693"/>
      <c r="O144" s="694"/>
      <c r="P144" s="694"/>
      <c r="Q144" s="694"/>
      <c r="R144" s="694"/>
      <c r="S144" s="694"/>
      <c r="T144" s="694"/>
    </row>
    <row r="145" spans="1:20">
      <c r="A145" s="669">
        <f>A144+31</f>
        <v>49827</v>
      </c>
      <c r="C145" s="677">
        <f t="shared" si="29"/>
        <v>49827</v>
      </c>
      <c r="D145" s="717" t="str">
        <f t="shared" si="30"/>
        <v/>
      </c>
      <c r="E145" s="668" t="str">
        <f t="shared" si="31"/>
        <v/>
      </c>
      <c r="F145" s="668" t="str">
        <f t="shared" si="32"/>
        <v/>
      </c>
      <c r="G145" s="669" t="str">
        <f t="shared" si="33"/>
        <v/>
      </c>
      <c r="H145" s="669">
        <f t="shared" si="34"/>
        <v>49827</v>
      </c>
      <c r="M145" s="717">
        <v>88</v>
      </c>
      <c r="N145" s="693"/>
      <c r="O145" s="694"/>
      <c r="P145" s="694"/>
      <c r="Q145" s="694"/>
      <c r="R145" s="694"/>
      <c r="S145" s="694"/>
      <c r="T145" s="694"/>
    </row>
    <row r="146" spans="1:20">
      <c r="A146" s="669">
        <f>A145+30</f>
        <v>49857</v>
      </c>
      <c r="C146" s="677">
        <f t="shared" si="29"/>
        <v>49857</v>
      </c>
      <c r="D146" s="717" t="str">
        <f t="shared" si="30"/>
        <v/>
      </c>
      <c r="E146" s="668" t="str">
        <f t="shared" si="31"/>
        <v/>
      </c>
      <c r="F146" s="668" t="str">
        <f t="shared" si="32"/>
        <v/>
      </c>
      <c r="G146" s="669" t="str">
        <f t="shared" si="33"/>
        <v/>
      </c>
      <c r="H146" s="669">
        <f t="shared" si="34"/>
        <v>49857</v>
      </c>
      <c r="M146" s="717">
        <v>89</v>
      </c>
      <c r="N146" s="693"/>
      <c r="O146" s="694"/>
      <c r="P146" s="694"/>
      <c r="Q146" s="694"/>
      <c r="R146" s="694"/>
      <c r="S146" s="694"/>
      <c r="T146" s="694"/>
    </row>
    <row r="147" spans="1:20">
      <c r="A147" s="669">
        <f>A146+31</f>
        <v>49888</v>
      </c>
      <c r="C147" s="677">
        <f t="shared" si="29"/>
        <v>49888</v>
      </c>
      <c r="D147" s="717" t="str">
        <f t="shared" si="30"/>
        <v/>
      </c>
      <c r="E147" s="668" t="str">
        <f t="shared" si="31"/>
        <v/>
      </c>
      <c r="F147" s="668" t="str">
        <f t="shared" si="32"/>
        <v/>
      </c>
      <c r="G147" s="669" t="str">
        <f t="shared" si="33"/>
        <v/>
      </c>
      <c r="H147" s="669">
        <f t="shared" si="34"/>
        <v>49888</v>
      </c>
      <c r="M147" s="717">
        <v>90</v>
      </c>
      <c r="N147" s="693"/>
      <c r="O147" s="694"/>
      <c r="P147" s="694"/>
      <c r="Q147" s="694"/>
      <c r="R147" s="694"/>
      <c r="S147" s="694"/>
      <c r="T147" s="694"/>
    </row>
    <row r="148" spans="1:20">
      <c r="A148" s="669">
        <f>A147+31</f>
        <v>49919</v>
      </c>
      <c r="C148" s="677">
        <f t="shared" si="29"/>
        <v>49919</v>
      </c>
      <c r="D148" s="717" t="str">
        <f t="shared" si="30"/>
        <v/>
      </c>
      <c r="E148" s="668" t="str">
        <f t="shared" si="31"/>
        <v/>
      </c>
      <c r="F148" s="668" t="str">
        <f t="shared" si="32"/>
        <v/>
      </c>
      <c r="G148" s="669" t="str">
        <f t="shared" si="33"/>
        <v/>
      </c>
      <c r="H148" s="669">
        <f t="shared" si="34"/>
        <v>49919</v>
      </c>
      <c r="M148" s="717">
        <v>91</v>
      </c>
      <c r="N148" s="693"/>
      <c r="O148" s="694"/>
      <c r="P148" s="694"/>
      <c r="Q148" s="694"/>
      <c r="R148" s="694"/>
      <c r="S148" s="694"/>
      <c r="T148" s="694"/>
    </row>
    <row r="149" spans="1:20">
      <c r="A149" s="669">
        <f>A148+30</f>
        <v>49949</v>
      </c>
      <c r="C149" s="677">
        <f t="shared" ref="C149:C212" si="35">A149</f>
        <v>49949</v>
      </c>
      <c r="D149" s="717" t="str">
        <f t="shared" ref="D149:D212" si="36">IF(($P$23-C149)&lt;0,"",($P$23-C149))</f>
        <v/>
      </c>
      <c r="E149" s="668" t="str">
        <f t="shared" ref="E149:E212" si="37">IF(D149="","",RANK(D149,$D$20:$D$215,1))</f>
        <v/>
      </c>
      <c r="F149" s="668" t="str">
        <f t="shared" ref="F149:F212" si="38">IF(A149&lt;$L$37,$K$36,IF(A149&lt;$L$38,$K$37,IF(A149&lt;$L$39,$K$38,IF(A149&lt;$L$40,$K$39,IF(A149&lt;$L$41,$K$40,$K$41)))))</f>
        <v/>
      </c>
      <c r="G149" s="669" t="str">
        <f t="shared" ref="G149:G212" si="39">VLOOKUP(F149,$K$36:$L$41,2,FALSE)</f>
        <v/>
      </c>
      <c r="H149" s="669">
        <f t="shared" ref="H149:H212" si="40">A149</f>
        <v>49949</v>
      </c>
      <c r="M149" s="717">
        <v>92</v>
      </c>
      <c r="N149" s="693"/>
      <c r="O149" s="694"/>
      <c r="P149" s="694"/>
      <c r="Q149" s="694"/>
      <c r="R149" s="694"/>
      <c r="S149" s="694"/>
      <c r="T149" s="694"/>
    </row>
    <row r="150" spans="1:20">
      <c r="A150" s="669">
        <f>A149+31</f>
        <v>49980</v>
      </c>
      <c r="C150" s="677">
        <f t="shared" si="35"/>
        <v>49980</v>
      </c>
      <c r="D150" s="717" t="str">
        <f t="shared" si="36"/>
        <v/>
      </c>
      <c r="E150" s="668" t="str">
        <f t="shared" si="37"/>
        <v/>
      </c>
      <c r="F150" s="668" t="str">
        <f t="shared" si="38"/>
        <v/>
      </c>
      <c r="G150" s="669" t="str">
        <f t="shared" si="39"/>
        <v/>
      </c>
      <c r="H150" s="669">
        <f t="shared" si="40"/>
        <v>49980</v>
      </c>
      <c r="M150" s="717">
        <v>93</v>
      </c>
      <c r="N150" s="693"/>
      <c r="O150" s="694"/>
      <c r="P150" s="694"/>
      <c r="Q150" s="694"/>
      <c r="R150" s="694"/>
      <c r="S150" s="694"/>
      <c r="T150" s="694"/>
    </row>
    <row r="151" spans="1:20">
      <c r="A151" s="669">
        <f>A150+30</f>
        <v>50010</v>
      </c>
      <c r="C151" s="677">
        <f t="shared" si="35"/>
        <v>50010</v>
      </c>
      <c r="D151" s="717" t="str">
        <f t="shared" si="36"/>
        <v/>
      </c>
      <c r="E151" s="668" t="str">
        <f t="shared" si="37"/>
        <v/>
      </c>
      <c r="F151" s="668" t="str">
        <f t="shared" si="38"/>
        <v/>
      </c>
      <c r="G151" s="669" t="str">
        <f t="shared" si="39"/>
        <v/>
      </c>
      <c r="H151" s="669">
        <f t="shared" si="40"/>
        <v>50010</v>
      </c>
      <c r="M151" s="717">
        <v>94</v>
      </c>
      <c r="N151" s="693"/>
      <c r="O151" s="694"/>
      <c r="P151" s="694"/>
      <c r="Q151" s="694"/>
      <c r="R151" s="694"/>
      <c r="S151" s="694"/>
      <c r="T151" s="694"/>
    </row>
    <row r="152" spans="1:20">
      <c r="A152" s="669">
        <f>A151+31</f>
        <v>50041</v>
      </c>
      <c r="C152" s="677">
        <f t="shared" si="35"/>
        <v>50041</v>
      </c>
      <c r="D152" s="717" t="str">
        <f t="shared" si="36"/>
        <v/>
      </c>
      <c r="E152" s="668" t="str">
        <f t="shared" si="37"/>
        <v/>
      </c>
      <c r="F152" s="668" t="str">
        <f t="shared" si="38"/>
        <v/>
      </c>
      <c r="G152" s="669" t="str">
        <f t="shared" si="39"/>
        <v/>
      </c>
      <c r="H152" s="669">
        <f t="shared" si="40"/>
        <v>50041</v>
      </c>
      <c r="M152" s="717">
        <v>95</v>
      </c>
      <c r="N152" s="693"/>
      <c r="O152" s="694"/>
      <c r="P152" s="694"/>
      <c r="Q152" s="694"/>
      <c r="R152" s="694"/>
      <c r="S152" s="694"/>
      <c r="T152" s="694"/>
    </row>
    <row r="153" spans="1:20">
      <c r="A153" s="669">
        <f>A152+31</f>
        <v>50072</v>
      </c>
      <c r="B153" s="668" t="b">
        <f>ISNA(VLOOKUP(A153,$E$4:$E$13,1,FALSE))</f>
        <v>1</v>
      </c>
      <c r="C153" s="677">
        <f t="shared" si="35"/>
        <v>50072</v>
      </c>
      <c r="D153" s="717" t="str">
        <f t="shared" si="36"/>
        <v/>
      </c>
      <c r="E153" s="668" t="str">
        <f t="shared" si="37"/>
        <v/>
      </c>
      <c r="F153" s="668" t="str">
        <f t="shared" si="38"/>
        <v/>
      </c>
      <c r="G153" s="669" t="str">
        <f t="shared" si="39"/>
        <v/>
      </c>
      <c r="H153" s="669">
        <f t="shared" si="40"/>
        <v>50072</v>
      </c>
      <c r="M153" s="717">
        <v>96</v>
      </c>
      <c r="N153" s="693"/>
      <c r="O153" s="694"/>
      <c r="P153" s="694"/>
      <c r="Q153" s="694"/>
      <c r="R153" s="694"/>
      <c r="S153" s="694"/>
      <c r="T153" s="694"/>
    </row>
    <row r="154" spans="1:20">
      <c r="A154" s="669">
        <f>IF(B153=TRUE,(A153+28),(A153+29))</f>
        <v>50100</v>
      </c>
      <c r="C154" s="677">
        <f t="shared" si="35"/>
        <v>50100</v>
      </c>
      <c r="D154" s="717" t="str">
        <f t="shared" si="36"/>
        <v/>
      </c>
      <c r="E154" s="668" t="str">
        <f t="shared" si="37"/>
        <v/>
      </c>
      <c r="F154" s="668" t="str">
        <f t="shared" si="38"/>
        <v/>
      </c>
      <c r="G154" s="669" t="str">
        <f t="shared" si="39"/>
        <v/>
      </c>
      <c r="H154" s="669">
        <f t="shared" si="40"/>
        <v>50100</v>
      </c>
      <c r="M154" s="717">
        <v>97</v>
      </c>
      <c r="N154" s="693"/>
      <c r="O154" s="694"/>
      <c r="P154" s="694"/>
      <c r="Q154" s="694"/>
      <c r="R154" s="694"/>
      <c r="S154" s="694"/>
      <c r="T154" s="694"/>
    </row>
    <row r="155" spans="1:20">
      <c r="A155" s="669">
        <f>A154+31</f>
        <v>50131</v>
      </c>
      <c r="C155" s="677">
        <f t="shared" si="35"/>
        <v>50131</v>
      </c>
      <c r="D155" s="717" t="str">
        <f t="shared" si="36"/>
        <v/>
      </c>
      <c r="E155" s="668" t="str">
        <f t="shared" si="37"/>
        <v/>
      </c>
      <c r="F155" s="668" t="str">
        <f t="shared" si="38"/>
        <v/>
      </c>
      <c r="G155" s="669" t="str">
        <f t="shared" si="39"/>
        <v/>
      </c>
      <c r="H155" s="669">
        <f t="shared" si="40"/>
        <v>50131</v>
      </c>
      <c r="M155" s="717">
        <v>98</v>
      </c>
      <c r="N155" s="693"/>
      <c r="O155" s="694"/>
      <c r="P155" s="694"/>
      <c r="Q155" s="694"/>
      <c r="R155" s="694"/>
      <c r="S155" s="694"/>
      <c r="T155" s="694"/>
    </row>
    <row r="156" spans="1:20">
      <c r="A156" s="669">
        <f>A155+30</f>
        <v>50161</v>
      </c>
      <c r="C156" s="677">
        <f t="shared" si="35"/>
        <v>50161</v>
      </c>
      <c r="D156" s="717" t="str">
        <f t="shared" si="36"/>
        <v/>
      </c>
      <c r="E156" s="668" t="str">
        <f t="shared" si="37"/>
        <v/>
      </c>
      <c r="F156" s="668" t="str">
        <f t="shared" si="38"/>
        <v/>
      </c>
      <c r="G156" s="669" t="str">
        <f t="shared" si="39"/>
        <v/>
      </c>
      <c r="H156" s="669">
        <f t="shared" si="40"/>
        <v>50161</v>
      </c>
      <c r="M156" s="717">
        <v>99</v>
      </c>
      <c r="N156" s="693"/>
      <c r="O156" s="694"/>
      <c r="P156" s="694"/>
      <c r="Q156" s="694"/>
      <c r="R156" s="694"/>
      <c r="S156" s="694"/>
      <c r="T156" s="694"/>
    </row>
    <row r="157" spans="1:20">
      <c r="A157" s="669">
        <f>A156+31</f>
        <v>50192</v>
      </c>
      <c r="C157" s="677">
        <f t="shared" si="35"/>
        <v>50192</v>
      </c>
      <c r="D157" s="717" t="str">
        <f t="shared" si="36"/>
        <v/>
      </c>
      <c r="E157" s="668" t="str">
        <f t="shared" si="37"/>
        <v/>
      </c>
      <c r="F157" s="668" t="str">
        <f t="shared" si="38"/>
        <v/>
      </c>
      <c r="G157" s="669" t="str">
        <f t="shared" si="39"/>
        <v/>
      </c>
      <c r="H157" s="669">
        <f t="shared" si="40"/>
        <v>50192</v>
      </c>
      <c r="M157" s="717">
        <v>100</v>
      </c>
      <c r="N157" s="693"/>
      <c r="O157" s="694"/>
      <c r="P157" s="694"/>
      <c r="Q157" s="694"/>
      <c r="R157" s="694"/>
      <c r="S157" s="694"/>
      <c r="T157" s="694"/>
    </row>
    <row r="158" spans="1:20">
      <c r="A158" s="669">
        <f>A157+30</f>
        <v>50222</v>
      </c>
      <c r="C158" s="677">
        <f t="shared" si="35"/>
        <v>50222</v>
      </c>
      <c r="D158" s="717" t="str">
        <f t="shared" si="36"/>
        <v/>
      </c>
      <c r="E158" s="668" t="str">
        <f t="shared" si="37"/>
        <v/>
      </c>
      <c r="F158" s="668" t="str">
        <f t="shared" si="38"/>
        <v/>
      </c>
      <c r="G158" s="669" t="str">
        <f t="shared" si="39"/>
        <v/>
      </c>
      <c r="H158" s="669">
        <f t="shared" si="40"/>
        <v>50222</v>
      </c>
      <c r="M158" s="717">
        <v>101</v>
      </c>
      <c r="N158" s="693"/>
      <c r="O158" s="694"/>
      <c r="P158" s="694"/>
      <c r="Q158" s="694"/>
      <c r="R158" s="694"/>
      <c r="S158" s="694"/>
      <c r="T158" s="694"/>
    </row>
    <row r="159" spans="1:20">
      <c r="A159" s="669">
        <f>A158+31</f>
        <v>50253</v>
      </c>
      <c r="C159" s="677">
        <f t="shared" si="35"/>
        <v>50253</v>
      </c>
      <c r="D159" s="717" t="str">
        <f t="shared" si="36"/>
        <v/>
      </c>
      <c r="E159" s="668" t="str">
        <f t="shared" si="37"/>
        <v/>
      </c>
      <c r="F159" s="668" t="str">
        <f t="shared" si="38"/>
        <v/>
      </c>
      <c r="G159" s="669" t="str">
        <f t="shared" si="39"/>
        <v/>
      </c>
      <c r="H159" s="669">
        <f t="shared" si="40"/>
        <v>50253</v>
      </c>
      <c r="M159" s="717">
        <v>102</v>
      </c>
      <c r="N159" s="693"/>
      <c r="O159" s="694"/>
      <c r="P159" s="694"/>
      <c r="Q159" s="694"/>
      <c r="R159" s="694"/>
      <c r="S159" s="694"/>
      <c r="T159" s="694"/>
    </row>
    <row r="160" spans="1:20">
      <c r="A160" s="669">
        <f>A159+31</f>
        <v>50284</v>
      </c>
      <c r="C160" s="677">
        <f t="shared" si="35"/>
        <v>50284</v>
      </c>
      <c r="D160" s="717" t="str">
        <f t="shared" si="36"/>
        <v/>
      </c>
      <c r="E160" s="668" t="str">
        <f t="shared" si="37"/>
        <v/>
      </c>
      <c r="F160" s="668" t="str">
        <f t="shared" si="38"/>
        <v/>
      </c>
      <c r="G160" s="669" t="str">
        <f t="shared" si="39"/>
        <v/>
      </c>
      <c r="H160" s="669">
        <f t="shared" si="40"/>
        <v>50284</v>
      </c>
      <c r="M160" s="717">
        <v>103</v>
      </c>
      <c r="N160" s="693"/>
      <c r="O160" s="694"/>
      <c r="P160" s="694"/>
      <c r="Q160" s="694"/>
      <c r="R160" s="694"/>
      <c r="S160" s="694"/>
      <c r="T160" s="694"/>
    </row>
    <row r="161" spans="1:20">
      <c r="A161" s="669">
        <f>A160+30</f>
        <v>50314</v>
      </c>
      <c r="C161" s="677">
        <f t="shared" si="35"/>
        <v>50314</v>
      </c>
      <c r="D161" s="717" t="str">
        <f t="shared" si="36"/>
        <v/>
      </c>
      <c r="E161" s="668" t="str">
        <f t="shared" si="37"/>
        <v/>
      </c>
      <c r="F161" s="668" t="str">
        <f t="shared" si="38"/>
        <v/>
      </c>
      <c r="G161" s="669" t="str">
        <f t="shared" si="39"/>
        <v/>
      </c>
      <c r="H161" s="669">
        <f t="shared" si="40"/>
        <v>50314</v>
      </c>
      <c r="M161" s="717">
        <v>104</v>
      </c>
      <c r="N161" s="693"/>
      <c r="O161" s="694"/>
      <c r="P161" s="694"/>
      <c r="Q161" s="694"/>
      <c r="R161" s="694"/>
      <c r="S161" s="694"/>
      <c r="T161" s="694"/>
    </row>
    <row r="162" spans="1:20">
      <c r="A162" s="669">
        <f>A161+31</f>
        <v>50345</v>
      </c>
      <c r="C162" s="677">
        <f t="shared" si="35"/>
        <v>50345</v>
      </c>
      <c r="D162" s="717" t="str">
        <f t="shared" si="36"/>
        <v/>
      </c>
      <c r="E162" s="668" t="str">
        <f t="shared" si="37"/>
        <v/>
      </c>
      <c r="F162" s="668" t="str">
        <f t="shared" si="38"/>
        <v/>
      </c>
      <c r="G162" s="669" t="str">
        <f t="shared" si="39"/>
        <v/>
      </c>
      <c r="H162" s="669">
        <f t="shared" si="40"/>
        <v>50345</v>
      </c>
      <c r="M162" s="717">
        <v>105</v>
      </c>
      <c r="N162" s="693"/>
      <c r="O162" s="694"/>
      <c r="P162" s="694"/>
      <c r="Q162" s="694"/>
      <c r="R162" s="694"/>
      <c r="S162" s="694"/>
      <c r="T162" s="694"/>
    </row>
    <row r="163" spans="1:20">
      <c r="A163" s="669">
        <f>A162+30</f>
        <v>50375</v>
      </c>
      <c r="C163" s="677">
        <f t="shared" si="35"/>
        <v>50375</v>
      </c>
      <c r="D163" s="717" t="str">
        <f t="shared" si="36"/>
        <v/>
      </c>
      <c r="E163" s="668" t="str">
        <f t="shared" si="37"/>
        <v/>
      </c>
      <c r="F163" s="668" t="str">
        <f t="shared" si="38"/>
        <v/>
      </c>
      <c r="G163" s="669" t="str">
        <f t="shared" si="39"/>
        <v/>
      </c>
      <c r="H163" s="669">
        <f t="shared" si="40"/>
        <v>50375</v>
      </c>
      <c r="M163" s="717">
        <v>106</v>
      </c>
      <c r="N163" s="693"/>
      <c r="O163" s="694"/>
      <c r="P163" s="694"/>
      <c r="Q163" s="694"/>
      <c r="R163" s="694"/>
      <c r="S163" s="694"/>
      <c r="T163" s="694"/>
    </row>
    <row r="164" spans="1:20">
      <c r="A164" s="669">
        <f>A163+31</f>
        <v>50406</v>
      </c>
      <c r="C164" s="677">
        <f t="shared" si="35"/>
        <v>50406</v>
      </c>
      <c r="D164" s="717" t="str">
        <f t="shared" si="36"/>
        <v/>
      </c>
      <c r="E164" s="668" t="str">
        <f t="shared" si="37"/>
        <v/>
      </c>
      <c r="F164" s="668" t="str">
        <f t="shared" si="38"/>
        <v/>
      </c>
      <c r="G164" s="669" t="str">
        <f t="shared" si="39"/>
        <v/>
      </c>
      <c r="H164" s="669">
        <f t="shared" si="40"/>
        <v>50406</v>
      </c>
      <c r="M164" s="717">
        <v>107</v>
      </c>
      <c r="N164" s="693"/>
      <c r="O164" s="694"/>
      <c r="P164" s="694"/>
      <c r="Q164" s="694"/>
      <c r="R164" s="694"/>
      <c r="S164" s="694"/>
      <c r="T164" s="694"/>
    </row>
    <row r="165" spans="1:20">
      <c r="A165" s="669">
        <f>A164+31</f>
        <v>50437</v>
      </c>
      <c r="B165" s="668" t="b">
        <f>ISNA(VLOOKUP(A165,$E$4:$E$13,1,FALSE))</f>
        <v>1</v>
      </c>
      <c r="C165" s="677">
        <f t="shared" si="35"/>
        <v>50437</v>
      </c>
      <c r="D165" s="717" t="str">
        <f t="shared" si="36"/>
        <v/>
      </c>
      <c r="E165" s="668" t="str">
        <f t="shared" si="37"/>
        <v/>
      </c>
      <c r="F165" s="668" t="str">
        <f t="shared" si="38"/>
        <v/>
      </c>
      <c r="G165" s="669" t="str">
        <f t="shared" si="39"/>
        <v/>
      </c>
      <c r="H165" s="669">
        <f t="shared" si="40"/>
        <v>50437</v>
      </c>
      <c r="M165" s="717">
        <v>108</v>
      </c>
      <c r="N165" s="693"/>
      <c r="O165" s="694"/>
      <c r="P165" s="694"/>
      <c r="Q165" s="694"/>
      <c r="R165" s="694"/>
      <c r="S165" s="694"/>
      <c r="T165" s="694"/>
    </row>
    <row r="166" spans="1:20">
      <c r="A166" s="669">
        <f>IF(B165=TRUE,(A165+28),(A165+29))</f>
        <v>50465</v>
      </c>
      <c r="C166" s="677">
        <f t="shared" si="35"/>
        <v>50465</v>
      </c>
      <c r="D166" s="717" t="str">
        <f t="shared" si="36"/>
        <v/>
      </c>
      <c r="E166" s="668" t="str">
        <f t="shared" si="37"/>
        <v/>
      </c>
      <c r="F166" s="668" t="str">
        <f t="shared" si="38"/>
        <v/>
      </c>
      <c r="G166" s="669" t="str">
        <f t="shared" si="39"/>
        <v/>
      </c>
      <c r="H166" s="669">
        <f t="shared" si="40"/>
        <v>50465</v>
      </c>
      <c r="M166" s="717">
        <v>109</v>
      </c>
      <c r="N166" s="693"/>
      <c r="O166" s="694"/>
      <c r="P166" s="694"/>
      <c r="Q166" s="694"/>
      <c r="R166" s="694"/>
      <c r="S166" s="694"/>
      <c r="T166" s="694"/>
    </row>
    <row r="167" spans="1:20">
      <c r="A167" s="669">
        <f>A166+31</f>
        <v>50496</v>
      </c>
      <c r="C167" s="677">
        <f t="shared" si="35"/>
        <v>50496</v>
      </c>
      <c r="D167" s="717" t="str">
        <f t="shared" si="36"/>
        <v/>
      </c>
      <c r="E167" s="668" t="str">
        <f t="shared" si="37"/>
        <v/>
      </c>
      <c r="F167" s="668" t="str">
        <f t="shared" si="38"/>
        <v/>
      </c>
      <c r="G167" s="669" t="str">
        <f t="shared" si="39"/>
        <v/>
      </c>
      <c r="H167" s="669">
        <f t="shared" si="40"/>
        <v>50496</v>
      </c>
      <c r="M167" s="717">
        <v>110</v>
      </c>
      <c r="N167" s="693"/>
      <c r="O167" s="694"/>
      <c r="P167" s="694"/>
      <c r="Q167" s="694"/>
      <c r="R167" s="694"/>
      <c r="S167" s="694"/>
      <c r="T167" s="694"/>
    </row>
    <row r="168" spans="1:20">
      <c r="A168" s="669">
        <f>A167+30</f>
        <v>50526</v>
      </c>
      <c r="C168" s="677">
        <f t="shared" si="35"/>
        <v>50526</v>
      </c>
      <c r="D168" s="717" t="str">
        <f t="shared" si="36"/>
        <v/>
      </c>
      <c r="E168" s="668" t="str">
        <f t="shared" si="37"/>
        <v/>
      </c>
      <c r="F168" s="668" t="str">
        <f t="shared" si="38"/>
        <v/>
      </c>
      <c r="G168" s="669" t="str">
        <f t="shared" si="39"/>
        <v/>
      </c>
      <c r="H168" s="669">
        <f t="shared" si="40"/>
        <v>50526</v>
      </c>
      <c r="M168" s="717">
        <v>111</v>
      </c>
      <c r="N168" s="693"/>
      <c r="O168" s="694"/>
      <c r="P168" s="694"/>
      <c r="Q168" s="694"/>
      <c r="R168" s="694"/>
      <c r="S168" s="694"/>
      <c r="T168" s="694"/>
    </row>
    <row r="169" spans="1:20">
      <c r="A169" s="669">
        <f>A168+31</f>
        <v>50557</v>
      </c>
      <c r="C169" s="677">
        <f t="shared" si="35"/>
        <v>50557</v>
      </c>
      <c r="D169" s="717" t="str">
        <f t="shared" si="36"/>
        <v/>
      </c>
      <c r="E169" s="668" t="str">
        <f t="shared" si="37"/>
        <v/>
      </c>
      <c r="F169" s="668" t="str">
        <f t="shared" si="38"/>
        <v/>
      </c>
      <c r="G169" s="669" t="str">
        <f t="shared" si="39"/>
        <v/>
      </c>
      <c r="H169" s="669">
        <f t="shared" si="40"/>
        <v>50557</v>
      </c>
      <c r="M169" s="717">
        <v>112</v>
      </c>
      <c r="N169" s="693"/>
      <c r="O169" s="694"/>
      <c r="P169" s="694"/>
      <c r="Q169" s="694"/>
      <c r="R169" s="694"/>
      <c r="S169" s="694"/>
      <c r="T169" s="694"/>
    </row>
    <row r="170" spans="1:20">
      <c r="A170" s="669">
        <f>A169+30</f>
        <v>50587</v>
      </c>
      <c r="C170" s="677">
        <f t="shared" si="35"/>
        <v>50587</v>
      </c>
      <c r="D170" s="717" t="str">
        <f t="shared" si="36"/>
        <v/>
      </c>
      <c r="E170" s="668" t="str">
        <f t="shared" si="37"/>
        <v/>
      </c>
      <c r="F170" s="668" t="str">
        <f t="shared" si="38"/>
        <v/>
      </c>
      <c r="G170" s="669" t="str">
        <f t="shared" si="39"/>
        <v/>
      </c>
      <c r="H170" s="669">
        <f t="shared" si="40"/>
        <v>50587</v>
      </c>
      <c r="M170" s="717">
        <v>113</v>
      </c>
      <c r="N170" s="693"/>
      <c r="O170" s="694"/>
      <c r="P170" s="694"/>
      <c r="Q170" s="694"/>
      <c r="R170" s="694"/>
      <c r="S170" s="694"/>
      <c r="T170" s="694"/>
    </row>
    <row r="171" spans="1:20">
      <c r="A171" s="669">
        <f>A170+31</f>
        <v>50618</v>
      </c>
      <c r="C171" s="677">
        <f t="shared" si="35"/>
        <v>50618</v>
      </c>
      <c r="D171" s="717" t="str">
        <f t="shared" si="36"/>
        <v/>
      </c>
      <c r="E171" s="668" t="str">
        <f t="shared" si="37"/>
        <v/>
      </c>
      <c r="F171" s="668" t="str">
        <f t="shared" si="38"/>
        <v/>
      </c>
      <c r="G171" s="669" t="str">
        <f t="shared" si="39"/>
        <v/>
      </c>
      <c r="H171" s="669">
        <f t="shared" si="40"/>
        <v>50618</v>
      </c>
      <c r="M171" s="717">
        <v>114</v>
      </c>
      <c r="N171" s="693"/>
      <c r="O171" s="694"/>
      <c r="P171" s="694"/>
      <c r="Q171" s="694"/>
      <c r="R171" s="694"/>
      <c r="S171" s="694"/>
      <c r="T171" s="694"/>
    </row>
    <row r="172" spans="1:20">
      <c r="A172" s="669">
        <f>A171+31</f>
        <v>50649</v>
      </c>
      <c r="C172" s="677">
        <f t="shared" si="35"/>
        <v>50649</v>
      </c>
      <c r="D172" s="717" t="str">
        <f t="shared" si="36"/>
        <v/>
      </c>
      <c r="E172" s="668" t="str">
        <f t="shared" si="37"/>
        <v/>
      </c>
      <c r="F172" s="668" t="str">
        <f t="shared" si="38"/>
        <v/>
      </c>
      <c r="G172" s="669" t="str">
        <f t="shared" si="39"/>
        <v/>
      </c>
      <c r="H172" s="669">
        <f t="shared" si="40"/>
        <v>50649</v>
      </c>
      <c r="M172" s="717">
        <v>115</v>
      </c>
      <c r="N172" s="693"/>
      <c r="O172" s="694"/>
      <c r="P172" s="694"/>
      <c r="Q172" s="694"/>
      <c r="R172" s="694"/>
      <c r="S172" s="694"/>
      <c r="T172" s="694"/>
    </row>
    <row r="173" spans="1:20">
      <c r="A173" s="669">
        <f>A172+30</f>
        <v>50679</v>
      </c>
      <c r="C173" s="677">
        <f t="shared" si="35"/>
        <v>50679</v>
      </c>
      <c r="D173" s="717" t="str">
        <f t="shared" si="36"/>
        <v/>
      </c>
      <c r="E173" s="668" t="str">
        <f t="shared" si="37"/>
        <v/>
      </c>
      <c r="F173" s="668" t="str">
        <f t="shared" si="38"/>
        <v/>
      </c>
      <c r="G173" s="669" t="str">
        <f t="shared" si="39"/>
        <v/>
      </c>
      <c r="H173" s="669">
        <f t="shared" si="40"/>
        <v>50679</v>
      </c>
      <c r="M173" s="717">
        <v>116</v>
      </c>
      <c r="N173" s="693"/>
      <c r="O173" s="694"/>
      <c r="P173" s="694"/>
      <c r="Q173" s="694"/>
      <c r="R173" s="694"/>
      <c r="S173" s="694"/>
      <c r="T173" s="694"/>
    </row>
    <row r="174" spans="1:20">
      <c r="A174" s="669">
        <f>A173+31</f>
        <v>50710</v>
      </c>
      <c r="C174" s="677">
        <f t="shared" si="35"/>
        <v>50710</v>
      </c>
      <c r="D174" s="717" t="str">
        <f t="shared" si="36"/>
        <v/>
      </c>
      <c r="E174" s="668" t="str">
        <f t="shared" si="37"/>
        <v/>
      </c>
      <c r="F174" s="668" t="str">
        <f t="shared" si="38"/>
        <v/>
      </c>
      <c r="G174" s="669" t="str">
        <f t="shared" si="39"/>
        <v/>
      </c>
      <c r="H174" s="669">
        <f t="shared" si="40"/>
        <v>50710</v>
      </c>
      <c r="M174" s="717">
        <v>117</v>
      </c>
      <c r="N174" s="693"/>
      <c r="O174" s="694"/>
      <c r="P174" s="694"/>
      <c r="Q174" s="694"/>
      <c r="R174" s="694"/>
      <c r="S174" s="694"/>
      <c r="T174" s="694"/>
    </row>
    <row r="175" spans="1:20">
      <c r="A175" s="669">
        <f>A174+30</f>
        <v>50740</v>
      </c>
      <c r="C175" s="677">
        <f t="shared" si="35"/>
        <v>50740</v>
      </c>
      <c r="D175" s="717" t="str">
        <f t="shared" si="36"/>
        <v/>
      </c>
      <c r="E175" s="668" t="str">
        <f t="shared" si="37"/>
        <v/>
      </c>
      <c r="F175" s="668" t="str">
        <f t="shared" si="38"/>
        <v/>
      </c>
      <c r="G175" s="669" t="str">
        <f t="shared" si="39"/>
        <v/>
      </c>
      <c r="H175" s="669">
        <f t="shared" si="40"/>
        <v>50740</v>
      </c>
      <c r="M175" s="717">
        <v>118</v>
      </c>
      <c r="N175" s="693"/>
      <c r="O175" s="694"/>
      <c r="P175" s="694"/>
      <c r="Q175" s="694"/>
      <c r="R175" s="694"/>
      <c r="S175" s="694"/>
      <c r="T175" s="694"/>
    </row>
    <row r="176" spans="1:20">
      <c r="A176" s="669">
        <f>A175+31</f>
        <v>50771</v>
      </c>
      <c r="C176" s="677">
        <f t="shared" si="35"/>
        <v>50771</v>
      </c>
      <c r="D176" s="717" t="str">
        <f t="shared" si="36"/>
        <v/>
      </c>
      <c r="E176" s="668" t="str">
        <f t="shared" si="37"/>
        <v/>
      </c>
      <c r="F176" s="668" t="str">
        <f t="shared" si="38"/>
        <v/>
      </c>
      <c r="G176" s="669" t="str">
        <f t="shared" si="39"/>
        <v/>
      </c>
      <c r="H176" s="669">
        <f t="shared" si="40"/>
        <v>50771</v>
      </c>
      <c r="M176" s="717">
        <v>119</v>
      </c>
      <c r="N176" s="693"/>
      <c r="O176" s="694"/>
      <c r="P176" s="694"/>
      <c r="Q176" s="694"/>
      <c r="R176" s="694"/>
      <c r="S176" s="694"/>
      <c r="T176" s="694"/>
    </row>
    <row r="177" spans="1:20">
      <c r="A177" s="669">
        <f>A176+31</f>
        <v>50802</v>
      </c>
      <c r="B177" s="668" t="b">
        <f>ISNA(VLOOKUP(A177,$E$4:$E$13,1,FALSE))</f>
        <v>1</v>
      </c>
      <c r="C177" s="677">
        <f t="shared" si="35"/>
        <v>50802</v>
      </c>
      <c r="D177" s="717" t="str">
        <f t="shared" si="36"/>
        <v/>
      </c>
      <c r="E177" s="668" t="str">
        <f t="shared" si="37"/>
        <v/>
      </c>
      <c r="F177" s="668" t="str">
        <f t="shared" si="38"/>
        <v/>
      </c>
      <c r="G177" s="669" t="str">
        <f t="shared" si="39"/>
        <v/>
      </c>
      <c r="H177" s="669">
        <f t="shared" si="40"/>
        <v>50802</v>
      </c>
      <c r="M177" s="717">
        <v>120</v>
      </c>
      <c r="N177" s="693"/>
      <c r="O177" s="694"/>
      <c r="P177" s="694"/>
      <c r="Q177" s="694"/>
      <c r="R177" s="694"/>
      <c r="S177" s="694"/>
      <c r="T177" s="694"/>
    </row>
    <row r="178" spans="1:20">
      <c r="A178" s="669">
        <f>IF(B177=TRUE,(A177+28),(A177+29))</f>
        <v>50830</v>
      </c>
      <c r="C178" s="677">
        <f t="shared" si="35"/>
        <v>50830</v>
      </c>
      <c r="D178" s="717" t="str">
        <f t="shared" si="36"/>
        <v/>
      </c>
      <c r="E178" s="668" t="str">
        <f t="shared" si="37"/>
        <v/>
      </c>
      <c r="F178" s="668" t="str">
        <f t="shared" si="38"/>
        <v/>
      </c>
      <c r="G178" s="669" t="str">
        <f t="shared" si="39"/>
        <v/>
      </c>
      <c r="H178" s="669">
        <f t="shared" si="40"/>
        <v>50830</v>
      </c>
      <c r="M178" s="717">
        <v>121</v>
      </c>
      <c r="N178" s="693"/>
      <c r="O178" s="694"/>
      <c r="P178" s="694"/>
      <c r="Q178" s="694"/>
      <c r="R178" s="694"/>
      <c r="S178" s="694"/>
      <c r="T178" s="694"/>
    </row>
    <row r="179" spans="1:20">
      <c r="A179" s="669">
        <f>A178+31</f>
        <v>50861</v>
      </c>
      <c r="C179" s="677">
        <f t="shared" si="35"/>
        <v>50861</v>
      </c>
      <c r="D179" s="717" t="str">
        <f t="shared" si="36"/>
        <v/>
      </c>
      <c r="E179" s="668" t="str">
        <f t="shared" si="37"/>
        <v/>
      </c>
      <c r="F179" s="668" t="str">
        <f t="shared" si="38"/>
        <v/>
      </c>
      <c r="G179" s="669" t="str">
        <f t="shared" si="39"/>
        <v/>
      </c>
      <c r="H179" s="669">
        <f t="shared" si="40"/>
        <v>50861</v>
      </c>
      <c r="M179" s="717">
        <v>122</v>
      </c>
      <c r="N179" s="693"/>
      <c r="O179" s="694"/>
      <c r="P179" s="694"/>
      <c r="Q179" s="694"/>
      <c r="R179" s="694"/>
      <c r="S179" s="694"/>
      <c r="T179" s="694"/>
    </row>
    <row r="180" spans="1:20">
      <c r="A180" s="669">
        <f>A179+30</f>
        <v>50891</v>
      </c>
      <c r="C180" s="677">
        <f t="shared" si="35"/>
        <v>50891</v>
      </c>
      <c r="D180" s="717" t="str">
        <f t="shared" si="36"/>
        <v/>
      </c>
      <c r="E180" s="668" t="str">
        <f t="shared" si="37"/>
        <v/>
      </c>
      <c r="F180" s="668" t="str">
        <f t="shared" si="38"/>
        <v/>
      </c>
      <c r="G180" s="669" t="str">
        <f t="shared" si="39"/>
        <v/>
      </c>
      <c r="H180" s="669">
        <f t="shared" si="40"/>
        <v>50891</v>
      </c>
      <c r="M180" s="717">
        <v>123</v>
      </c>
      <c r="N180" s="693"/>
      <c r="O180" s="694"/>
      <c r="P180" s="694"/>
      <c r="Q180" s="694"/>
      <c r="R180" s="694"/>
      <c r="S180" s="694"/>
      <c r="T180" s="694"/>
    </row>
    <row r="181" spans="1:20">
      <c r="A181" s="669">
        <f>A180+31</f>
        <v>50922</v>
      </c>
      <c r="C181" s="677">
        <f t="shared" si="35"/>
        <v>50922</v>
      </c>
      <c r="D181" s="717" t="str">
        <f t="shared" si="36"/>
        <v/>
      </c>
      <c r="E181" s="668" t="str">
        <f t="shared" si="37"/>
        <v/>
      </c>
      <c r="F181" s="668" t="str">
        <f t="shared" si="38"/>
        <v/>
      </c>
      <c r="G181" s="669" t="str">
        <f t="shared" si="39"/>
        <v/>
      </c>
      <c r="H181" s="669">
        <f t="shared" si="40"/>
        <v>50922</v>
      </c>
      <c r="M181" s="717">
        <v>124</v>
      </c>
      <c r="N181" s="693"/>
      <c r="O181" s="694"/>
      <c r="P181" s="694"/>
      <c r="Q181" s="694"/>
      <c r="R181" s="694"/>
      <c r="S181" s="694"/>
      <c r="T181" s="694"/>
    </row>
    <row r="182" spans="1:20">
      <c r="A182" s="669">
        <f>A181+30</f>
        <v>50952</v>
      </c>
      <c r="C182" s="677">
        <f t="shared" si="35"/>
        <v>50952</v>
      </c>
      <c r="D182" s="717" t="str">
        <f t="shared" si="36"/>
        <v/>
      </c>
      <c r="E182" s="668" t="str">
        <f t="shared" si="37"/>
        <v/>
      </c>
      <c r="F182" s="668" t="str">
        <f t="shared" si="38"/>
        <v/>
      </c>
      <c r="G182" s="669" t="str">
        <f t="shared" si="39"/>
        <v/>
      </c>
      <c r="H182" s="669">
        <f t="shared" si="40"/>
        <v>50952</v>
      </c>
      <c r="M182" s="717">
        <v>125</v>
      </c>
      <c r="N182" s="693"/>
      <c r="O182" s="694"/>
      <c r="P182" s="694"/>
      <c r="Q182" s="694"/>
      <c r="R182" s="694"/>
      <c r="S182" s="694"/>
      <c r="T182" s="694"/>
    </row>
    <row r="183" spans="1:20">
      <c r="A183" s="669">
        <f>A182+31</f>
        <v>50983</v>
      </c>
      <c r="C183" s="677">
        <f t="shared" si="35"/>
        <v>50983</v>
      </c>
      <c r="D183" s="717" t="str">
        <f t="shared" si="36"/>
        <v/>
      </c>
      <c r="E183" s="668" t="str">
        <f t="shared" si="37"/>
        <v/>
      </c>
      <c r="F183" s="668" t="str">
        <f t="shared" si="38"/>
        <v/>
      </c>
      <c r="G183" s="669" t="str">
        <f t="shared" si="39"/>
        <v/>
      </c>
      <c r="H183" s="669">
        <f t="shared" si="40"/>
        <v>50983</v>
      </c>
      <c r="M183" s="717">
        <v>126</v>
      </c>
      <c r="N183" s="693"/>
      <c r="O183" s="694"/>
      <c r="P183" s="694"/>
      <c r="Q183" s="694"/>
      <c r="R183" s="694"/>
      <c r="S183" s="694"/>
      <c r="T183" s="694"/>
    </row>
    <row r="184" spans="1:20">
      <c r="A184" s="669">
        <f>A183+31</f>
        <v>51014</v>
      </c>
      <c r="C184" s="677">
        <f t="shared" si="35"/>
        <v>51014</v>
      </c>
      <c r="D184" s="717" t="str">
        <f t="shared" si="36"/>
        <v/>
      </c>
      <c r="E184" s="668" t="str">
        <f t="shared" si="37"/>
        <v/>
      </c>
      <c r="F184" s="668" t="str">
        <f t="shared" si="38"/>
        <v/>
      </c>
      <c r="G184" s="669" t="str">
        <f t="shared" si="39"/>
        <v/>
      </c>
      <c r="H184" s="669">
        <f t="shared" si="40"/>
        <v>51014</v>
      </c>
      <c r="M184" s="717">
        <v>127</v>
      </c>
      <c r="N184" s="693"/>
      <c r="O184" s="694"/>
      <c r="P184" s="694"/>
      <c r="Q184" s="694"/>
      <c r="R184" s="694"/>
      <c r="S184" s="694"/>
      <c r="T184" s="694"/>
    </row>
    <row r="185" spans="1:20">
      <c r="A185" s="669">
        <f>A184+30</f>
        <v>51044</v>
      </c>
      <c r="C185" s="677">
        <f t="shared" si="35"/>
        <v>51044</v>
      </c>
      <c r="D185" s="717" t="str">
        <f t="shared" si="36"/>
        <v/>
      </c>
      <c r="E185" s="668" t="str">
        <f t="shared" si="37"/>
        <v/>
      </c>
      <c r="F185" s="668" t="str">
        <f t="shared" si="38"/>
        <v/>
      </c>
      <c r="G185" s="669" t="str">
        <f t="shared" si="39"/>
        <v/>
      </c>
      <c r="H185" s="669">
        <f t="shared" si="40"/>
        <v>51044</v>
      </c>
      <c r="M185" s="717">
        <v>128</v>
      </c>
      <c r="N185" s="693"/>
      <c r="O185" s="694"/>
      <c r="P185" s="694"/>
      <c r="Q185" s="694"/>
      <c r="R185" s="694"/>
      <c r="S185" s="694"/>
      <c r="T185" s="694"/>
    </row>
    <row r="186" spans="1:20">
      <c r="A186" s="669">
        <f>A185+31</f>
        <v>51075</v>
      </c>
      <c r="C186" s="677">
        <f t="shared" si="35"/>
        <v>51075</v>
      </c>
      <c r="D186" s="717" t="str">
        <f t="shared" si="36"/>
        <v/>
      </c>
      <c r="E186" s="668" t="str">
        <f t="shared" si="37"/>
        <v/>
      </c>
      <c r="F186" s="668" t="str">
        <f t="shared" si="38"/>
        <v/>
      </c>
      <c r="G186" s="669" t="str">
        <f t="shared" si="39"/>
        <v/>
      </c>
      <c r="H186" s="669">
        <f t="shared" si="40"/>
        <v>51075</v>
      </c>
      <c r="M186" s="717">
        <v>129</v>
      </c>
      <c r="N186" s="693"/>
      <c r="O186" s="694"/>
      <c r="P186" s="694"/>
      <c r="Q186" s="694"/>
      <c r="R186" s="694"/>
      <c r="S186" s="694"/>
      <c r="T186" s="694"/>
    </row>
    <row r="187" spans="1:20">
      <c r="A187" s="669">
        <f>A186+30</f>
        <v>51105</v>
      </c>
      <c r="C187" s="677">
        <f t="shared" si="35"/>
        <v>51105</v>
      </c>
      <c r="D187" s="717" t="str">
        <f t="shared" si="36"/>
        <v/>
      </c>
      <c r="E187" s="668" t="str">
        <f t="shared" si="37"/>
        <v/>
      </c>
      <c r="F187" s="668" t="str">
        <f t="shared" si="38"/>
        <v/>
      </c>
      <c r="G187" s="669" t="str">
        <f t="shared" si="39"/>
        <v/>
      </c>
      <c r="H187" s="669">
        <f t="shared" si="40"/>
        <v>51105</v>
      </c>
      <c r="M187" s="717">
        <v>130</v>
      </c>
      <c r="N187" s="693"/>
      <c r="O187" s="694"/>
      <c r="P187" s="694"/>
      <c r="Q187" s="694"/>
      <c r="R187" s="694"/>
      <c r="S187" s="694"/>
      <c r="T187" s="694"/>
    </row>
    <row r="188" spans="1:20">
      <c r="A188" s="669">
        <f>A187+31</f>
        <v>51136</v>
      </c>
      <c r="C188" s="677">
        <f t="shared" si="35"/>
        <v>51136</v>
      </c>
      <c r="D188" s="717" t="str">
        <f t="shared" si="36"/>
        <v/>
      </c>
      <c r="E188" s="668" t="str">
        <f t="shared" si="37"/>
        <v/>
      </c>
      <c r="F188" s="668" t="str">
        <f t="shared" si="38"/>
        <v/>
      </c>
      <c r="G188" s="669" t="str">
        <f t="shared" si="39"/>
        <v/>
      </c>
      <c r="H188" s="669">
        <f t="shared" si="40"/>
        <v>51136</v>
      </c>
      <c r="M188" s="717">
        <v>131</v>
      </c>
      <c r="N188" s="693"/>
      <c r="O188" s="694"/>
      <c r="P188" s="694"/>
      <c r="Q188" s="694"/>
      <c r="R188" s="694"/>
      <c r="S188" s="694"/>
      <c r="T188" s="694"/>
    </row>
    <row r="189" spans="1:20">
      <c r="A189" s="669">
        <f>A188+31</f>
        <v>51167</v>
      </c>
      <c r="B189" s="668" t="b">
        <f>ISNA(VLOOKUP(A189,$E$4:$E$13,1,FALSE))</f>
        <v>0</v>
      </c>
      <c r="C189" s="677">
        <f t="shared" si="35"/>
        <v>51167</v>
      </c>
      <c r="D189" s="717" t="str">
        <f t="shared" si="36"/>
        <v/>
      </c>
      <c r="E189" s="668" t="str">
        <f t="shared" si="37"/>
        <v/>
      </c>
      <c r="F189" s="668" t="str">
        <f t="shared" si="38"/>
        <v/>
      </c>
      <c r="G189" s="669" t="str">
        <f t="shared" si="39"/>
        <v/>
      </c>
      <c r="H189" s="669">
        <f t="shared" si="40"/>
        <v>51167</v>
      </c>
      <c r="M189" s="717">
        <v>132</v>
      </c>
      <c r="N189" s="693"/>
      <c r="O189" s="694"/>
      <c r="P189" s="694"/>
      <c r="Q189" s="694"/>
      <c r="R189" s="694"/>
      <c r="S189" s="694"/>
      <c r="T189" s="694"/>
    </row>
    <row r="190" spans="1:20">
      <c r="A190" s="669">
        <f>IF(B189=TRUE,(A189+28),(A189+29))</f>
        <v>51196</v>
      </c>
      <c r="C190" s="677">
        <f t="shared" si="35"/>
        <v>51196</v>
      </c>
      <c r="D190" s="717" t="str">
        <f t="shared" si="36"/>
        <v/>
      </c>
      <c r="E190" s="668" t="str">
        <f t="shared" si="37"/>
        <v/>
      </c>
      <c r="F190" s="668" t="str">
        <f t="shared" si="38"/>
        <v/>
      </c>
      <c r="G190" s="669" t="str">
        <f t="shared" si="39"/>
        <v/>
      </c>
      <c r="H190" s="669">
        <f t="shared" si="40"/>
        <v>51196</v>
      </c>
      <c r="M190" s="717">
        <v>133</v>
      </c>
      <c r="N190" s="693"/>
      <c r="O190" s="694"/>
      <c r="P190" s="694"/>
      <c r="Q190" s="694"/>
      <c r="R190" s="694"/>
      <c r="S190" s="694"/>
      <c r="T190" s="694"/>
    </row>
    <row r="191" spans="1:20">
      <c r="A191" s="669">
        <f>A190+31</f>
        <v>51227</v>
      </c>
      <c r="C191" s="677">
        <f t="shared" si="35"/>
        <v>51227</v>
      </c>
      <c r="D191" s="717" t="str">
        <f t="shared" si="36"/>
        <v/>
      </c>
      <c r="E191" s="668" t="str">
        <f t="shared" si="37"/>
        <v/>
      </c>
      <c r="F191" s="668" t="str">
        <f t="shared" si="38"/>
        <v/>
      </c>
      <c r="G191" s="669" t="str">
        <f t="shared" si="39"/>
        <v/>
      </c>
      <c r="H191" s="669">
        <f t="shared" si="40"/>
        <v>51227</v>
      </c>
      <c r="M191" s="717">
        <v>134</v>
      </c>
      <c r="N191" s="693"/>
      <c r="O191" s="694"/>
      <c r="P191" s="694"/>
      <c r="Q191" s="694"/>
      <c r="R191" s="694"/>
      <c r="S191" s="694"/>
      <c r="T191" s="694"/>
    </row>
    <row r="192" spans="1:20">
      <c r="A192" s="669">
        <f>A191+30</f>
        <v>51257</v>
      </c>
      <c r="C192" s="677">
        <f t="shared" si="35"/>
        <v>51257</v>
      </c>
      <c r="D192" s="717" t="str">
        <f t="shared" si="36"/>
        <v/>
      </c>
      <c r="E192" s="668" t="str">
        <f t="shared" si="37"/>
        <v/>
      </c>
      <c r="F192" s="668" t="str">
        <f t="shared" si="38"/>
        <v/>
      </c>
      <c r="G192" s="669" t="str">
        <f t="shared" si="39"/>
        <v/>
      </c>
      <c r="H192" s="669">
        <f t="shared" si="40"/>
        <v>51257</v>
      </c>
      <c r="M192" s="717">
        <v>135</v>
      </c>
      <c r="N192" s="693"/>
      <c r="O192" s="694"/>
      <c r="P192" s="694"/>
      <c r="Q192" s="694"/>
      <c r="R192" s="694"/>
      <c r="S192" s="694"/>
      <c r="T192" s="694"/>
    </row>
    <row r="193" spans="1:20">
      <c r="A193" s="669">
        <f>A192+31</f>
        <v>51288</v>
      </c>
      <c r="C193" s="677">
        <f t="shared" si="35"/>
        <v>51288</v>
      </c>
      <c r="D193" s="717" t="str">
        <f t="shared" si="36"/>
        <v/>
      </c>
      <c r="E193" s="668" t="str">
        <f t="shared" si="37"/>
        <v/>
      </c>
      <c r="F193" s="668" t="str">
        <f t="shared" si="38"/>
        <v/>
      </c>
      <c r="G193" s="669" t="str">
        <f t="shared" si="39"/>
        <v/>
      </c>
      <c r="H193" s="669">
        <f t="shared" si="40"/>
        <v>51288</v>
      </c>
      <c r="M193" s="717">
        <v>136</v>
      </c>
      <c r="N193" s="693"/>
      <c r="O193" s="694"/>
      <c r="P193" s="694"/>
      <c r="Q193" s="694"/>
      <c r="R193" s="694"/>
      <c r="S193" s="694"/>
      <c r="T193" s="694"/>
    </row>
    <row r="194" spans="1:20">
      <c r="A194" s="669">
        <f>A193+30</f>
        <v>51318</v>
      </c>
      <c r="C194" s="677">
        <f t="shared" si="35"/>
        <v>51318</v>
      </c>
      <c r="D194" s="717" t="str">
        <f t="shared" si="36"/>
        <v/>
      </c>
      <c r="E194" s="668" t="str">
        <f t="shared" si="37"/>
        <v/>
      </c>
      <c r="F194" s="668" t="str">
        <f t="shared" si="38"/>
        <v/>
      </c>
      <c r="G194" s="669" t="str">
        <f t="shared" si="39"/>
        <v/>
      </c>
      <c r="H194" s="669">
        <f t="shared" si="40"/>
        <v>51318</v>
      </c>
      <c r="M194" s="717">
        <v>137</v>
      </c>
      <c r="N194" s="693"/>
      <c r="O194" s="694"/>
      <c r="P194" s="694"/>
      <c r="Q194" s="694"/>
      <c r="R194" s="694"/>
      <c r="S194" s="694"/>
      <c r="T194" s="694"/>
    </row>
    <row r="195" spans="1:20">
      <c r="A195" s="669">
        <f>A194+31</f>
        <v>51349</v>
      </c>
      <c r="C195" s="677">
        <f t="shared" si="35"/>
        <v>51349</v>
      </c>
      <c r="D195" s="717" t="str">
        <f t="shared" si="36"/>
        <v/>
      </c>
      <c r="E195" s="668" t="str">
        <f t="shared" si="37"/>
        <v/>
      </c>
      <c r="F195" s="668" t="str">
        <f t="shared" si="38"/>
        <v/>
      </c>
      <c r="G195" s="669" t="str">
        <f t="shared" si="39"/>
        <v/>
      </c>
      <c r="H195" s="669">
        <f t="shared" si="40"/>
        <v>51349</v>
      </c>
      <c r="M195" s="717">
        <v>138</v>
      </c>
      <c r="N195" s="693"/>
      <c r="O195" s="694"/>
      <c r="P195" s="694"/>
      <c r="Q195" s="694"/>
      <c r="R195" s="694"/>
      <c r="S195" s="694"/>
      <c r="T195" s="694"/>
    </row>
    <row r="196" spans="1:20">
      <c r="A196" s="669">
        <f>A195+31</f>
        <v>51380</v>
      </c>
      <c r="C196" s="677">
        <f t="shared" si="35"/>
        <v>51380</v>
      </c>
      <c r="D196" s="717" t="str">
        <f t="shared" si="36"/>
        <v/>
      </c>
      <c r="E196" s="668" t="str">
        <f t="shared" si="37"/>
        <v/>
      </c>
      <c r="F196" s="668" t="str">
        <f t="shared" si="38"/>
        <v/>
      </c>
      <c r="G196" s="669" t="str">
        <f t="shared" si="39"/>
        <v/>
      </c>
      <c r="H196" s="669">
        <f t="shared" si="40"/>
        <v>51380</v>
      </c>
      <c r="M196" s="717">
        <v>139</v>
      </c>
      <c r="N196" s="693"/>
      <c r="O196" s="694"/>
      <c r="P196" s="694"/>
      <c r="Q196" s="694"/>
      <c r="R196" s="694"/>
      <c r="S196" s="694"/>
      <c r="T196" s="694"/>
    </row>
    <row r="197" spans="1:20">
      <c r="A197" s="669">
        <f>A196+30</f>
        <v>51410</v>
      </c>
      <c r="C197" s="677">
        <f t="shared" si="35"/>
        <v>51410</v>
      </c>
      <c r="D197" s="717" t="str">
        <f t="shared" si="36"/>
        <v/>
      </c>
      <c r="E197" s="668" t="str">
        <f t="shared" si="37"/>
        <v/>
      </c>
      <c r="F197" s="668" t="str">
        <f t="shared" si="38"/>
        <v/>
      </c>
      <c r="G197" s="669" t="str">
        <f t="shared" si="39"/>
        <v/>
      </c>
      <c r="H197" s="669">
        <f t="shared" si="40"/>
        <v>51410</v>
      </c>
      <c r="M197" s="717">
        <v>140</v>
      </c>
      <c r="N197" s="693"/>
      <c r="O197" s="694"/>
      <c r="P197" s="694"/>
      <c r="Q197" s="694"/>
      <c r="R197" s="694"/>
      <c r="S197" s="694"/>
      <c r="T197" s="694"/>
    </row>
    <row r="198" spans="1:20">
      <c r="A198" s="669">
        <f>A197+31</f>
        <v>51441</v>
      </c>
      <c r="C198" s="677">
        <f t="shared" si="35"/>
        <v>51441</v>
      </c>
      <c r="D198" s="717" t="str">
        <f t="shared" si="36"/>
        <v/>
      </c>
      <c r="E198" s="668" t="str">
        <f t="shared" si="37"/>
        <v/>
      </c>
      <c r="F198" s="668" t="str">
        <f t="shared" si="38"/>
        <v/>
      </c>
      <c r="G198" s="669" t="str">
        <f t="shared" si="39"/>
        <v/>
      </c>
      <c r="H198" s="669">
        <f t="shared" si="40"/>
        <v>51441</v>
      </c>
      <c r="M198" s="717">
        <v>141</v>
      </c>
      <c r="N198" s="693"/>
      <c r="O198" s="694"/>
      <c r="P198" s="694"/>
      <c r="Q198" s="694"/>
      <c r="R198" s="694"/>
      <c r="S198" s="694"/>
      <c r="T198" s="694"/>
    </row>
    <row r="199" spans="1:20">
      <c r="A199" s="669">
        <f>A198+30</f>
        <v>51471</v>
      </c>
      <c r="C199" s="677">
        <f t="shared" si="35"/>
        <v>51471</v>
      </c>
      <c r="D199" s="717" t="str">
        <f t="shared" si="36"/>
        <v/>
      </c>
      <c r="E199" s="668" t="str">
        <f t="shared" si="37"/>
        <v/>
      </c>
      <c r="F199" s="668" t="str">
        <f t="shared" si="38"/>
        <v/>
      </c>
      <c r="G199" s="669" t="str">
        <f t="shared" si="39"/>
        <v/>
      </c>
      <c r="H199" s="669">
        <f t="shared" si="40"/>
        <v>51471</v>
      </c>
      <c r="M199" s="717">
        <v>142</v>
      </c>
      <c r="N199" s="693"/>
      <c r="O199" s="694"/>
      <c r="P199" s="694"/>
      <c r="Q199" s="694"/>
      <c r="R199" s="694"/>
      <c r="S199" s="694"/>
      <c r="T199" s="694"/>
    </row>
    <row r="200" spans="1:20">
      <c r="A200" s="669">
        <f>A199+31</f>
        <v>51502</v>
      </c>
      <c r="C200" s="677">
        <f t="shared" si="35"/>
        <v>51502</v>
      </c>
      <c r="D200" s="717" t="str">
        <f t="shared" si="36"/>
        <v/>
      </c>
      <c r="E200" s="668" t="str">
        <f t="shared" si="37"/>
        <v/>
      </c>
      <c r="F200" s="668" t="str">
        <f t="shared" si="38"/>
        <v/>
      </c>
      <c r="G200" s="669" t="str">
        <f t="shared" si="39"/>
        <v/>
      </c>
      <c r="H200" s="669">
        <f t="shared" si="40"/>
        <v>51502</v>
      </c>
      <c r="M200" s="717">
        <v>143</v>
      </c>
      <c r="N200" s="693"/>
      <c r="O200" s="694"/>
      <c r="P200" s="694"/>
      <c r="Q200" s="694"/>
      <c r="R200" s="694"/>
      <c r="S200" s="694"/>
      <c r="T200" s="694"/>
    </row>
    <row r="201" spans="1:20">
      <c r="A201" s="669">
        <f>A200+31</f>
        <v>51533</v>
      </c>
      <c r="B201" s="668" t="b">
        <f>ISNA(VLOOKUP(A201,$E$4:$E$13,1,FALSE))</f>
        <v>1</v>
      </c>
      <c r="C201" s="677">
        <f t="shared" si="35"/>
        <v>51533</v>
      </c>
      <c r="D201" s="717" t="str">
        <f t="shared" si="36"/>
        <v/>
      </c>
      <c r="E201" s="668" t="str">
        <f t="shared" si="37"/>
        <v/>
      </c>
      <c r="F201" s="668" t="str">
        <f t="shared" si="38"/>
        <v/>
      </c>
      <c r="G201" s="669" t="str">
        <f t="shared" si="39"/>
        <v/>
      </c>
      <c r="H201" s="669">
        <f t="shared" si="40"/>
        <v>51533</v>
      </c>
      <c r="M201" s="717">
        <v>144</v>
      </c>
      <c r="N201" s="693"/>
      <c r="O201" s="694"/>
      <c r="P201" s="694"/>
      <c r="Q201" s="694"/>
      <c r="R201" s="694"/>
      <c r="S201" s="694"/>
      <c r="T201" s="694"/>
    </row>
    <row r="202" spans="1:20">
      <c r="A202" s="669">
        <f>IF(B201=TRUE,(A201+28),(A201+29))</f>
        <v>51561</v>
      </c>
      <c r="C202" s="677">
        <f t="shared" si="35"/>
        <v>51561</v>
      </c>
      <c r="D202" s="717" t="str">
        <f t="shared" si="36"/>
        <v/>
      </c>
      <c r="E202" s="668" t="str">
        <f t="shared" si="37"/>
        <v/>
      </c>
      <c r="F202" s="668" t="str">
        <f t="shared" si="38"/>
        <v/>
      </c>
      <c r="G202" s="669" t="str">
        <f t="shared" si="39"/>
        <v/>
      </c>
      <c r="H202" s="669">
        <f t="shared" si="40"/>
        <v>51561</v>
      </c>
      <c r="M202" s="717">
        <v>145</v>
      </c>
      <c r="N202" s="693"/>
      <c r="O202" s="694"/>
      <c r="P202" s="694"/>
      <c r="Q202" s="694"/>
      <c r="R202" s="694"/>
      <c r="S202" s="694"/>
      <c r="T202" s="694"/>
    </row>
    <row r="203" spans="1:20">
      <c r="A203" s="669">
        <f>A202+31</f>
        <v>51592</v>
      </c>
      <c r="C203" s="677">
        <f t="shared" si="35"/>
        <v>51592</v>
      </c>
      <c r="D203" s="717" t="str">
        <f t="shared" si="36"/>
        <v/>
      </c>
      <c r="E203" s="668" t="str">
        <f t="shared" si="37"/>
        <v/>
      </c>
      <c r="F203" s="668" t="str">
        <f t="shared" si="38"/>
        <v/>
      </c>
      <c r="G203" s="669" t="str">
        <f t="shared" si="39"/>
        <v/>
      </c>
      <c r="H203" s="669">
        <f t="shared" si="40"/>
        <v>51592</v>
      </c>
      <c r="M203" s="717">
        <v>146</v>
      </c>
      <c r="N203" s="693"/>
      <c r="O203" s="694"/>
      <c r="P203" s="694"/>
      <c r="Q203" s="694"/>
      <c r="R203" s="694"/>
      <c r="S203" s="694"/>
      <c r="T203" s="694"/>
    </row>
    <row r="204" spans="1:20">
      <c r="A204" s="669">
        <f>A203+30</f>
        <v>51622</v>
      </c>
      <c r="C204" s="677">
        <f t="shared" si="35"/>
        <v>51622</v>
      </c>
      <c r="D204" s="717" t="str">
        <f t="shared" si="36"/>
        <v/>
      </c>
      <c r="E204" s="668" t="str">
        <f t="shared" si="37"/>
        <v/>
      </c>
      <c r="F204" s="668" t="str">
        <f t="shared" si="38"/>
        <v/>
      </c>
      <c r="G204" s="669" t="str">
        <f t="shared" si="39"/>
        <v/>
      </c>
      <c r="H204" s="669">
        <f t="shared" si="40"/>
        <v>51622</v>
      </c>
      <c r="M204" s="717">
        <v>147</v>
      </c>
      <c r="N204" s="693"/>
      <c r="O204" s="694"/>
      <c r="P204" s="694"/>
      <c r="Q204" s="694"/>
      <c r="R204" s="694"/>
      <c r="S204" s="694"/>
      <c r="T204" s="694"/>
    </row>
    <row r="205" spans="1:20">
      <c r="A205" s="669">
        <f>A204+31</f>
        <v>51653</v>
      </c>
      <c r="C205" s="677">
        <f t="shared" si="35"/>
        <v>51653</v>
      </c>
      <c r="D205" s="717" t="str">
        <f t="shared" si="36"/>
        <v/>
      </c>
      <c r="E205" s="668" t="str">
        <f t="shared" si="37"/>
        <v/>
      </c>
      <c r="F205" s="668" t="str">
        <f t="shared" si="38"/>
        <v/>
      </c>
      <c r="G205" s="669" t="str">
        <f t="shared" si="39"/>
        <v/>
      </c>
      <c r="H205" s="669">
        <f t="shared" si="40"/>
        <v>51653</v>
      </c>
      <c r="M205" s="717">
        <v>148</v>
      </c>
      <c r="N205" s="693"/>
      <c r="O205" s="694"/>
      <c r="P205" s="694"/>
      <c r="Q205" s="694"/>
      <c r="R205" s="694"/>
      <c r="S205" s="694"/>
      <c r="T205" s="694"/>
    </row>
    <row r="206" spans="1:20">
      <c r="A206" s="669">
        <f>A205+30</f>
        <v>51683</v>
      </c>
      <c r="C206" s="677">
        <f t="shared" si="35"/>
        <v>51683</v>
      </c>
      <c r="D206" s="717" t="str">
        <f t="shared" si="36"/>
        <v/>
      </c>
      <c r="E206" s="668" t="str">
        <f t="shared" si="37"/>
        <v/>
      </c>
      <c r="F206" s="668" t="str">
        <f t="shared" si="38"/>
        <v/>
      </c>
      <c r="G206" s="669" t="str">
        <f t="shared" si="39"/>
        <v/>
      </c>
      <c r="H206" s="669">
        <f t="shared" si="40"/>
        <v>51683</v>
      </c>
      <c r="M206" s="717">
        <v>149</v>
      </c>
      <c r="N206" s="693"/>
      <c r="O206" s="694"/>
      <c r="P206" s="694"/>
      <c r="Q206" s="694"/>
      <c r="R206" s="694"/>
      <c r="S206" s="694"/>
      <c r="T206" s="694"/>
    </row>
    <row r="207" spans="1:20">
      <c r="A207" s="669">
        <f>A206+31</f>
        <v>51714</v>
      </c>
      <c r="C207" s="677">
        <f t="shared" si="35"/>
        <v>51714</v>
      </c>
      <c r="D207" s="717" t="str">
        <f t="shared" si="36"/>
        <v/>
      </c>
      <c r="E207" s="668" t="str">
        <f t="shared" si="37"/>
        <v/>
      </c>
      <c r="F207" s="668" t="str">
        <f t="shared" si="38"/>
        <v/>
      </c>
      <c r="G207" s="669" t="str">
        <f t="shared" si="39"/>
        <v/>
      </c>
      <c r="H207" s="669">
        <f t="shared" si="40"/>
        <v>51714</v>
      </c>
      <c r="M207" s="717">
        <v>150</v>
      </c>
      <c r="N207" s="693"/>
      <c r="O207" s="694"/>
      <c r="P207" s="694"/>
      <c r="Q207" s="694"/>
      <c r="R207" s="694"/>
      <c r="S207" s="694"/>
      <c r="T207" s="694"/>
    </row>
    <row r="208" spans="1:20">
      <c r="A208" s="669">
        <f>A207+31</f>
        <v>51745</v>
      </c>
      <c r="C208" s="677">
        <f t="shared" si="35"/>
        <v>51745</v>
      </c>
      <c r="D208" s="717" t="str">
        <f t="shared" si="36"/>
        <v/>
      </c>
      <c r="E208" s="668" t="str">
        <f t="shared" si="37"/>
        <v/>
      </c>
      <c r="F208" s="668" t="str">
        <f t="shared" si="38"/>
        <v/>
      </c>
      <c r="G208" s="669" t="str">
        <f t="shared" si="39"/>
        <v/>
      </c>
      <c r="H208" s="669">
        <f t="shared" si="40"/>
        <v>51745</v>
      </c>
    </row>
    <row r="209" spans="1:8">
      <c r="A209" s="669">
        <f>A208+30</f>
        <v>51775</v>
      </c>
      <c r="C209" s="677">
        <f t="shared" si="35"/>
        <v>51775</v>
      </c>
      <c r="D209" s="717" t="str">
        <f t="shared" si="36"/>
        <v/>
      </c>
      <c r="E209" s="668" t="str">
        <f t="shared" si="37"/>
        <v/>
      </c>
      <c r="F209" s="668" t="str">
        <f t="shared" si="38"/>
        <v/>
      </c>
      <c r="G209" s="669" t="str">
        <f t="shared" si="39"/>
        <v/>
      </c>
      <c r="H209" s="669">
        <f t="shared" si="40"/>
        <v>51775</v>
      </c>
    </row>
    <row r="210" spans="1:8">
      <c r="A210" s="669">
        <f>A209+31</f>
        <v>51806</v>
      </c>
      <c r="C210" s="677">
        <f t="shared" si="35"/>
        <v>51806</v>
      </c>
      <c r="D210" s="717" t="str">
        <f t="shared" si="36"/>
        <v/>
      </c>
      <c r="E210" s="668" t="str">
        <f t="shared" si="37"/>
        <v/>
      </c>
      <c r="F210" s="668" t="str">
        <f t="shared" si="38"/>
        <v/>
      </c>
      <c r="G210" s="669" t="str">
        <f t="shared" si="39"/>
        <v/>
      </c>
      <c r="H210" s="669">
        <f t="shared" si="40"/>
        <v>51806</v>
      </c>
    </row>
    <row r="211" spans="1:8">
      <c r="A211" s="669">
        <f>A210+30</f>
        <v>51836</v>
      </c>
      <c r="C211" s="677">
        <f t="shared" si="35"/>
        <v>51836</v>
      </c>
      <c r="D211" s="717" t="str">
        <f t="shared" si="36"/>
        <v/>
      </c>
      <c r="E211" s="668" t="str">
        <f t="shared" si="37"/>
        <v/>
      </c>
      <c r="F211" s="668" t="str">
        <f t="shared" si="38"/>
        <v/>
      </c>
      <c r="G211" s="669" t="str">
        <f t="shared" si="39"/>
        <v/>
      </c>
      <c r="H211" s="669">
        <f t="shared" si="40"/>
        <v>51836</v>
      </c>
    </row>
    <row r="212" spans="1:8">
      <c r="A212" s="669">
        <f>A211+31</f>
        <v>51867</v>
      </c>
      <c r="C212" s="677">
        <f t="shared" si="35"/>
        <v>51867</v>
      </c>
      <c r="D212" s="717" t="str">
        <f t="shared" si="36"/>
        <v/>
      </c>
      <c r="E212" s="668" t="str">
        <f t="shared" si="37"/>
        <v/>
      </c>
      <c r="F212" s="668" t="str">
        <f t="shared" si="38"/>
        <v/>
      </c>
      <c r="G212" s="669" t="str">
        <f t="shared" si="39"/>
        <v/>
      </c>
      <c r="H212" s="669">
        <f t="shared" si="40"/>
        <v>51867</v>
      </c>
    </row>
    <row r="213" spans="1:8">
      <c r="A213" s="669">
        <f>A212+31</f>
        <v>51898</v>
      </c>
      <c r="B213" s="668" t="b">
        <f>ISNA(VLOOKUP(A213,$E$4:$E$13,1,FALSE))</f>
        <v>1</v>
      </c>
      <c r="C213" s="677">
        <f t="shared" ref="C213:C224" si="41">A213</f>
        <v>51898</v>
      </c>
      <c r="D213" s="717" t="str">
        <f t="shared" ref="D213:D224" si="42">IF(($P$23-C213)&lt;0,"",($P$23-C213))</f>
        <v/>
      </c>
      <c r="E213" s="668" t="str">
        <f t="shared" ref="E213:E224" si="43">IF(D213="","",RANK(D213,$D$20:$D$215,1))</f>
        <v/>
      </c>
      <c r="F213" s="668" t="str">
        <f t="shared" ref="F213:F224" si="44">IF(A213&lt;$L$37,$K$36,IF(A213&lt;$L$38,$K$37,IF(A213&lt;$L$39,$K$38,IF(A213&lt;$L$40,$K$39,IF(A213&lt;$L$41,$K$40,$K$41)))))</f>
        <v/>
      </c>
      <c r="G213" s="669" t="str">
        <f t="shared" ref="G213:G224" si="45">VLOOKUP(F213,$K$36:$L$41,2,FALSE)</f>
        <v/>
      </c>
      <c r="H213" s="669">
        <f t="shared" ref="H213:H224" si="46">A213</f>
        <v>51898</v>
      </c>
    </row>
    <row r="214" spans="1:8">
      <c r="A214" s="669">
        <f>IF(B213=TRUE,(A213+28),(A213+29))</f>
        <v>51926</v>
      </c>
      <c r="C214" s="677">
        <f t="shared" si="41"/>
        <v>51926</v>
      </c>
      <c r="D214" s="717" t="str">
        <f t="shared" si="42"/>
        <v/>
      </c>
      <c r="E214" s="668" t="str">
        <f t="shared" si="43"/>
        <v/>
      </c>
      <c r="F214" s="668" t="str">
        <f t="shared" si="44"/>
        <v/>
      </c>
      <c r="G214" s="669" t="str">
        <f t="shared" si="45"/>
        <v/>
      </c>
      <c r="H214" s="669">
        <f t="shared" si="46"/>
        <v>51926</v>
      </c>
    </row>
    <row r="215" spans="1:8">
      <c r="A215" s="669">
        <f>A214+31</f>
        <v>51957</v>
      </c>
      <c r="C215" s="677">
        <f t="shared" si="41"/>
        <v>51957</v>
      </c>
      <c r="D215" s="717" t="str">
        <f t="shared" si="42"/>
        <v/>
      </c>
      <c r="E215" s="668" t="str">
        <f t="shared" si="43"/>
        <v/>
      </c>
      <c r="F215" s="668" t="str">
        <f t="shared" si="44"/>
        <v/>
      </c>
      <c r="G215" s="669" t="str">
        <f t="shared" si="45"/>
        <v/>
      </c>
      <c r="H215" s="669">
        <f t="shared" si="46"/>
        <v>51957</v>
      </c>
    </row>
    <row r="216" spans="1:8">
      <c r="A216" s="669">
        <f>A215+30</f>
        <v>51987</v>
      </c>
      <c r="C216" s="677">
        <f t="shared" si="41"/>
        <v>51987</v>
      </c>
      <c r="D216" s="717" t="str">
        <f t="shared" si="42"/>
        <v/>
      </c>
      <c r="E216" s="668" t="str">
        <f t="shared" si="43"/>
        <v/>
      </c>
      <c r="F216" s="668" t="str">
        <f t="shared" si="44"/>
        <v/>
      </c>
      <c r="G216" s="669" t="str">
        <f t="shared" si="45"/>
        <v/>
      </c>
      <c r="H216" s="669">
        <f t="shared" si="46"/>
        <v>51987</v>
      </c>
    </row>
    <row r="217" spans="1:8">
      <c r="A217" s="669">
        <f>A216+31</f>
        <v>52018</v>
      </c>
      <c r="C217" s="677">
        <f t="shared" si="41"/>
        <v>52018</v>
      </c>
      <c r="D217" s="717" t="str">
        <f t="shared" si="42"/>
        <v/>
      </c>
      <c r="E217" s="668" t="str">
        <f t="shared" si="43"/>
        <v/>
      </c>
      <c r="F217" s="668" t="str">
        <f t="shared" si="44"/>
        <v/>
      </c>
      <c r="G217" s="669" t="str">
        <f t="shared" si="45"/>
        <v/>
      </c>
      <c r="H217" s="669">
        <f t="shared" si="46"/>
        <v>52018</v>
      </c>
    </row>
    <row r="218" spans="1:8">
      <c r="A218" s="669">
        <f>A217+30</f>
        <v>52048</v>
      </c>
      <c r="C218" s="677">
        <f t="shared" si="41"/>
        <v>52048</v>
      </c>
      <c r="D218" s="717" t="str">
        <f t="shared" si="42"/>
        <v/>
      </c>
      <c r="E218" s="668" t="str">
        <f t="shared" si="43"/>
        <v/>
      </c>
      <c r="F218" s="668" t="str">
        <f t="shared" si="44"/>
        <v/>
      </c>
      <c r="G218" s="669" t="str">
        <f t="shared" si="45"/>
        <v/>
      </c>
      <c r="H218" s="669">
        <f t="shared" si="46"/>
        <v>52048</v>
      </c>
    </row>
    <row r="219" spans="1:8">
      <c r="A219" s="669">
        <f>A218+31</f>
        <v>52079</v>
      </c>
      <c r="C219" s="677">
        <f t="shared" si="41"/>
        <v>52079</v>
      </c>
      <c r="D219" s="717" t="str">
        <f t="shared" si="42"/>
        <v/>
      </c>
      <c r="E219" s="668" t="str">
        <f t="shared" si="43"/>
        <v/>
      </c>
      <c r="F219" s="668" t="str">
        <f t="shared" si="44"/>
        <v/>
      </c>
      <c r="G219" s="669" t="str">
        <f t="shared" si="45"/>
        <v/>
      </c>
      <c r="H219" s="669">
        <f t="shared" si="46"/>
        <v>52079</v>
      </c>
    </row>
    <row r="220" spans="1:8">
      <c r="A220" s="669">
        <f>A219+31</f>
        <v>52110</v>
      </c>
      <c r="C220" s="677">
        <f t="shared" si="41"/>
        <v>52110</v>
      </c>
      <c r="D220" s="717" t="str">
        <f t="shared" si="42"/>
        <v/>
      </c>
      <c r="E220" s="668" t="str">
        <f t="shared" si="43"/>
        <v/>
      </c>
      <c r="F220" s="668" t="str">
        <f t="shared" si="44"/>
        <v/>
      </c>
      <c r="G220" s="669" t="str">
        <f t="shared" si="45"/>
        <v/>
      </c>
      <c r="H220" s="669">
        <f t="shared" si="46"/>
        <v>52110</v>
      </c>
    </row>
    <row r="221" spans="1:8">
      <c r="A221" s="669">
        <f>A220+30</f>
        <v>52140</v>
      </c>
      <c r="C221" s="677">
        <f t="shared" si="41"/>
        <v>52140</v>
      </c>
      <c r="D221" s="717" t="str">
        <f t="shared" si="42"/>
        <v/>
      </c>
      <c r="E221" s="668" t="str">
        <f t="shared" si="43"/>
        <v/>
      </c>
      <c r="F221" s="668" t="str">
        <f t="shared" si="44"/>
        <v/>
      </c>
      <c r="G221" s="669" t="str">
        <f t="shared" si="45"/>
        <v/>
      </c>
      <c r="H221" s="669">
        <f t="shared" si="46"/>
        <v>52140</v>
      </c>
    </row>
    <row r="222" spans="1:8">
      <c r="A222" s="669">
        <f>A221+31</f>
        <v>52171</v>
      </c>
      <c r="C222" s="677">
        <f t="shared" si="41"/>
        <v>52171</v>
      </c>
      <c r="D222" s="717" t="str">
        <f t="shared" si="42"/>
        <v/>
      </c>
      <c r="E222" s="668" t="str">
        <f t="shared" si="43"/>
        <v/>
      </c>
      <c r="F222" s="668" t="str">
        <f t="shared" si="44"/>
        <v/>
      </c>
      <c r="G222" s="669" t="str">
        <f t="shared" si="45"/>
        <v/>
      </c>
      <c r="H222" s="669">
        <f t="shared" si="46"/>
        <v>52171</v>
      </c>
    </row>
    <row r="223" spans="1:8">
      <c r="A223" s="669">
        <f>A222+30</f>
        <v>52201</v>
      </c>
      <c r="C223" s="677">
        <f t="shared" si="41"/>
        <v>52201</v>
      </c>
      <c r="D223" s="717" t="str">
        <f t="shared" si="42"/>
        <v/>
      </c>
      <c r="E223" s="668" t="str">
        <f t="shared" si="43"/>
        <v/>
      </c>
      <c r="F223" s="668" t="str">
        <f t="shared" si="44"/>
        <v/>
      </c>
      <c r="G223" s="669" t="str">
        <f t="shared" si="45"/>
        <v/>
      </c>
      <c r="H223" s="669">
        <f t="shared" si="46"/>
        <v>52201</v>
      </c>
    </row>
    <row r="224" spans="1:8">
      <c r="A224" s="669">
        <f>A223+31</f>
        <v>52232</v>
      </c>
      <c r="C224" s="677">
        <f t="shared" si="41"/>
        <v>52232</v>
      </c>
      <c r="D224" s="717" t="str">
        <f t="shared" si="42"/>
        <v/>
      </c>
      <c r="E224" s="668" t="str">
        <f t="shared" si="43"/>
        <v/>
      </c>
      <c r="F224" s="668" t="str">
        <f t="shared" si="44"/>
        <v/>
      </c>
      <c r="G224" s="669" t="str">
        <f t="shared" si="45"/>
        <v/>
      </c>
      <c r="H224" s="669">
        <f t="shared" si="46"/>
        <v>52232</v>
      </c>
    </row>
    <row r="225" spans="1:8">
      <c r="A225" s="669">
        <f>A224+31</f>
        <v>52263</v>
      </c>
      <c r="B225" s="668" t="b">
        <f>ISNA(VLOOKUP(A225,$E$4:$E$13,1,FALSE))</f>
        <v>1</v>
      </c>
      <c r="C225" s="677">
        <f t="shared" ref="C225:C287" si="47">A225</f>
        <v>52263</v>
      </c>
      <c r="D225" s="717" t="str">
        <f t="shared" ref="D225:D287" si="48">IF(($P$23-C225)&lt;0,"",($P$23-C225))</f>
        <v/>
      </c>
      <c r="E225" s="668" t="str">
        <f t="shared" ref="E225:E287" si="49">IF(D225="","",RANK(D225,$D$20:$D$215,1))</f>
        <v/>
      </c>
      <c r="F225" s="668" t="str">
        <f t="shared" ref="F225:F287" si="50">IF(A225&lt;$L$37,$K$36,IF(A225&lt;$L$38,$K$37,IF(A225&lt;$L$39,$K$38,IF(A225&lt;$L$40,$K$39,IF(A225&lt;$L$41,$K$40,$K$41)))))</f>
        <v/>
      </c>
      <c r="G225" s="669" t="str">
        <f t="shared" ref="G225:G287" si="51">VLOOKUP(F225,$K$36:$L$41,2,FALSE)</f>
        <v/>
      </c>
      <c r="H225" s="669">
        <f t="shared" ref="H225:H287" si="52">A225</f>
        <v>52263</v>
      </c>
    </row>
    <row r="226" spans="1:8">
      <c r="A226" s="669">
        <f>IF(B225=TRUE,(A225+28),(A225+29))</f>
        <v>52291</v>
      </c>
      <c r="C226" s="677">
        <f t="shared" si="47"/>
        <v>52291</v>
      </c>
      <c r="D226" s="717" t="str">
        <f t="shared" si="48"/>
        <v/>
      </c>
      <c r="E226" s="668" t="str">
        <f t="shared" si="49"/>
        <v/>
      </c>
      <c r="F226" s="668" t="str">
        <f t="shared" si="50"/>
        <v/>
      </c>
      <c r="G226" s="669" t="str">
        <f t="shared" si="51"/>
        <v/>
      </c>
      <c r="H226" s="669">
        <f t="shared" si="52"/>
        <v>52291</v>
      </c>
    </row>
    <row r="227" spans="1:8">
      <c r="A227" s="669">
        <f>A226+31</f>
        <v>52322</v>
      </c>
      <c r="C227" s="677">
        <f t="shared" si="47"/>
        <v>52322</v>
      </c>
      <c r="D227" s="717" t="str">
        <f t="shared" si="48"/>
        <v/>
      </c>
      <c r="E227" s="668" t="str">
        <f t="shared" si="49"/>
        <v/>
      </c>
      <c r="F227" s="668" t="str">
        <f t="shared" si="50"/>
        <v/>
      </c>
      <c r="G227" s="669" t="str">
        <f t="shared" si="51"/>
        <v/>
      </c>
      <c r="H227" s="669">
        <f t="shared" si="52"/>
        <v>52322</v>
      </c>
    </row>
    <row r="228" spans="1:8">
      <c r="A228" s="669">
        <f>A227+30</f>
        <v>52352</v>
      </c>
      <c r="C228" s="677">
        <f t="shared" si="47"/>
        <v>52352</v>
      </c>
      <c r="D228" s="717" t="str">
        <f t="shared" si="48"/>
        <v/>
      </c>
      <c r="E228" s="668" t="str">
        <f t="shared" si="49"/>
        <v/>
      </c>
      <c r="F228" s="668" t="str">
        <f t="shared" si="50"/>
        <v/>
      </c>
      <c r="G228" s="669" t="str">
        <f t="shared" si="51"/>
        <v/>
      </c>
      <c r="H228" s="669">
        <f t="shared" si="52"/>
        <v>52352</v>
      </c>
    </row>
    <row r="229" spans="1:8">
      <c r="A229" s="669">
        <f>A228+31</f>
        <v>52383</v>
      </c>
      <c r="C229" s="677">
        <f t="shared" si="47"/>
        <v>52383</v>
      </c>
      <c r="D229" s="717" t="str">
        <f t="shared" si="48"/>
        <v/>
      </c>
      <c r="E229" s="668" t="str">
        <f t="shared" si="49"/>
        <v/>
      </c>
      <c r="F229" s="668" t="str">
        <f t="shared" si="50"/>
        <v/>
      </c>
      <c r="G229" s="669" t="str">
        <f t="shared" si="51"/>
        <v/>
      </c>
      <c r="H229" s="669">
        <f t="shared" si="52"/>
        <v>52383</v>
      </c>
    </row>
    <row r="230" spans="1:8">
      <c r="A230" s="669">
        <f>A229+30</f>
        <v>52413</v>
      </c>
      <c r="C230" s="677">
        <f t="shared" si="47"/>
        <v>52413</v>
      </c>
      <c r="D230" s="717" t="str">
        <f t="shared" si="48"/>
        <v/>
      </c>
      <c r="E230" s="668" t="str">
        <f t="shared" si="49"/>
        <v/>
      </c>
      <c r="F230" s="668" t="str">
        <f t="shared" si="50"/>
        <v/>
      </c>
      <c r="G230" s="669" t="str">
        <f t="shared" si="51"/>
        <v/>
      </c>
      <c r="H230" s="669">
        <f t="shared" si="52"/>
        <v>52413</v>
      </c>
    </row>
    <row r="231" spans="1:8">
      <c r="A231" s="669">
        <f>A230+31</f>
        <v>52444</v>
      </c>
      <c r="C231" s="677">
        <f t="shared" si="47"/>
        <v>52444</v>
      </c>
      <c r="D231" s="717" t="str">
        <f t="shared" si="48"/>
        <v/>
      </c>
      <c r="E231" s="668" t="str">
        <f t="shared" si="49"/>
        <v/>
      </c>
      <c r="F231" s="668" t="str">
        <f t="shared" si="50"/>
        <v/>
      </c>
      <c r="G231" s="669" t="str">
        <f t="shared" si="51"/>
        <v/>
      </c>
      <c r="H231" s="669">
        <f t="shared" si="52"/>
        <v>52444</v>
      </c>
    </row>
    <row r="232" spans="1:8">
      <c r="A232" s="669">
        <f>A231+31</f>
        <v>52475</v>
      </c>
      <c r="C232" s="677">
        <f t="shared" si="47"/>
        <v>52475</v>
      </c>
      <c r="D232" s="717" t="str">
        <f t="shared" si="48"/>
        <v/>
      </c>
      <c r="E232" s="668" t="str">
        <f t="shared" si="49"/>
        <v/>
      </c>
      <c r="F232" s="668" t="str">
        <f t="shared" si="50"/>
        <v/>
      </c>
      <c r="G232" s="669" t="str">
        <f t="shared" si="51"/>
        <v/>
      </c>
      <c r="H232" s="669">
        <f t="shared" si="52"/>
        <v>52475</v>
      </c>
    </row>
    <row r="233" spans="1:8">
      <c r="A233" s="669">
        <f>A232+30</f>
        <v>52505</v>
      </c>
      <c r="C233" s="677">
        <f t="shared" si="47"/>
        <v>52505</v>
      </c>
      <c r="D233" s="717" t="str">
        <f t="shared" si="48"/>
        <v/>
      </c>
      <c r="E233" s="668" t="str">
        <f t="shared" si="49"/>
        <v/>
      </c>
      <c r="F233" s="668" t="str">
        <f t="shared" si="50"/>
        <v/>
      </c>
      <c r="G233" s="669" t="str">
        <f t="shared" si="51"/>
        <v/>
      </c>
      <c r="H233" s="669">
        <f t="shared" si="52"/>
        <v>52505</v>
      </c>
    </row>
    <row r="234" spans="1:8">
      <c r="A234" s="669">
        <f>A233+31</f>
        <v>52536</v>
      </c>
      <c r="C234" s="677">
        <f t="shared" si="47"/>
        <v>52536</v>
      </c>
      <c r="D234" s="717" t="str">
        <f t="shared" si="48"/>
        <v/>
      </c>
      <c r="E234" s="668" t="str">
        <f t="shared" si="49"/>
        <v/>
      </c>
      <c r="F234" s="668" t="str">
        <f t="shared" si="50"/>
        <v/>
      </c>
      <c r="G234" s="669" t="str">
        <f t="shared" si="51"/>
        <v/>
      </c>
      <c r="H234" s="669">
        <f t="shared" si="52"/>
        <v>52536</v>
      </c>
    </row>
    <row r="235" spans="1:8">
      <c r="A235" s="669">
        <f>A234+30</f>
        <v>52566</v>
      </c>
      <c r="C235" s="677">
        <f t="shared" si="47"/>
        <v>52566</v>
      </c>
      <c r="D235" s="717" t="str">
        <f t="shared" si="48"/>
        <v/>
      </c>
      <c r="E235" s="668" t="str">
        <f t="shared" si="49"/>
        <v/>
      </c>
      <c r="F235" s="668" t="str">
        <f t="shared" si="50"/>
        <v/>
      </c>
      <c r="G235" s="669" t="str">
        <f t="shared" si="51"/>
        <v/>
      </c>
      <c r="H235" s="669">
        <f t="shared" si="52"/>
        <v>52566</v>
      </c>
    </row>
    <row r="236" spans="1:8">
      <c r="A236" s="669">
        <f>A235+31</f>
        <v>52597</v>
      </c>
      <c r="C236" s="677">
        <f t="shared" si="47"/>
        <v>52597</v>
      </c>
      <c r="D236" s="717" t="str">
        <f t="shared" si="48"/>
        <v/>
      </c>
      <c r="E236" s="668" t="str">
        <f t="shared" si="49"/>
        <v/>
      </c>
      <c r="F236" s="668" t="str">
        <f t="shared" si="50"/>
        <v/>
      </c>
      <c r="G236" s="669" t="str">
        <f t="shared" si="51"/>
        <v/>
      </c>
      <c r="H236" s="669">
        <f t="shared" si="52"/>
        <v>52597</v>
      </c>
    </row>
    <row r="237" spans="1:8">
      <c r="A237" s="669">
        <f>A236+31</f>
        <v>52628</v>
      </c>
      <c r="B237" s="668" t="b">
        <f>ISNA(VLOOKUP(A237,$E$4:$E$13,1,FALSE))</f>
        <v>0</v>
      </c>
      <c r="C237" s="677">
        <f t="shared" si="47"/>
        <v>52628</v>
      </c>
      <c r="D237" s="717" t="str">
        <f t="shared" si="48"/>
        <v/>
      </c>
      <c r="E237" s="668" t="str">
        <f t="shared" si="49"/>
        <v/>
      </c>
      <c r="F237" s="668" t="str">
        <f t="shared" si="50"/>
        <v/>
      </c>
      <c r="G237" s="669" t="str">
        <f t="shared" si="51"/>
        <v/>
      </c>
      <c r="H237" s="669">
        <f t="shared" si="52"/>
        <v>52628</v>
      </c>
    </row>
    <row r="238" spans="1:8">
      <c r="A238" s="669">
        <f>IF(B237=TRUE,(A237+28),(A237+29))</f>
        <v>52657</v>
      </c>
      <c r="C238" s="677">
        <f t="shared" si="47"/>
        <v>52657</v>
      </c>
      <c r="D238" s="717" t="str">
        <f t="shared" si="48"/>
        <v/>
      </c>
      <c r="E238" s="668" t="str">
        <f t="shared" si="49"/>
        <v/>
      </c>
      <c r="F238" s="668" t="str">
        <f t="shared" si="50"/>
        <v/>
      </c>
      <c r="G238" s="669" t="str">
        <f t="shared" si="51"/>
        <v/>
      </c>
      <c r="H238" s="669">
        <f t="shared" si="52"/>
        <v>52657</v>
      </c>
    </row>
    <row r="239" spans="1:8">
      <c r="A239" s="669">
        <f>A238+31</f>
        <v>52688</v>
      </c>
      <c r="C239" s="677">
        <f t="shared" si="47"/>
        <v>52688</v>
      </c>
      <c r="D239" s="717" t="str">
        <f t="shared" si="48"/>
        <v/>
      </c>
      <c r="E239" s="668" t="str">
        <f t="shared" si="49"/>
        <v/>
      </c>
      <c r="F239" s="668" t="str">
        <f t="shared" si="50"/>
        <v/>
      </c>
      <c r="G239" s="669" t="str">
        <f t="shared" si="51"/>
        <v/>
      </c>
      <c r="H239" s="669">
        <f t="shared" si="52"/>
        <v>52688</v>
      </c>
    </row>
    <row r="240" spans="1:8">
      <c r="A240" s="669">
        <f>A239+30</f>
        <v>52718</v>
      </c>
      <c r="C240" s="677">
        <f t="shared" si="47"/>
        <v>52718</v>
      </c>
      <c r="D240" s="717" t="str">
        <f t="shared" si="48"/>
        <v/>
      </c>
      <c r="E240" s="668" t="str">
        <f t="shared" si="49"/>
        <v/>
      </c>
      <c r="F240" s="668" t="str">
        <f t="shared" si="50"/>
        <v/>
      </c>
      <c r="G240" s="669" t="str">
        <f t="shared" si="51"/>
        <v/>
      </c>
      <c r="H240" s="669">
        <f t="shared" si="52"/>
        <v>52718</v>
      </c>
    </row>
    <row r="241" spans="1:8">
      <c r="A241" s="669">
        <f>A240+31</f>
        <v>52749</v>
      </c>
      <c r="C241" s="677">
        <f t="shared" si="47"/>
        <v>52749</v>
      </c>
      <c r="D241" s="717" t="str">
        <f t="shared" si="48"/>
        <v/>
      </c>
      <c r="E241" s="668" t="str">
        <f t="shared" si="49"/>
        <v/>
      </c>
      <c r="F241" s="668" t="str">
        <f t="shared" si="50"/>
        <v/>
      </c>
      <c r="G241" s="669" t="str">
        <f t="shared" si="51"/>
        <v/>
      </c>
      <c r="H241" s="669">
        <f t="shared" si="52"/>
        <v>52749</v>
      </c>
    </row>
    <row r="242" spans="1:8">
      <c r="A242" s="669">
        <f>A241+30</f>
        <v>52779</v>
      </c>
      <c r="C242" s="677">
        <f t="shared" si="47"/>
        <v>52779</v>
      </c>
      <c r="D242" s="717" t="str">
        <f t="shared" si="48"/>
        <v/>
      </c>
      <c r="E242" s="668" t="str">
        <f t="shared" si="49"/>
        <v/>
      </c>
      <c r="F242" s="668" t="str">
        <f t="shared" si="50"/>
        <v/>
      </c>
      <c r="G242" s="669" t="str">
        <f t="shared" si="51"/>
        <v/>
      </c>
      <c r="H242" s="669">
        <f t="shared" si="52"/>
        <v>52779</v>
      </c>
    </row>
    <row r="243" spans="1:8">
      <c r="A243" s="669">
        <f>A242+31</f>
        <v>52810</v>
      </c>
      <c r="C243" s="677">
        <f t="shared" si="47"/>
        <v>52810</v>
      </c>
      <c r="D243" s="717" t="str">
        <f t="shared" si="48"/>
        <v/>
      </c>
      <c r="E243" s="668" t="str">
        <f t="shared" si="49"/>
        <v/>
      </c>
      <c r="F243" s="668" t="str">
        <f t="shared" si="50"/>
        <v/>
      </c>
      <c r="G243" s="669" t="str">
        <f t="shared" si="51"/>
        <v/>
      </c>
      <c r="H243" s="669">
        <f t="shared" si="52"/>
        <v>52810</v>
      </c>
    </row>
    <row r="244" spans="1:8">
      <c r="A244" s="669">
        <f>A243+31</f>
        <v>52841</v>
      </c>
      <c r="C244" s="677">
        <f t="shared" si="47"/>
        <v>52841</v>
      </c>
      <c r="D244" s="717" t="str">
        <f t="shared" si="48"/>
        <v/>
      </c>
      <c r="E244" s="668" t="str">
        <f t="shared" si="49"/>
        <v/>
      </c>
      <c r="F244" s="668" t="str">
        <f t="shared" si="50"/>
        <v/>
      </c>
      <c r="G244" s="669" t="str">
        <f t="shared" si="51"/>
        <v/>
      </c>
      <c r="H244" s="669">
        <f t="shared" si="52"/>
        <v>52841</v>
      </c>
    </row>
    <row r="245" spans="1:8">
      <c r="A245" s="669">
        <f>A244+30</f>
        <v>52871</v>
      </c>
      <c r="C245" s="677">
        <f t="shared" si="47"/>
        <v>52871</v>
      </c>
      <c r="D245" s="717" t="str">
        <f t="shared" si="48"/>
        <v/>
      </c>
      <c r="E245" s="668" t="str">
        <f t="shared" si="49"/>
        <v/>
      </c>
      <c r="F245" s="668" t="str">
        <f t="shared" si="50"/>
        <v/>
      </c>
      <c r="G245" s="669" t="str">
        <f t="shared" si="51"/>
        <v/>
      </c>
      <c r="H245" s="669">
        <f t="shared" si="52"/>
        <v>52871</v>
      </c>
    </row>
    <row r="246" spans="1:8">
      <c r="A246" s="669">
        <f>A245+31</f>
        <v>52902</v>
      </c>
      <c r="C246" s="677">
        <f t="shared" si="47"/>
        <v>52902</v>
      </c>
      <c r="D246" s="717" t="str">
        <f t="shared" si="48"/>
        <v/>
      </c>
      <c r="E246" s="668" t="str">
        <f t="shared" si="49"/>
        <v/>
      </c>
      <c r="F246" s="668" t="str">
        <f t="shared" si="50"/>
        <v/>
      </c>
      <c r="G246" s="669" t="str">
        <f t="shared" si="51"/>
        <v/>
      </c>
      <c r="H246" s="669">
        <f t="shared" si="52"/>
        <v>52902</v>
      </c>
    </row>
    <row r="247" spans="1:8">
      <c r="A247" s="669">
        <f>A246+30</f>
        <v>52932</v>
      </c>
      <c r="C247" s="677">
        <f t="shared" si="47"/>
        <v>52932</v>
      </c>
      <c r="D247" s="717" t="str">
        <f t="shared" si="48"/>
        <v/>
      </c>
      <c r="E247" s="668" t="str">
        <f t="shared" si="49"/>
        <v/>
      </c>
      <c r="F247" s="668" t="str">
        <f t="shared" si="50"/>
        <v/>
      </c>
      <c r="G247" s="669" t="str">
        <f t="shared" si="51"/>
        <v/>
      </c>
      <c r="H247" s="669">
        <f t="shared" si="52"/>
        <v>52932</v>
      </c>
    </row>
    <row r="248" spans="1:8">
      <c r="A248" s="669">
        <f>A247+31</f>
        <v>52963</v>
      </c>
      <c r="C248" s="677">
        <f t="shared" si="47"/>
        <v>52963</v>
      </c>
      <c r="D248" s="717" t="str">
        <f t="shared" si="48"/>
        <v/>
      </c>
      <c r="E248" s="668" t="str">
        <f t="shared" si="49"/>
        <v/>
      </c>
      <c r="F248" s="668" t="str">
        <f t="shared" si="50"/>
        <v/>
      </c>
      <c r="G248" s="669" t="str">
        <f t="shared" si="51"/>
        <v/>
      </c>
      <c r="H248" s="669">
        <f t="shared" si="52"/>
        <v>52963</v>
      </c>
    </row>
    <row r="249" spans="1:8">
      <c r="A249" s="669">
        <f>A248+31</f>
        <v>52994</v>
      </c>
      <c r="B249" s="668" t="b">
        <f>ISNA(VLOOKUP(A249,$E$4:$E$13,1,FALSE))</f>
        <v>1</v>
      </c>
      <c r="C249" s="677">
        <f t="shared" si="47"/>
        <v>52994</v>
      </c>
      <c r="D249" s="717" t="str">
        <f t="shared" si="48"/>
        <v/>
      </c>
      <c r="E249" s="668" t="str">
        <f t="shared" si="49"/>
        <v/>
      </c>
      <c r="F249" s="668" t="str">
        <f t="shared" si="50"/>
        <v/>
      </c>
      <c r="G249" s="669" t="str">
        <f t="shared" si="51"/>
        <v/>
      </c>
      <c r="H249" s="669">
        <f t="shared" si="52"/>
        <v>52994</v>
      </c>
    </row>
    <row r="250" spans="1:8">
      <c r="A250" s="669">
        <f>IF(B249=TRUE,(A249+28),(A249+29))</f>
        <v>53022</v>
      </c>
      <c r="C250" s="677">
        <f t="shared" si="47"/>
        <v>53022</v>
      </c>
      <c r="D250" s="717" t="str">
        <f t="shared" si="48"/>
        <v/>
      </c>
      <c r="E250" s="668" t="str">
        <f t="shared" si="49"/>
        <v/>
      </c>
      <c r="F250" s="668" t="str">
        <f t="shared" si="50"/>
        <v/>
      </c>
      <c r="G250" s="669" t="str">
        <f t="shared" si="51"/>
        <v/>
      </c>
      <c r="H250" s="669">
        <f t="shared" si="52"/>
        <v>53022</v>
      </c>
    </row>
    <row r="251" spans="1:8">
      <c r="A251" s="669">
        <f>A250+31</f>
        <v>53053</v>
      </c>
      <c r="C251" s="677">
        <f t="shared" si="47"/>
        <v>53053</v>
      </c>
      <c r="D251" s="717" t="str">
        <f t="shared" si="48"/>
        <v/>
      </c>
      <c r="E251" s="668" t="str">
        <f t="shared" si="49"/>
        <v/>
      </c>
      <c r="F251" s="668" t="str">
        <f t="shared" si="50"/>
        <v/>
      </c>
      <c r="G251" s="669" t="str">
        <f t="shared" si="51"/>
        <v/>
      </c>
      <c r="H251" s="669">
        <f t="shared" si="52"/>
        <v>53053</v>
      </c>
    </row>
    <row r="252" spans="1:8">
      <c r="A252" s="669">
        <f>A251+30</f>
        <v>53083</v>
      </c>
      <c r="C252" s="677">
        <f t="shared" si="47"/>
        <v>53083</v>
      </c>
      <c r="D252" s="717" t="str">
        <f t="shared" si="48"/>
        <v/>
      </c>
      <c r="E252" s="668" t="str">
        <f t="shared" si="49"/>
        <v/>
      </c>
      <c r="F252" s="668" t="str">
        <f t="shared" si="50"/>
        <v/>
      </c>
      <c r="G252" s="669" t="str">
        <f t="shared" si="51"/>
        <v/>
      </c>
      <c r="H252" s="669">
        <f t="shared" si="52"/>
        <v>53083</v>
      </c>
    </row>
    <row r="253" spans="1:8">
      <c r="A253" s="669">
        <f>A252+31</f>
        <v>53114</v>
      </c>
      <c r="C253" s="677">
        <f t="shared" si="47"/>
        <v>53114</v>
      </c>
      <c r="D253" s="717" t="str">
        <f t="shared" si="48"/>
        <v/>
      </c>
      <c r="E253" s="668" t="str">
        <f t="shared" si="49"/>
        <v/>
      </c>
      <c r="F253" s="668" t="str">
        <f t="shared" si="50"/>
        <v/>
      </c>
      <c r="G253" s="669" t="str">
        <f t="shared" si="51"/>
        <v/>
      </c>
      <c r="H253" s="669">
        <f t="shared" si="52"/>
        <v>53114</v>
      </c>
    </row>
    <row r="254" spans="1:8">
      <c r="A254" s="669">
        <f>A253+30</f>
        <v>53144</v>
      </c>
      <c r="C254" s="677">
        <f t="shared" si="47"/>
        <v>53144</v>
      </c>
      <c r="D254" s="717" t="str">
        <f t="shared" si="48"/>
        <v/>
      </c>
      <c r="E254" s="668" t="str">
        <f t="shared" si="49"/>
        <v/>
      </c>
      <c r="F254" s="668" t="str">
        <f t="shared" si="50"/>
        <v/>
      </c>
      <c r="G254" s="669" t="str">
        <f t="shared" si="51"/>
        <v/>
      </c>
      <c r="H254" s="669">
        <f t="shared" si="52"/>
        <v>53144</v>
      </c>
    </row>
    <row r="255" spans="1:8">
      <c r="A255" s="669">
        <f>A254+31</f>
        <v>53175</v>
      </c>
      <c r="C255" s="677">
        <f t="shared" si="47"/>
        <v>53175</v>
      </c>
      <c r="D255" s="717" t="str">
        <f t="shared" si="48"/>
        <v/>
      </c>
      <c r="E255" s="668" t="str">
        <f t="shared" si="49"/>
        <v/>
      </c>
      <c r="F255" s="668" t="str">
        <f t="shared" si="50"/>
        <v/>
      </c>
      <c r="G255" s="669" t="str">
        <f t="shared" si="51"/>
        <v/>
      </c>
      <c r="H255" s="669">
        <f t="shared" si="52"/>
        <v>53175</v>
      </c>
    </row>
    <row r="256" spans="1:8">
      <c r="A256" s="669">
        <f>A255+31</f>
        <v>53206</v>
      </c>
      <c r="C256" s="677">
        <f t="shared" si="47"/>
        <v>53206</v>
      </c>
      <c r="D256" s="717" t="str">
        <f t="shared" si="48"/>
        <v/>
      </c>
      <c r="E256" s="668" t="str">
        <f t="shared" si="49"/>
        <v/>
      </c>
      <c r="F256" s="668" t="str">
        <f t="shared" si="50"/>
        <v/>
      </c>
      <c r="G256" s="669" t="str">
        <f t="shared" si="51"/>
        <v/>
      </c>
      <c r="H256" s="669">
        <f t="shared" si="52"/>
        <v>53206</v>
      </c>
    </row>
    <row r="257" spans="1:8">
      <c r="A257" s="669">
        <f>A256+30</f>
        <v>53236</v>
      </c>
      <c r="C257" s="677">
        <f t="shared" si="47"/>
        <v>53236</v>
      </c>
      <c r="D257" s="717" t="str">
        <f t="shared" si="48"/>
        <v/>
      </c>
      <c r="E257" s="668" t="str">
        <f t="shared" si="49"/>
        <v/>
      </c>
      <c r="F257" s="668" t="str">
        <f t="shared" si="50"/>
        <v/>
      </c>
      <c r="G257" s="669" t="str">
        <f t="shared" si="51"/>
        <v/>
      </c>
      <c r="H257" s="669">
        <f t="shared" si="52"/>
        <v>53236</v>
      </c>
    </row>
    <row r="258" spans="1:8">
      <c r="A258" s="669">
        <f>A257+31</f>
        <v>53267</v>
      </c>
      <c r="C258" s="677">
        <f t="shared" si="47"/>
        <v>53267</v>
      </c>
      <c r="D258" s="717" t="str">
        <f t="shared" si="48"/>
        <v/>
      </c>
      <c r="E258" s="668" t="str">
        <f t="shared" si="49"/>
        <v/>
      </c>
      <c r="F258" s="668" t="str">
        <f t="shared" si="50"/>
        <v/>
      </c>
      <c r="G258" s="669" t="str">
        <f t="shared" si="51"/>
        <v/>
      </c>
      <c r="H258" s="669">
        <f t="shared" si="52"/>
        <v>53267</v>
      </c>
    </row>
    <row r="259" spans="1:8">
      <c r="A259" s="669">
        <f>A258+30</f>
        <v>53297</v>
      </c>
      <c r="C259" s="677">
        <f t="shared" si="47"/>
        <v>53297</v>
      </c>
      <c r="D259" s="717" t="str">
        <f t="shared" si="48"/>
        <v/>
      </c>
      <c r="E259" s="668" t="str">
        <f t="shared" si="49"/>
        <v/>
      </c>
      <c r="F259" s="668" t="str">
        <f t="shared" si="50"/>
        <v/>
      </c>
      <c r="G259" s="669" t="str">
        <f t="shared" si="51"/>
        <v/>
      </c>
      <c r="H259" s="669">
        <f t="shared" si="52"/>
        <v>53297</v>
      </c>
    </row>
    <row r="260" spans="1:8">
      <c r="A260" s="669">
        <f>A259+31</f>
        <v>53328</v>
      </c>
      <c r="C260" s="677">
        <f t="shared" si="47"/>
        <v>53328</v>
      </c>
      <c r="D260" s="717" t="str">
        <f t="shared" si="48"/>
        <v/>
      </c>
      <c r="E260" s="668" t="str">
        <f t="shared" si="49"/>
        <v/>
      </c>
      <c r="F260" s="668" t="str">
        <f t="shared" si="50"/>
        <v/>
      </c>
      <c r="G260" s="669" t="str">
        <f t="shared" si="51"/>
        <v/>
      </c>
      <c r="H260" s="669">
        <f t="shared" si="52"/>
        <v>53328</v>
      </c>
    </row>
    <row r="261" spans="1:8">
      <c r="A261" s="669">
        <f>A260+31</f>
        <v>53359</v>
      </c>
      <c r="B261" s="668" t="b">
        <f>ISNA(VLOOKUP(A261,$E$4:$E$13,1,FALSE))</f>
        <v>1</v>
      </c>
      <c r="C261" s="677">
        <f t="shared" si="47"/>
        <v>53359</v>
      </c>
      <c r="D261" s="717" t="str">
        <f t="shared" si="48"/>
        <v/>
      </c>
      <c r="E261" s="668" t="str">
        <f t="shared" si="49"/>
        <v/>
      </c>
      <c r="F261" s="668" t="str">
        <f t="shared" si="50"/>
        <v/>
      </c>
      <c r="G261" s="669" t="str">
        <f t="shared" si="51"/>
        <v/>
      </c>
      <c r="H261" s="669">
        <f t="shared" si="52"/>
        <v>53359</v>
      </c>
    </row>
    <row r="262" spans="1:8">
      <c r="A262" s="669">
        <f>IF(B261=TRUE,(A261+28),(A261+29))</f>
        <v>53387</v>
      </c>
      <c r="C262" s="677">
        <f t="shared" si="47"/>
        <v>53387</v>
      </c>
      <c r="D262" s="717" t="str">
        <f t="shared" si="48"/>
        <v/>
      </c>
      <c r="E262" s="668" t="str">
        <f t="shared" si="49"/>
        <v/>
      </c>
      <c r="F262" s="668" t="str">
        <f t="shared" si="50"/>
        <v/>
      </c>
      <c r="G262" s="669" t="str">
        <f t="shared" si="51"/>
        <v/>
      </c>
      <c r="H262" s="669">
        <f t="shared" si="52"/>
        <v>53387</v>
      </c>
    </row>
    <row r="263" spans="1:8">
      <c r="A263" s="669">
        <f>A262+31</f>
        <v>53418</v>
      </c>
      <c r="C263" s="677">
        <f t="shared" si="47"/>
        <v>53418</v>
      </c>
      <c r="D263" s="717" t="str">
        <f t="shared" si="48"/>
        <v/>
      </c>
      <c r="E263" s="668" t="str">
        <f t="shared" si="49"/>
        <v/>
      </c>
      <c r="F263" s="668" t="str">
        <f t="shared" si="50"/>
        <v/>
      </c>
      <c r="G263" s="669" t="str">
        <f t="shared" si="51"/>
        <v/>
      </c>
      <c r="H263" s="669">
        <f t="shared" si="52"/>
        <v>53418</v>
      </c>
    </row>
    <row r="264" spans="1:8">
      <c r="A264" s="669">
        <f>A263+30</f>
        <v>53448</v>
      </c>
      <c r="C264" s="677">
        <f t="shared" si="47"/>
        <v>53448</v>
      </c>
      <c r="D264" s="717" t="str">
        <f t="shared" si="48"/>
        <v/>
      </c>
      <c r="E264" s="668" t="str">
        <f t="shared" si="49"/>
        <v/>
      </c>
      <c r="F264" s="668" t="str">
        <f t="shared" si="50"/>
        <v/>
      </c>
      <c r="G264" s="669" t="str">
        <f t="shared" si="51"/>
        <v/>
      </c>
      <c r="H264" s="669">
        <f t="shared" si="52"/>
        <v>53448</v>
      </c>
    </row>
    <row r="265" spans="1:8">
      <c r="A265" s="669">
        <f>A264+31</f>
        <v>53479</v>
      </c>
      <c r="C265" s="677">
        <f t="shared" si="47"/>
        <v>53479</v>
      </c>
      <c r="D265" s="717" t="str">
        <f t="shared" si="48"/>
        <v/>
      </c>
      <c r="E265" s="668" t="str">
        <f t="shared" si="49"/>
        <v/>
      </c>
      <c r="F265" s="668" t="str">
        <f t="shared" si="50"/>
        <v/>
      </c>
      <c r="G265" s="669" t="str">
        <f t="shared" si="51"/>
        <v/>
      </c>
      <c r="H265" s="669">
        <f t="shared" si="52"/>
        <v>53479</v>
      </c>
    </row>
    <row r="266" spans="1:8">
      <c r="A266" s="669">
        <f>A265+30</f>
        <v>53509</v>
      </c>
      <c r="C266" s="677">
        <f t="shared" si="47"/>
        <v>53509</v>
      </c>
      <c r="D266" s="717" t="str">
        <f t="shared" si="48"/>
        <v/>
      </c>
      <c r="E266" s="668" t="str">
        <f t="shared" si="49"/>
        <v/>
      </c>
      <c r="F266" s="668" t="str">
        <f t="shared" si="50"/>
        <v/>
      </c>
      <c r="G266" s="669" t="str">
        <f t="shared" si="51"/>
        <v/>
      </c>
      <c r="H266" s="669">
        <f t="shared" si="52"/>
        <v>53509</v>
      </c>
    </row>
    <row r="267" spans="1:8">
      <c r="A267" s="669">
        <f>A266+31</f>
        <v>53540</v>
      </c>
      <c r="C267" s="677">
        <f t="shared" si="47"/>
        <v>53540</v>
      </c>
      <c r="D267" s="717" t="str">
        <f t="shared" si="48"/>
        <v/>
      </c>
      <c r="E267" s="668" t="str">
        <f t="shared" si="49"/>
        <v/>
      </c>
      <c r="F267" s="668" t="str">
        <f t="shared" si="50"/>
        <v/>
      </c>
      <c r="G267" s="669" t="str">
        <f t="shared" si="51"/>
        <v/>
      </c>
      <c r="H267" s="669">
        <f t="shared" si="52"/>
        <v>53540</v>
      </c>
    </row>
    <row r="268" spans="1:8">
      <c r="A268" s="669">
        <f>A267+31</f>
        <v>53571</v>
      </c>
      <c r="C268" s="677">
        <f t="shared" si="47"/>
        <v>53571</v>
      </c>
      <c r="D268" s="717" t="str">
        <f t="shared" si="48"/>
        <v/>
      </c>
      <c r="E268" s="668" t="str">
        <f t="shared" si="49"/>
        <v/>
      </c>
      <c r="F268" s="668" t="str">
        <f t="shared" si="50"/>
        <v/>
      </c>
      <c r="G268" s="669" t="str">
        <f t="shared" si="51"/>
        <v/>
      </c>
      <c r="H268" s="669">
        <f t="shared" si="52"/>
        <v>53571</v>
      </c>
    </row>
    <row r="269" spans="1:8">
      <c r="A269" s="669">
        <f>A268+30</f>
        <v>53601</v>
      </c>
      <c r="C269" s="677">
        <f t="shared" si="47"/>
        <v>53601</v>
      </c>
      <c r="D269" s="717" t="str">
        <f t="shared" si="48"/>
        <v/>
      </c>
      <c r="E269" s="668" t="str">
        <f t="shared" si="49"/>
        <v/>
      </c>
      <c r="F269" s="668" t="str">
        <f t="shared" si="50"/>
        <v/>
      </c>
      <c r="G269" s="669" t="str">
        <f t="shared" si="51"/>
        <v/>
      </c>
      <c r="H269" s="669">
        <f t="shared" si="52"/>
        <v>53601</v>
      </c>
    </row>
    <row r="270" spans="1:8">
      <c r="A270" s="669">
        <f>A269+31</f>
        <v>53632</v>
      </c>
      <c r="C270" s="677">
        <f t="shared" si="47"/>
        <v>53632</v>
      </c>
      <c r="D270" s="717" t="str">
        <f t="shared" si="48"/>
        <v/>
      </c>
      <c r="E270" s="668" t="str">
        <f t="shared" si="49"/>
        <v/>
      </c>
      <c r="F270" s="668" t="str">
        <f t="shared" si="50"/>
        <v/>
      </c>
      <c r="G270" s="669" t="str">
        <f t="shared" si="51"/>
        <v/>
      </c>
      <c r="H270" s="669">
        <f t="shared" si="52"/>
        <v>53632</v>
      </c>
    </row>
    <row r="271" spans="1:8">
      <c r="A271" s="669">
        <f>A270+30</f>
        <v>53662</v>
      </c>
      <c r="C271" s="677">
        <f t="shared" si="47"/>
        <v>53662</v>
      </c>
      <c r="D271" s="717" t="str">
        <f t="shared" si="48"/>
        <v/>
      </c>
      <c r="E271" s="668" t="str">
        <f t="shared" si="49"/>
        <v/>
      </c>
      <c r="F271" s="668" t="str">
        <f t="shared" si="50"/>
        <v/>
      </c>
      <c r="G271" s="669" t="str">
        <f t="shared" si="51"/>
        <v/>
      </c>
      <c r="H271" s="669">
        <f t="shared" si="52"/>
        <v>53662</v>
      </c>
    </row>
    <row r="272" spans="1:8">
      <c r="A272" s="669">
        <f>A271+31</f>
        <v>53693</v>
      </c>
      <c r="C272" s="677">
        <f t="shared" si="47"/>
        <v>53693</v>
      </c>
      <c r="D272" s="717" t="str">
        <f t="shared" si="48"/>
        <v/>
      </c>
      <c r="E272" s="668" t="str">
        <f t="shared" si="49"/>
        <v/>
      </c>
      <c r="F272" s="668" t="str">
        <f t="shared" si="50"/>
        <v/>
      </c>
      <c r="G272" s="669" t="str">
        <f t="shared" si="51"/>
        <v/>
      </c>
      <c r="H272" s="669">
        <f t="shared" si="52"/>
        <v>53693</v>
      </c>
    </row>
    <row r="273" spans="1:8">
      <c r="A273" s="669">
        <f>A272+31</f>
        <v>53724</v>
      </c>
      <c r="B273" s="668" t="b">
        <f>ISNA(VLOOKUP(A273,$E$4:$E$13,1,FALSE))</f>
        <v>1</v>
      </c>
      <c r="C273" s="677">
        <f t="shared" si="47"/>
        <v>53724</v>
      </c>
      <c r="D273" s="717" t="str">
        <f t="shared" si="48"/>
        <v/>
      </c>
      <c r="E273" s="668" t="str">
        <f t="shared" si="49"/>
        <v/>
      </c>
      <c r="F273" s="668" t="str">
        <f t="shared" si="50"/>
        <v/>
      </c>
      <c r="G273" s="669" t="str">
        <f t="shared" si="51"/>
        <v/>
      </c>
      <c r="H273" s="669">
        <f t="shared" si="52"/>
        <v>53724</v>
      </c>
    </row>
    <row r="274" spans="1:8">
      <c r="A274" s="669">
        <f>IF(B273=TRUE,(A273+28),(A273+29))</f>
        <v>53752</v>
      </c>
      <c r="C274" s="677">
        <f t="shared" si="47"/>
        <v>53752</v>
      </c>
      <c r="D274" s="717" t="str">
        <f t="shared" si="48"/>
        <v/>
      </c>
      <c r="E274" s="668" t="str">
        <f t="shared" si="49"/>
        <v/>
      </c>
      <c r="F274" s="668" t="str">
        <f t="shared" si="50"/>
        <v/>
      </c>
      <c r="G274" s="669" t="str">
        <f t="shared" si="51"/>
        <v/>
      </c>
      <c r="H274" s="669">
        <f t="shared" si="52"/>
        <v>53752</v>
      </c>
    </row>
    <row r="275" spans="1:8">
      <c r="A275" s="669">
        <f>A274+31</f>
        <v>53783</v>
      </c>
      <c r="C275" s="677">
        <f t="shared" si="47"/>
        <v>53783</v>
      </c>
      <c r="D275" s="717" t="str">
        <f t="shared" si="48"/>
        <v/>
      </c>
      <c r="E275" s="668" t="str">
        <f t="shared" si="49"/>
        <v/>
      </c>
      <c r="F275" s="668" t="str">
        <f t="shared" si="50"/>
        <v/>
      </c>
      <c r="G275" s="669" t="str">
        <f t="shared" si="51"/>
        <v/>
      </c>
      <c r="H275" s="669">
        <f t="shared" si="52"/>
        <v>53783</v>
      </c>
    </row>
    <row r="276" spans="1:8">
      <c r="A276" s="669">
        <f>A275+30</f>
        <v>53813</v>
      </c>
      <c r="C276" s="677">
        <f t="shared" si="47"/>
        <v>53813</v>
      </c>
      <c r="D276" s="717" t="str">
        <f t="shared" si="48"/>
        <v/>
      </c>
      <c r="E276" s="668" t="str">
        <f t="shared" si="49"/>
        <v/>
      </c>
      <c r="F276" s="668" t="str">
        <f t="shared" si="50"/>
        <v/>
      </c>
      <c r="G276" s="669" t="str">
        <f t="shared" si="51"/>
        <v/>
      </c>
      <c r="H276" s="669">
        <f t="shared" si="52"/>
        <v>53813</v>
      </c>
    </row>
    <row r="277" spans="1:8">
      <c r="A277" s="669">
        <f>A276+31</f>
        <v>53844</v>
      </c>
      <c r="C277" s="677">
        <f t="shared" si="47"/>
        <v>53844</v>
      </c>
      <c r="D277" s="717" t="str">
        <f t="shared" si="48"/>
        <v/>
      </c>
      <c r="E277" s="668" t="str">
        <f t="shared" si="49"/>
        <v/>
      </c>
      <c r="F277" s="668" t="str">
        <f t="shared" si="50"/>
        <v/>
      </c>
      <c r="G277" s="669" t="str">
        <f t="shared" si="51"/>
        <v/>
      </c>
      <c r="H277" s="669">
        <f t="shared" si="52"/>
        <v>53844</v>
      </c>
    </row>
    <row r="278" spans="1:8">
      <c r="A278" s="669">
        <f>A277+30</f>
        <v>53874</v>
      </c>
      <c r="C278" s="677">
        <f t="shared" si="47"/>
        <v>53874</v>
      </c>
      <c r="D278" s="717" t="str">
        <f t="shared" si="48"/>
        <v/>
      </c>
      <c r="E278" s="668" t="str">
        <f t="shared" si="49"/>
        <v/>
      </c>
      <c r="F278" s="668" t="str">
        <f t="shared" si="50"/>
        <v/>
      </c>
      <c r="G278" s="669" t="str">
        <f t="shared" si="51"/>
        <v/>
      </c>
      <c r="H278" s="669">
        <f t="shared" si="52"/>
        <v>53874</v>
      </c>
    </row>
    <row r="279" spans="1:8">
      <c r="A279" s="669">
        <f>A278+31</f>
        <v>53905</v>
      </c>
      <c r="C279" s="677">
        <f t="shared" si="47"/>
        <v>53905</v>
      </c>
      <c r="D279" s="717" t="str">
        <f t="shared" si="48"/>
        <v/>
      </c>
      <c r="E279" s="668" t="str">
        <f t="shared" si="49"/>
        <v/>
      </c>
      <c r="F279" s="668" t="str">
        <f t="shared" si="50"/>
        <v/>
      </c>
      <c r="G279" s="669" t="str">
        <f t="shared" si="51"/>
        <v/>
      </c>
      <c r="H279" s="669">
        <f t="shared" si="52"/>
        <v>53905</v>
      </c>
    </row>
    <row r="280" spans="1:8">
      <c r="A280" s="669">
        <f>A279+31</f>
        <v>53936</v>
      </c>
      <c r="C280" s="677">
        <f t="shared" si="47"/>
        <v>53936</v>
      </c>
      <c r="D280" s="717" t="str">
        <f t="shared" si="48"/>
        <v/>
      </c>
      <c r="E280" s="668" t="str">
        <f t="shared" si="49"/>
        <v/>
      </c>
      <c r="F280" s="668" t="str">
        <f t="shared" si="50"/>
        <v/>
      </c>
      <c r="G280" s="669" t="str">
        <f t="shared" si="51"/>
        <v/>
      </c>
      <c r="H280" s="669">
        <f t="shared" si="52"/>
        <v>53936</v>
      </c>
    </row>
    <row r="281" spans="1:8">
      <c r="A281" s="669">
        <f>A280+30</f>
        <v>53966</v>
      </c>
      <c r="C281" s="677">
        <f t="shared" si="47"/>
        <v>53966</v>
      </c>
      <c r="D281" s="717" t="str">
        <f t="shared" si="48"/>
        <v/>
      </c>
      <c r="E281" s="668" t="str">
        <f t="shared" si="49"/>
        <v/>
      </c>
      <c r="F281" s="668" t="str">
        <f t="shared" si="50"/>
        <v/>
      </c>
      <c r="G281" s="669" t="str">
        <f t="shared" si="51"/>
        <v/>
      </c>
      <c r="H281" s="669">
        <f t="shared" si="52"/>
        <v>53966</v>
      </c>
    </row>
    <row r="282" spans="1:8">
      <c r="A282" s="669">
        <f>A281+31</f>
        <v>53997</v>
      </c>
      <c r="C282" s="677">
        <f t="shared" si="47"/>
        <v>53997</v>
      </c>
      <c r="D282" s="717" t="str">
        <f t="shared" si="48"/>
        <v/>
      </c>
      <c r="E282" s="668" t="str">
        <f t="shared" si="49"/>
        <v/>
      </c>
      <c r="F282" s="668" t="str">
        <f t="shared" si="50"/>
        <v/>
      </c>
      <c r="G282" s="669" t="str">
        <f t="shared" si="51"/>
        <v/>
      </c>
      <c r="H282" s="669">
        <f t="shared" si="52"/>
        <v>53997</v>
      </c>
    </row>
    <row r="283" spans="1:8">
      <c r="A283" s="669">
        <f>A282+30</f>
        <v>54027</v>
      </c>
      <c r="C283" s="677">
        <f t="shared" si="47"/>
        <v>54027</v>
      </c>
      <c r="D283" s="717" t="str">
        <f t="shared" si="48"/>
        <v/>
      </c>
      <c r="E283" s="668" t="str">
        <f t="shared" si="49"/>
        <v/>
      </c>
      <c r="F283" s="668" t="str">
        <f t="shared" si="50"/>
        <v/>
      </c>
      <c r="G283" s="669" t="str">
        <f t="shared" si="51"/>
        <v/>
      </c>
      <c r="H283" s="669">
        <f t="shared" si="52"/>
        <v>54027</v>
      </c>
    </row>
    <row r="284" spans="1:8">
      <c r="A284" s="669">
        <f>A283+31</f>
        <v>54058</v>
      </c>
      <c r="C284" s="677">
        <f t="shared" si="47"/>
        <v>54058</v>
      </c>
      <c r="D284" s="717" t="str">
        <f t="shared" si="48"/>
        <v/>
      </c>
      <c r="E284" s="668" t="str">
        <f t="shared" si="49"/>
        <v/>
      </c>
      <c r="F284" s="668" t="str">
        <f t="shared" si="50"/>
        <v/>
      </c>
      <c r="G284" s="669" t="str">
        <f t="shared" si="51"/>
        <v/>
      </c>
      <c r="H284" s="669">
        <f t="shared" si="52"/>
        <v>54058</v>
      </c>
    </row>
    <row r="285" spans="1:8">
      <c r="A285" s="669">
        <f>A284+31</f>
        <v>54089</v>
      </c>
      <c r="B285" s="668" t="b">
        <f>ISNA(VLOOKUP(A285,$E$4:$E$13,1,FALSE))</f>
        <v>0</v>
      </c>
      <c r="C285" s="677">
        <f t="shared" si="47"/>
        <v>54089</v>
      </c>
      <c r="D285" s="717" t="str">
        <f t="shared" si="48"/>
        <v/>
      </c>
      <c r="E285" s="668" t="str">
        <f t="shared" si="49"/>
        <v/>
      </c>
      <c r="F285" s="668" t="str">
        <f t="shared" si="50"/>
        <v/>
      </c>
      <c r="G285" s="669" t="str">
        <f t="shared" si="51"/>
        <v/>
      </c>
      <c r="H285" s="669">
        <f t="shared" si="52"/>
        <v>54089</v>
      </c>
    </row>
    <row r="286" spans="1:8">
      <c r="A286" s="669">
        <f>IF(B285=TRUE,(A285+28),(A285+29))</f>
        <v>54118</v>
      </c>
      <c r="C286" s="677">
        <f t="shared" si="47"/>
        <v>54118</v>
      </c>
      <c r="D286" s="717" t="str">
        <f t="shared" si="48"/>
        <v/>
      </c>
      <c r="E286" s="668" t="str">
        <f t="shared" si="49"/>
        <v/>
      </c>
      <c r="F286" s="668" t="str">
        <f t="shared" si="50"/>
        <v/>
      </c>
      <c r="G286" s="669" t="str">
        <f t="shared" si="51"/>
        <v/>
      </c>
      <c r="H286" s="669">
        <f t="shared" si="52"/>
        <v>54118</v>
      </c>
    </row>
    <row r="287" spans="1:8">
      <c r="A287" s="669">
        <f>A286+31</f>
        <v>54149</v>
      </c>
      <c r="C287" s="677">
        <f t="shared" si="47"/>
        <v>54149</v>
      </c>
      <c r="D287" s="717" t="str">
        <f t="shared" si="48"/>
        <v/>
      </c>
      <c r="E287" s="668" t="str">
        <f t="shared" si="49"/>
        <v/>
      </c>
      <c r="F287" s="668" t="str">
        <f t="shared" si="50"/>
        <v/>
      </c>
      <c r="G287" s="669" t="str">
        <f t="shared" si="51"/>
        <v/>
      </c>
      <c r="H287" s="669">
        <f t="shared" si="52"/>
        <v>54149</v>
      </c>
    </row>
    <row r="300" spans="2:8">
      <c r="B300" s="678" t="s">
        <v>371</v>
      </c>
      <c r="C300" s="669">
        <f>'F1  Cover'!$L$8</f>
        <v>46006</v>
      </c>
    </row>
    <row r="301" spans="2:8">
      <c r="B301" s="678" t="s">
        <v>372</v>
      </c>
      <c r="C301" s="669">
        <f>VLOOKUP(1,$G$301:$H$505,2,FALSE)</f>
        <v>45992</v>
      </c>
      <c r="F301" s="669">
        <f>W2</f>
        <v>41730</v>
      </c>
      <c r="G301" s="668">
        <f>IF($C$300&lt;F301,1,0)</f>
        <v>0</v>
      </c>
    </row>
    <row r="302" spans="2:8">
      <c r="F302" s="669">
        <f>F301+30</f>
        <v>41760</v>
      </c>
      <c r="G302" s="668">
        <f>IF(G301=1,0,IF($C$300&lt;F302,1,0))</f>
        <v>0</v>
      </c>
      <c r="H302" s="669">
        <f>F301</f>
        <v>41730</v>
      </c>
    </row>
    <row r="303" spans="2:8">
      <c r="F303" s="669">
        <f>F302+31</f>
        <v>41791</v>
      </c>
      <c r="G303" s="668">
        <f>IF(SUM($G$301:G302)=1,0,IF($C$300&lt;F303,1,0))</f>
        <v>0</v>
      </c>
      <c r="H303" s="669">
        <f>F302</f>
        <v>41760</v>
      </c>
    </row>
    <row r="304" spans="2:8">
      <c r="F304" s="669">
        <f t="shared" ref="F304:F321" si="53">F303+30</f>
        <v>41821</v>
      </c>
      <c r="G304" s="668">
        <f>IF(SUM($G$301:G303)=1,0,IF($C$300&lt;F304,1,0))</f>
        <v>0</v>
      </c>
      <c r="H304" s="669">
        <f t="shared" ref="H304:H367" si="54">F303</f>
        <v>41791</v>
      </c>
    </row>
    <row r="305" spans="6:8">
      <c r="F305" s="669">
        <f>F304+31</f>
        <v>41852</v>
      </c>
      <c r="G305" s="668">
        <f>IF(SUM($G$301:G304)=1,0,IF($C$300&lt;F305,1,0))</f>
        <v>0</v>
      </c>
      <c r="H305" s="669">
        <f t="shared" si="54"/>
        <v>41821</v>
      </c>
    </row>
    <row r="306" spans="6:8">
      <c r="F306" s="669">
        <f>F305+31</f>
        <v>41883</v>
      </c>
      <c r="G306" s="668">
        <f>IF(SUM($G$301:G305)=1,0,IF($C$300&lt;F306,1,0))</f>
        <v>0</v>
      </c>
      <c r="H306" s="669">
        <f t="shared" si="54"/>
        <v>41852</v>
      </c>
    </row>
    <row r="307" spans="6:8">
      <c r="F307" s="669">
        <f t="shared" si="53"/>
        <v>41913</v>
      </c>
      <c r="G307" s="668">
        <f>IF(SUM($G$301:G306)=1,0,IF($C$300&lt;F307,1,0))</f>
        <v>0</v>
      </c>
      <c r="H307" s="669">
        <f t="shared" si="54"/>
        <v>41883</v>
      </c>
    </row>
    <row r="308" spans="6:8">
      <c r="F308" s="669">
        <f>F307+31</f>
        <v>41944</v>
      </c>
      <c r="G308" s="668">
        <f>IF(SUM($G$301:G307)=1,0,IF($C$300&lt;F308,1,0))</f>
        <v>0</v>
      </c>
      <c r="H308" s="669">
        <f t="shared" si="54"/>
        <v>41913</v>
      </c>
    </row>
    <row r="309" spans="6:8">
      <c r="F309" s="669">
        <f t="shared" si="53"/>
        <v>41974</v>
      </c>
      <c r="G309" s="668">
        <f>IF(SUM($G$301:G308)=1,0,IF($C$300&lt;F309,1,0))</f>
        <v>0</v>
      </c>
      <c r="H309" s="669">
        <f t="shared" si="54"/>
        <v>41944</v>
      </c>
    </row>
    <row r="310" spans="6:8">
      <c r="F310" s="669">
        <f>F309+31</f>
        <v>42005</v>
      </c>
      <c r="G310" s="668">
        <f>IF(SUM($G$301:G309)=1,0,IF($C$300&lt;F310,1,0))</f>
        <v>0</v>
      </c>
      <c r="H310" s="669">
        <f t="shared" si="54"/>
        <v>41974</v>
      </c>
    </row>
    <row r="311" spans="6:8">
      <c r="F311" s="669">
        <f>F310+31</f>
        <v>42036</v>
      </c>
      <c r="G311" s="668">
        <f>IF(SUM($G$301:G310)=1,0,IF($C$300&lt;F311,1,0))</f>
        <v>0</v>
      </c>
      <c r="H311" s="669">
        <f t="shared" si="54"/>
        <v>42005</v>
      </c>
    </row>
    <row r="312" spans="6:8">
      <c r="F312" s="669">
        <f>IF(ISNA(VLOOKUP(F311,$E$4:$E$13,1,FALSE))=TRUE,F311+28,F311+29)</f>
        <v>42064</v>
      </c>
      <c r="G312" s="668">
        <f>IF(SUM($G$301:G311)=1,0,IF($C$300&lt;F312,1,0))</f>
        <v>0</v>
      </c>
      <c r="H312" s="669">
        <f t="shared" si="54"/>
        <v>42036</v>
      </c>
    </row>
    <row r="313" spans="6:8">
      <c r="F313" s="669">
        <f>F312+31</f>
        <v>42095</v>
      </c>
      <c r="G313" s="668">
        <f>IF(SUM($G$301:G312)=1,0,IF($C$300&lt;F313,1,0))</f>
        <v>0</v>
      </c>
      <c r="H313" s="669">
        <f t="shared" si="54"/>
        <v>42064</v>
      </c>
    </row>
    <row r="314" spans="6:8">
      <c r="F314" s="669">
        <f>F313+30</f>
        <v>42125</v>
      </c>
      <c r="G314" s="668">
        <f>IF(SUM($G$301:G313)=1,0,IF($C$300&lt;F314,1,0))</f>
        <v>0</v>
      </c>
      <c r="H314" s="669">
        <f t="shared" si="54"/>
        <v>42095</v>
      </c>
    </row>
    <row r="315" spans="6:8">
      <c r="F315" s="669">
        <f>F314+31</f>
        <v>42156</v>
      </c>
      <c r="G315" s="668">
        <f>IF(SUM($G$301:G314)=1,0,IF($C$300&lt;F315,1,0))</f>
        <v>0</v>
      </c>
      <c r="H315" s="669">
        <f t="shared" si="54"/>
        <v>42125</v>
      </c>
    </row>
    <row r="316" spans="6:8">
      <c r="F316" s="669">
        <f t="shared" si="53"/>
        <v>42186</v>
      </c>
      <c r="G316" s="668">
        <f>IF(SUM($G$301:G315)=1,0,IF($C$300&lt;F316,1,0))</f>
        <v>0</v>
      </c>
      <c r="H316" s="669">
        <f t="shared" si="54"/>
        <v>42156</v>
      </c>
    </row>
    <row r="317" spans="6:8">
      <c r="F317" s="669">
        <f>F316+31</f>
        <v>42217</v>
      </c>
      <c r="G317" s="668">
        <f>IF(SUM($G$301:G316)=1,0,IF($C$300&lt;F317,1,0))</f>
        <v>0</v>
      </c>
      <c r="H317" s="669">
        <f t="shared" si="54"/>
        <v>42186</v>
      </c>
    </row>
    <row r="318" spans="6:8">
      <c r="F318" s="669">
        <f>F317+31</f>
        <v>42248</v>
      </c>
      <c r="G318" s="668">
        <f>IF(SUM($G$301:G317)=1,0,IF($C$300&lt;F318,1,0))</f>
        <v>0</v>
      </c>
      <c r="H318" s="669">
        <f t="shared" si="54"/>
        <v>42217</v>
      </c>
    </row>
    <row r="319" spans="6:8">
      <c r="F319" s="669">
        <f t="shared" si="53"/>
        <v>42278</v>
      </c>
      <c r="G319" s="668">
        <f>IF(SUM($G$301:G318)=1,0,IF($C$300&lt;F319,1,0))</f>
        <v>0</v>
      </c>
      <c r="H319" s="669">
        <f t="shared" si="54"/>
        <v>42248</v>
      </c>
    </row>
    <row r="320" spans="6:8">
      <c r="F320" s="669">
        <f>F319+31</f>
        <v>42309</v>
      </c>
      <c r="G320" s="668">
        <f>IF(SUM($G$301:G319)=1,0,IF($C$300&lt;F320,1,0))</f>
        <v>0</v>
      </c>
      <c r="H320" s="669">
        <f t="shared" si="54"/>
        <v>42278</v>
      </c>
    </row>
    <row r="321" spans="6:8">
      <c r="F321" s="669">
        <f t="shared" si="53"/>
        <v>42339</v>
      </c>
      <c r="G321" s="668">
        <f>IF(SUM($G$301:G320)=1,0,IF($C$300&lt;F321,1,0))</f>
        <v>0</v>
      </c>
      <c r="H321" s="669">
        <f t="shared" si="54"/>
        <v>42309</v>
      </c>
    </row>
    <row r="322" spans="6:8">
      <c r="F322" s="669">
        <f>F321+31</f>
        <v>42370</v>
      </c>
      <c r="G322" s="668">
        <f>IF(SUM($G$301:G321)=1,0,IF($C$300&lt;F322,1,0))</f>
        <v>0</v>
      </c>
      <c r="H322" s="669">
        <f t="shared" si="54"/>
        <v>42339</v>
      </c>
    </row>
    <row r="323" spans="6:8">
      <c r="F323" s="669">
        <f>F322+31</f>
        <v>42401</v>
      </c>
      <c r="G323" s="668">
        <f>IF(SUM($G$301:G322)=1,0,IF($C$300&lt;F323,1,0))</f>
        <v>0</v>
      </c>
      <c r="H323" s="669">
        <f t="shared" si="54"/>
        <v>42370</v>
      </c>
    </row>
    <row r="324" spans="6:8">
      <c r="F324" s="669">
        <f>IF(ISNA(VLOOKUP(F323,$E$4:$E$13,1,FALSE))=TRUE,F323+28,F323+29)</f>
        <v>42430</v>
      </c>
      <c r="G324" s="668">
        <f>IF(SUM($G$301:G323)=1,0,IF($C$300&lt;F324,1,0))</f>
        <v>0</v>
      </c>
      <c r="H324" s="669">
        <f t="shared" si="54"/>
        <v>42401</v>
      </c>
    </row>
    <row r="325" spans="6:8">
      <c r="F325" s="669">
        <f>F324+31</f>
        <v>42461</v>
      </c>
      <c r="G325" s="668">
        <f>IF(SUM($G$301:G324)=1,0,IF($C$300&lt;F325,1,0))</f>
        <v>0</v>
      </c>
      <c r="H325" s="669">
        <f t="shared" si="54"/>
        <v>42430</v>
      </c>
    </row>
    <row r="326" spans="6:8">
      <c r="F326" s="669">
        <f>F325+30</f>
        <v>42491</v>
      </c>
      <c r="G326" s="668">
        <f>IF(SUM($G$301:G325)=1,0,IF($C$300&lt;F326,1,0))</f>
        <v>0</v>
      </c>
      <c r="H326" s="669">
        <f t="shared" si="54"/>
        <v>42461</v>
      </c>
    </row>
    <row r="327" spans="6:8">
      <c r="F327" s="669">
        <f>F326+31</f>
        <v>42522</v>
      </c>
      <c r="G327" s="668">
        <f>IF(SUM($G$301:G326)=1,0,IF($C$300&lt;F327,1,0))</f>
        <v>0</v>
      </c>
      <c r="H327" s="669">
        <f t="shared" si="54"/>
        <v>42491</v>
      </c>
    </row>
    <row r="328" spans="6:8">
      <c r="F328" s="669">
        <f t="shared" ref="F328:F333" si="55">F327+30</f>
        <v>42552</v>
      </c>
      <c r="G328" s="668">
        <f>IF(SUM($G$301:G327)=1,0,IF($C$300&lt;F328,1,0))</f>
        <v>0</v>
      </c>
      <c r="H328" s="669">
        <f t="shared" si="54"/>
        <v>42522</v>
      </c>
    </row>
    <row r="329" spans="6:8">
      <c r="F329" s="669">
        <f>F328+31</f>
        <v>42583</v>
      </c>
      <c r="G329" s="668">
        <f>IF(SUM($G$301:G328)=1,0,IF($C$300&lt;F329,1,0))</f>
        <v>0</v>
      </c>
      <c r="H329" s="669">
        <f t="shared" si="54"/>
        <v>42552</v>
      </c>
    </row>
    <row r="330" spans="6:8">
      <c r="F330" s="669">
        <f>F329+31</f>
        <v>42614</v>
      </c>
      <c r="G330" s="668">
        <f>IF(SUM($G$301:G329)=1,0,IF($C$300&lt;F330,1,0))</f>
        <v>0</v>
      </c>
      <c r="H330" s="669">
        <f t="shared" si="54"/>
        <v>42583</v>
      </c>
    </row>
    <row r="331" spans="6:8">
      <c r="F331" s="669">
        <f t="shared" si="55"/>
        <v>42644</v>
      </c>
      <c r="G331" s="668">
        <f>IF(SUM($G$301:G330)=1,0,IF($C$300&lt;F331,1,0))</f>
        <v>0</v>
      </c>
      <c r="H331" s="669">
        <f t="shared" si="54"/>
        <v>42614</v>
      </c>
    </row>
    <row r="332" spans="6:8">
      <c r="F332" s="669">
        <f>F331+31</f>
        <v>42675</v>
      </c>
      <c r="G332" s="668">
        <f>IF(SUM($G$301:G331)=1,0,IF($C$300&lt;F332,1,0))</f>
        <v>0</v>
      </c>
      <c r="H332" s="669">
        <f t="shared" si="54"/>
        <v>42644</v>
      </c>
    </row>
    <row r="333" spans="6:8">
      <c r="F333" s="669">
        <f t="shared" si="55"/>
        <v>42705</v>
      </c>
      <c r="G333" s="668">
        <f>IF(SUM($G$301:G332)=1,0,IF($C$300&lt;F333,1,0))</f>
        <v>0</v>
      </c>
      <c r="H333" s="669">
        <f t="shared" si="54"/>
        <v>42675</v>
      </c>
    </row>
    <row r="334" spans="6:8">
      <c r="F334" s="669">
        <f>F333+31</f>
        <v>42736</v>
      </c>
      <c r="G334" s="668">
        <f>IF(SUM($G$301:G333)=1,0,IF($C$300&lt;F334,1,0))</f>
        <v>0</v>
      </c>
      <c r="H334" s="669">
        <f t="shared" si="54"/>
        <v>42705</v>
      </c>
    </row>
    <row r="335" spans="6:8">
      <c r="F335" s="669">
        <f>F334+31</f>
        <v>42767</v>
      </c>
      <c r="G335" s="668">
        <f>IF(SUM($G$301:G334)=1,0,IF($C$300&lt;F335,1,0))</f>
        <v>0</v>
      </c>
      <c r="H335" s="669">
        <f t="shared" si="54"/>
        <v>42736</v>
      </c>
    </row>
    <row r="336" spans="6:8">
      <c r="F336" s="669">
        <f>IF(ISNA(VLOOKUP(F335,$E$4:$E$13,1,FALSE))=TRUE,F335+28,F335+29)</f>
        <v>42795</v>
      </c>
      <c r="G336" s="668">
        <f>IF(SUM($G$301:G335)=1,0,IF($C$300&lt;F336,1,0))</f>
        <v>0</v>
      </c>
      <c r="H336" s="669">
        <f t="shared" si="54"/>
        <v>42767</v>
      </c>
    </row>
    <row r="337" spans="1:8">
      <c r="F337" s="669">
        <f>F336+31</f>
        <v>42826</v>
      </c>
      <c r="G337" s="668">
        <f>IF(SUM($G$301:G336)=1,0,IF($C$300&lt;F337,1,0))</f>
        <v>0</v>
      </c>
      <c r="H337" s="669">
        <f t="shared" si="54"/>
        <v>42795</v>
      </c>
    </row>
    <row r="338" spans="1:8">
      <c r="F338" s="669">
        <f>F337+30</f>
        <v>42856</v>
      </c>
      <c r="G338" s="668">
        <f>IF(SUM($G$301:G337)=1,0,IF($C$300&lt;F338,1,0))</f>
        <v>0</v>
      </c>
      <c r="H338" s="669">
        <f t="shared" si="54"/>
        <v>42826</v>
      </c>
    </row>
    <row r="339" spans="1:8">
      <c r="F339" s="669">
        <f>F338+31</f>
        <v>42887</v>
      </c>
      <c r="G339" s="668">
        <f>IF(SUM($G$301:G338)=1,0,IF($C$300&lt;F339,1,0))</f>
        <v>0</v>
      </c>
      <c r="H339" s="669">
        <f t="shared" si="54"/>
        <v>42856</v>
      </c>
    </row>
    <row r="340" spans="1:8">
      <c r="F340" s="669">
        <f t="shared" ref="F340:F345" si="56">F339+30</f>
        <v>42917</v>
      </c>
      <c r="G340" s="668">
        <f>IF(SUM($G$301:G339)=1,0,IF($C$300&lt;F340,1,0))</f>
        <v>0</v>
      </c>
      <c r="H340" s="669">
        <f t="shared" si="54"/>
        <v>42887</v>
      </c>
    </row>
    <row r="341" spans="1:8">
      <c r="F341" s="669">
        <f>F340+31</f>
        <v>42948</v>
      </c>
      <c r="G341" s="668">
        <f>IF(SUM($G$301:G340)=1,0,IF($C$300&lt;F341,1,0))</f>
        <v>0</v>
      </c>
      <c r="H341" s="669">
        <f t="shared" si="54"/>
        <v>42917</v>
      </c>
    </row>
    <row r="342" spans="1:8">
      <c r="F342" s="669">
        <f>F341+31</f>
        <v>42979</v>
      </c>
      <c r="G342" s="668">
        <f>IF(SUM($G$301:G341)=1,0,IF($C$300&lt;F342,1,0))</f>
        <v>0</v>
      </c>
      <c r="H342" s="669">
        <f t="shared" si="54"/>
        <v>42948</v>
      </c>
    </row>
    <row r="343" spans="1:8">
      <c r="F343" s="669">
        <f t="shared" si="56"/>
        <v>43009</v>
      </c>
      <c r="G343" s="668">
        <f>IF(SUM($G$301:G342)=1,0,IF($C$300&lt;F343,1,0))</f>
        <v>0</v>
      </c>
      <c r="H343" s="669">
        <f t="shared" si="54"/>
        <v>42979</v>
      </c>
    </row>
    <row r="344" spans="1:8">
      <c r="F344" s="669">
        <f>F343+31</f>
        <v>43040</v>
      </c>
      <c r="G344" s="668">
        <f>IF(SUM($G$301:G343)=1,0,IF($C$300&lt;F344,1,0))</f>
        <v>0</v>
      </c>
      <c r="H344" s="669">
        <f t="shared" si="54"/>
        <v>43009</v>
      </c>
    </row>
    <row r="345" spans="1:8">
      <c r="F345" s="669">
        <f t="shared" si="56"/>
        <v>43070</v>
      </c>
      <c r="G345" s="668">
        <f>IF(SUM($G$301:G344)=1,0,IF($C$300&lt;F345,1,0))</f>
        <v>0</v>
      </c>
      <c r="H345" s="669">
        <f t="shared" si="54"/>
        <v>43040</v>
      </c>
    </row>
    <row r="346" spans="1:8">
      <c r="F346" s="669">
        <f>F345+31</f>
        <v>43101</v>
      </c>
      <c r="G346" s="668">
        <f>IF(SUM($G$301:G345)=1,0,IF($C$300&lt;F346,1,0))</f>
        <v>0</v>
      </c>
      <c r="H346" s="669">
        <f t="shared" si="54"/>
        <v>43070</v>
      </c>
    </row>
    <row r="347" spans="1:8">
      <c r="F347" s="669">
        <f>F346+31</f>
        <v>43132</v>
      </c>
      <c r="G347" s="668">
        <f>IF(SUM($G$301:G346)=1,0,IF($C$300&lt;F347,1,0))</f>
        <v>0</v>
      </c>
      <c r="H347" s="669">
        <f t="shared" si="54"/>
        <v>43101</v>
      </c>
    </row>
    <row r="348" spans="1:8">
      <c r="F348" s="669">
        <f>IF(ISNA(VLOOKUP(F347,$E$4:$E$13,1,FALSE))=TRUE,F347+28,F347+29)</f>
        <v>43160</v>
      </c>
      <c r="G348" s="668">
        <f>IF(SUM($G$301:G347)=1,0,IF($C$300&lt;F348,1,0))</f>
        <v>0</v>
      </c>
      <c r="H348" s="669">
        <f t="shared" si="54"/>
        <v>43132</v>
      </c>
    </row>
    <row r="349" spans="1:8">
      <c r="A349" s="688"/>
      <c r="B349" s="688"/>
      <c r="C349" s="688"/>
      <c r="D349" s="688"/>
      <c r="E349" s="688"/>
      <c r="F349" s="687">
        <f>F348+31</f>
        <v>43191</v>
      </c>
      <c r="G349" s="688">
        <f>IF(SUM($G$301:G348)=1,0,IF($C$300&lt;F349,1,0))</f>
        <v>0</v>
      </c>
      <c r="H349" s="687">
        <f t="shared" si="54"/>
        <v>43160</v>
      </c>
    </row>
    <row r="350" spans="1:8">
      <c r="F350" s="669">
        <f>F349+30</f>
        <v>43221</v>
      </c>
      <c r="G350" s="668">
        <f>IF(SUM($G$301:G349)=1,0,IF($C$300&lt;F350,1,0))</f>
        <v>0</v>
      </c>
      <c r="H350" s="669">
        <f t="shared" si="54"/>
        <v>43191</v>
      </c>
    </row>
    <row r="351" spans="1:8">
      <c r="F351" s="669">
        <f>F350+31</f>
        <v>43252</v>
      </c>
      <c r="G351" s="668">
        <f>IF(SUM($G$301:G350)=1,0,IF($C$300&lt;F351,1,0))</f>
        <v>0</v>
      </c>
      <c r="H351" s="669">
        <f t="shared" si="54"/>
        <v>43221</v>
      </c>
    </row>
    <row r="352" spans="1:8">
      <c r="F352" s="669">
        <f t="shared" ref="F352:F355" si="57">F351+30</f>
        <v>43282</v>
      </c>
      <c r="G352" s="668">
        <f>IF(SUM($G$301:G351)=1,0,IF($C$300&lt;F352,1,0))</f>
        <v>0</v>
      </c>
      <c r="H352" s="669">
        <f t="shared" si="54"/>
        <v>43252</v>
      </c>
    </row>
    <row r="353" spans="6:8">
      <c r="F353" s="669">
        <f>F352+31</f>
        <v>43313</v>
      </c>
      <c r="G353" s="668">
        <f>IF(SUM($G$301:G352)=1,0,IF($C$300&lt;F353,1,0))</f>
        <v>0</v>
      </c>
      <c r="H353" s="669">
        <f t="shared" si="54"/>
        <v>43282</v>
      </c>
    </row>
    <row r="354" spans="6:8">
      <c r="F354" s="669">
        <f>F353+31</f>
        <v>43344</v>
      </c>
      <c r="G354" s="668">
        <f>IF(SUM($G$301:G353)=1,0,IF($C$300&lt;F354,1,0))</f>
        <v>0</v>
      </c>
      <c r="H354" s="669">
        <f t="shared" si="54"/>
        <v>43313</v>
      </c>
    </row>
    <row r="355" spans="6:8">
      <c r="F355" s="669">
        <f t="shared" si="57"/>
        <v>43374</v>
      </c>
      <c r="G355" s="668">
        <f>IF(SUM($G$301:G354)=1,0,IF($C$300&lt;F355,1,0))</f>
        <v>0</v>
      </c>
      <c r="H355" s="669">
        <f t="shared" si="54"/>
        <v>43344</v>
      </c>
    </row>
    <row r="356" spans="6:8">
      <c r="F356" s="669">
        <f>F355+31</f>
        <v>43405</v>
      </c>
      <c r="G356" s="668">
        <f>IF(SUM($G$301:G355)=1,0,IF($C$300&lt;F356,1,0))</f>
        <v>0</v>
      </c>
      <c r="H356" s="669">
        <f t="shared" si="54"/>
        <v>43374</v>
      </c>
    </row>
    <row r="357" spans="6:8">
      <c r="F357" s="669">
        <f>F356+30</f>
        <v>43435</v>
      </c>
      <c r="G357" s="668">
        <v>0</v>
      </c>
      <c r="H357" s="669">
        <v>43252</v>
      </c>
    </row>
    <row r="358" spans="6:8">
      <c r="F358" s="669">
        <f t="shared" ref="F358" si="58">F357+31</f>
        <v>43466</v>
      </c>
      <c r="G358" s="668">
        <v>0</v>
      </c>
      <c r="H358" s="669">
        <v>43252</v>
      </c>
    </row>
    <row r="359" spans="6:8">
      <c r="F359" s="669">
        <f>F358+31</f>
        <v>43497</v>
      </c>
      <c r="G359" s="668">
        <f>IF(SUM($G$301:G358)=1,0,IF($C$300&lt;F359,1,0))</f>
        <v>0</v>
      </c>
      <c r="H359" s="669">
        <f t="shared" si="54"/>
        <v>43466</v>
      </c>
    </row>
    <row r="360" spans="6:8">
      <c r="F360" s="669">
        <f>IF(ISNA(VLOOKUP(F359,$E$4:$E$13,1,FALSE))=TRUE,F359+28,F359+29)</f>
        <v>43525</v>
      </c>
      <c r="G360" s="668">
        <f>IF(SUM($G$301:G359)=1,0,IF($C$300&lt;F360,1,0))</f>
        <v>0</v>
      </c>
      <c r="H360" s="669">
        <f t="shared" si="54"/>
        <v>43497</v>
      </c>
    </row>
    <row r="361" spans="6:8">
      <c r="F361" s="669">
        <f>F360+31</f>
        <v>43556</v>
      </c>
      <c r="G361" s="668">
        <f>IF(SUM($G$301:G360)=1,0,IF($C$300&lt;F361,1,0))</f>
        <v>0</v>
      </c>
      <c r="H361" s="669">
        <f t="shared" si="54"/>
        <v>43525</v>
      </c>
    </row>
    <row r="362" spans="6:8">
      <c r="F362" s="669">
        <f>F361+30</f>
        <v>43586</v>
      </c>
      <c r="G362" s="668">
        <f>IF(SUM($G$301:G361)=1,0,IF($C$300&lt;F362,1,0))</f>
        <v>0</v>
      </c>
      <c r="H362" s="669">
        <f t="shared" si="54"/>
        <v>43556</v>
      </c>
    </row>
    <row r="363" spans="6:8">
      <c r="F363" s="669">
        <f>F362+31</f>
        <v>43617</v>
      </c>
      <c r="G363" s="668">
        <f>IF(SUM($G$301:G362)=1,0,IF($C$300&lt;F363,1,0))</f>
        <v>0</v>
      </c>
      <c r="H363" s="669">
        <f t="shared" si="54"/>
        <v>43586</v>
      </c>
    </row>
    <row r="364" spans="6:8">
      <c r="F364" s="669">
        <f t="shared" ref="F364:F369" si="59">F363+30</f>
        <v>43647</v>
      </c>
      <c r="G364" s="668">
        <f>IF(SUM($G$301:G363)=1,0,IF($C$300&lt;F364,1,0))</f>
        <v>0</v>
      </c>
      <c r="H364" s="669">
        <f t="shared" si="54"/>
        <v>43617</v>
      </c>
    </row>
    <row r="365" spans="6:8">
      <c r="F365" s="669">
        <f>F364+31</f>
        <v>43678</v>
      </c>
      <c r="G365" s="668">
        <f>IF(SUM($G$301:G364)=1,0,IF($C$300&lt;F365,1,0))</f>
        <v>0</v>
      </c>
      <c r="H365" s="669">
        <f t="shared" si="54"/>
        <v>43647</v>
      </c>
    </row>
    <row r="366" spans="6:8">
      <c r="F366" s="669">
        <f>F365+31</f>
        <v>43709</v>
      </c>
      <c r="G366" s="668">
        <f>IF(SUM($G$301:G365)=1,0,IF($C$300&lt;F366,1,0))</f>
        <v>0</v>
      </c>
      <c r="H366" s="669">
        <f t="shared" si="54"/>
        <v>43678</v>
      </c>
    </row>
    <row r="367" spans="6:8">
      <c r="F367" s="669">
        <f t="shared" si="59"/>
        <v>43739</v>
      </c>
      <c r="G367" s="668">
        <f>IF(SUM($G$301:G366)=1,0,IF($C$300&lt;F367,1,0))</f>
        <v>0</v>
      </c>
      <c r="H367" s="669">
        <f t="shared" si="54"/>
        <v>43709</v>
      </c>
    </row>
    <row r="368" spans="6:8">
      <c r="F368" s="669">
        <f>F367+31</f>
        <v>43770</v>
      </c>
      <c r="G368" s="668">
        <f>IF(SUM($G$301:G367)=1,0,IF($C$300&lt;F368,1,0))</f>
        <v>0</v>
      </c>
      <c r="H368" s="669">
        <f t="shared" ref="H368:H431" si="60">F367</f>
        <v>43739</v>
      </c>
    </row>
    <row r="369" spans="6:8">
      <c r="F369" s="669">
        <f t="shared" si="59"/>
        <v>43800</v>
      </c>
      <c r="G369" s="668">
        <f>IF(SUM($G$301:G368)=1,0,IF($C$300&lt;F369,1,0))</f>
        <v>0</v>
      </c>
      <c r="H369" s="669">
        <f t="shared" si="60"/>
        <v>43770</v>
      </c>
    </row>
    <row r="370" spans="6:8">
      <c r="F370" s="669">
        <f>F369+31</f>
        <v>43831</v>
      </c>
      <c r="G370" s="668">
        <f>IF(SUM($G$301:G369)=1,0,IF($C$300&lt;F370,1,0))</f>
        <v>0</v>
      </c>
      <c r="H370" s="669">
        <f t="shared" si="60"/>
        <v>43800</v>
      </c>
    </row>
    <row r="371" spans="6:8">
      <c r="F371" s="669">
        <f>F370+31</f>
        <v>43862</v>
      </c>
      <c r="G371" s="668">
        <f>IF(SUM($G$301:G370)=1,0,IF($C$300&lt;F371,1,0))</f>
        <v>0</v>
      </c>
      <c r="H371" s="669">
        <f t="shared" si="60"/>
        <v>43831</v>
      </c>
    </row>
    <row r="372" spans="6:8">
      <c r="F372" s="669">
        <f>IF(ISNA(VLOOKUP(F371,$E$4:$E$13,1,FALSE))=TRUE,F371+28,F371+29)</f>
        <v>43891</v>
      </c>
      <c r="G372" s="668">
        <f>IF(SUM($G$301:G371)=1,0,IF($C$300&lt;F372,1,0))</f>
        <v>0</v>
      </c>
      <c r="H372" s="669">
        <f t="shared" si="60"/>
        <v>43862</v>
      </c>
    </row>
    <row r="373" spans="6:8">
      <c r="F373" s="669">
        <f>F372+31</f>
        <v>43922</v>
      </c>
      <c r="G373" s="668">
        <f>IF(SUM($G$301:G372)=1,0,IF($C$300&lt;F373,1,0))</f>
        <v>0</v>
      </c>
      <c r="H373" s="669">
        <f t="shared" si="60"/>
        <v>43891</v>
      </c>
    </row>
    <row r="374" spans="6:8">
      <c r="F374" s="669">
        <f>F373+30</f>
        <v>43952</v>
      </c>
      <c r="G374" s="668">
        <f>IF(SUM($G$301:G373)=1,0,IF($C$300&lt;F374,1,0))</f>
        <v>0</v>
      </c>
      <c r="H374" s="669">
        <f t="shared" si="60"/>
        <v>43922</v>
      </c>
    </row>
    <row r="375" spans="6:8">
      <c r="F375" s="669">
        <f>F374+31</f>
        <v>43983</v>
      </c>
      <c r="G375" s="668">
        <f>IF(SUM($G$301:G374)=1,0,IF($C$300&lt;F375,1,0))</f>
        <v>0</v>
      </c>
      <c r="H375" s="669">
        <f t="shared" si="60"/>
        <v>43952</v>
      </c>
    </row>
    <row r="376" spans="6:8">
      <c r="F376" s="669">
        <f t="shared" ref="F376:F381" si="61">F375+30</f>
        <v>44013</v>
      </c>
      <c r="G376" s="668">
        <f>IF(SUM($G$301:G375)=1,0,IF($C$300&lt;F376,1,0))</f>
        <v>0</v>
      </c>
      <c r="H376" s="669">
        <f t="shared" si="60"/>
        <v>43983</v>
      </c>
    </row>
    <row r="377" spans="6:8">
      <c r="F377" s="669">
        <f>F376+31</f>
        <v>44044</v>
      </c>
      <c r="G377" s="668">
        <f>IF(SUM($G$301:G376)=1,0,IF($C$300&lt;F377,1,0))</f>
        <v>0</v>
      </c>
      <c r="H377" s="669">
        <f t="shared" si="60"/>
        <v>44013</v>
      </c>
    </row>
    <row r="378" spans="6:8">
      <c r="F378" s="669">
        <f>F377+31</f>
        <v>44075</v>
      </c>
      <c r="G378" s="668">
        <f>IF(SUM($G$301:G377)=1,0,IF($C$300&lt;F378,1,0))</f>
        <v>0</v>
      </c>
      <c r="H378" s="669">
        <f t="shared" si="60"/>
        <v>44044</v>
      </c>
    </row>
    <row r="379" spans="6:8">
      <c r="F379" s="669">
        <f t="shared" si="61"/>
        <v>44105</v>
      </c>
      <c r="G379" s="668">
        <f>IF(SUM($G$301:G378)=1,0,IF($C$300&lt;F379,1,0))</f>
        <v>0</v>
      </c>
      <c r="H379" s="669">
        <f t="shared" si="60"/>
        <v>44075</v>
      </c>
    </row>
    <row r="380" spans="6:8">
      <c r="F380" s="669">
        <f>F379+31</f>
        <v>44136</v>
      </c>
      <c r="G380" s="668">
        <f>IF(SUM($G$301:G379)=1,0,IF($C$300&lt;F380,1,0))</f>
        <v>0</v>
      </c>
      <c r="H380" s="669">
        <f t="shared" si="60"/>
        <v>44105</v>
      </c>
    </row>
    <row r="381" spans="6:8">
      <c r="F381" s="669">
        <f t="shared" si="61"/>
        <v>44166</v>
      </c>
      <c r="G381" s="668">
        <f>IF(SUM($G$301:G380)=1,0,IF($C$300&lt;F381,1,0))</f>
        <v>0</v>
      </c>
      <c r="H381" s="669">
        <f t="shared" si="60"/>
        <v>44136</v>
      </c>
    </row>
    <row r="382" spans="6:8">
      <c r="F382" s="669">
        <f>F381+31</f>
        <v>44197</v>
      </c>
      <c r="G382" s="668">
        <f>IF(SUM($G$301:G381)=1,0,IF($C$300&lt;F382,1,0))</f>
        <v>0</v>
      </c>
      <c r="H382" s="669">
        <f t="shared" si="60"/>
        <v>44166</v>
      </c>
    </row>
    <row r="383" spans="6:8">
      <c r="F383" s="669">
        <f>F382+31</f>
        <v>44228</v>
      </c>
      <c r="G383" s="668">
        <f>IF(SUM($G$301:G382)=1,0,IF($C$300&lt;F383,1,0))</f>
        <v>0</v>
      </c>
      <c r="H383" s="669">
        <f t="shared" si="60"/>
        <v>44197</v>
      </c>
    </row>
    <row r="384" spans="6:8">
      <c r="F384" s="669">
        <f>IF(ISNA(VLOOKUP(F383,$E$4:$E$13,1,FALSE))=TRUE,F383+28,F383+29)</f>
        <v>44256</v>
      </c>
      <c r="G384" s="668">
        <f>IF(SUM($G$301:G383)=1,0,IF($C$300&lt;F384,1,0))</f>
        <v>0</v>
      </c>
      <c r="H384" s="669">
        <f t="shared" si="60"/>
        <v>44228</v>
      </c>
    </row>
    <row r="385" spans="6:8">
      <c r="F385" s="669">
        <f>F384+31</f>
        <v>44287</v>
      </c>
      <c r="G385" s="668">
        <f>IF(SUM($G$301:G384)=1,0,IF($C$300&lt;F385,1,0))</f>
        <v>0</v>
      </c>
      <c r="H385" s="669">
        <f t="shared" si="60"/>
        <v>44256</v>
      </c>
    </row>
    <row r="386" spans="6:8">
      <c r="F386" s="669">
        <f>F385+30</f>
        <v>44317</v>
      </c>
      <c r="G386" s="668">
        <f>IF(SUM($G$301:G385)=1,0,IF($C$300&lt;F386,1,0))</f>
        <v>0</v>
      </c>
      <c r="H386" s="669">
        <f t="shared" si="60"/>
        <v>44287</v>
      </c>
    </row>
    <row r="387" spans="6:8">
      <c r="F387" s="669">
        <f>F386+31</f>
        <v>44348</v>
      </c>
      <c r="G387" s="668">
        <f>IF(SUM($G$301:G386)=1,0,IF($C$300&lt;F387,1,0))</f>
        <v>0</v>
      </c>
      <c r="H387" s="669">
        <f t="shared" si="60"/>
        <v>44317</v>
      </c>
    </row>
    <row r="388" spans="6:8">
      <c r="F388" s="669">
        <f t="shared" ref="F388:F393" si="62">F387+30</f>
        <v>44378</v>
      </c>
      <c r="G388" s="668">
        <f>IF(SUM($G$301:G387)=1,0,IF($C$300&lt;F388,1,0))</f>
        <v>0</v>
      </c>
      <c r="H388" s="669">
        <f t="shared" si="60"/>
        <v>44348</v>
      </c>
    </row>
    <row r="389" spans="6:8">
      <c r="F389" s="669">
        <f>F388+31</f>
        <v>44409</v>
      </c>
      <c r="G389" s="668">
        <f>IF(SUM($G$301:G388)=1,0,IF($C$300&lt;F389,1,0))</f>
        <v>0</v>
      </c>
      <c r="H389" s="669">
        <f t="shared" si="60"/>
        <v>44378</v>
      </c>
    </row>
    <row r="390" spans="6:8">
      <c r="F390" s="669">
        <f>F389+31</f>
        <v>44440</v>
      </c>
      <c r="G390" s="668">
        <f>IF(SUM($G$301:G389)=1,0,IF($C$300&lt;F390,1,0))</f>
        <v>0</v>
      </c>
      <c r="H390" s="669">
        <f t="shared" si="60"/>
        <v>44409</v>
      </c>
    </row>
    <row r="391" spans="6:8">
      <c r="F391" s="669">
        <f t="shared" si="62"/>
        <v>44470</v>
      </c>
      <c r="G391" s="668">
        <f>IF(SUM($G$301:G390)=1,0,IF($C$300&lt;F391,1,0))</f>
        <v>0</v>
      </c>
      <c r="H391" s="669">
        <f t="shared" si="60"/>
        <v>44440</v>
      </c>
    </row>
    <row r="392" spans="6:8">
      <c r="F392" s="669">
        <f>F391+31</f>
        <v>44501</v>
      </c>
      <c r="G392" s="668">
        <f>IF(SUM($G$301:G391)=1,0,IF($C$300&lt;F392,1,0))</f>
        <v>0</v>
      </c>
      <c r="H392" s="669">
        <f t="shared" si="60"/>
        <v>44470</v>
      </c>
    </row>
    <row r="393" spans="6:8">
      <c r="F393" s="669">
        <f t="shared" si="62"/>
        <v>44531</v>
      </c>
      <c r="G393" s="668">
        <f>IF(SUM($G$301:G392)=1,0,IF($C$300&lt;F393,1,0))</f>
        <v>0</v>
      </c>
      <c r="H393" s="669">
        <f t="shared" si="60"/>
        <v>44501</v>
      </c>
    </row>
    <row r="394" spans="6:8">
      <c r="F394" s="669">
        <f>F393+31</f>
        <v>44562</v>
      </c>
      <c r="G394" s="668">
        <f>IF(SUM($G$301:G393)=1,0,IF($C$300&lt;F394,1,0))</f>
        <v>0</v>
      </c>
      <c r="H394" s="669">
        <f t="shared" si="60"/>
        <v>44531</v>
      </c>
    </row>
    <row r="395" spans="6:8">
      <c r="F395" s="669">
        <f>F394+31</f>
        <v>44593</v>
      </c>
      <c r="G395" s="668">
        <f>IF(SUM($G$301:G394)=1,0,IF($C$300&lt;F395,1,0))</f>
        <v>0</v>
      </c>
      <c r="H395" s="669">
        <f t="shared" si="60"/>
        <v>44562</v>
      </c>
    </row>
    <row r="396" spans="6:8">
      <c r="F396" s="669">
        <f>IF(ISNA(VLOOKUP(F395,$E$4:$E$13,1,FALSE))=TRUE,F395+28,F395+29)</f>
        <v>44621</v>
      </c>
      <c r="G396" s="668">
        <f>IF(SUM($G$301:G395)=1,0,IF($C$300&lt;F396,1,0))</f>
        <v>0</v>
      </c>
      <c r="H396" s="669">
        <f t="shared" si="60"/>
        <v>44593</v>
      </c>
    </row>
    <row r="397" spans="6:8">
      <c r="F397" s="669">
        <f>F396+31</f>
        <v>44652</v>
      </c>
      <c r="G397" s="668">
        <f>IF(SUM($G$301:G396)=1,0,IF($C$300&lt;F397,1,0))</f>
        <v>0</v>
      </c>
      <c r="H397" s="669">
        <f t="shared" si="60"/>
        <v>44621</v>
      </c>
    </row>
    <row r="398" spans="6:8">
      <c r="F398" s="669">
        <f>F397+30</f>
        <v>44682</v>
      </c>
      <c r="G398" s="668">
        <f>IF(SUM($G$301:G397)=1,0,IF($C$300&lt;F398,1,0))</f>
        <v>0</v>
      </c>
      <c r="H398" s="669">
        <f t="shared" si="60"/>
        <v>44652</v>
      </c>
    </row>
    <row r="399" spans="6:8">
      <c r="F399" s="669">
        <f>F398+31</f>
        <v>44713</v>
      </c>
      <c r="G399" s="668">
        <f>IF(SUM($G$301:G398)=1,0,IF($C$300&lt;F399,1,0))</f>
        <v>0</v>
      </c>
      <c r="H399" s="669">
        <f t="shared" si="60"/>
        <v>44682</v>
      </c>
    </row>
    <row r="400" spans="6:8">
      <c r="F400" s="669">
        <f t="shared" ref="F400:F405" si="63">F399+30</f>
        <v>44743</v>
      </c>
      <c r="G400" s="668">
        <f>IF(SUM($G$301:G399)=1,0,IF($C$300&lt;F400,1,0))</f>
        <v>0</v>
      </c>
      <c r="H400" s="669">
        <f t="shared" si="60"/>
        <v>44713</v>
      </c>
    </row>
    <row r="401" spans="6:8">
      <c r="F401" s="669">
        <f>F400+31</f>
        <v>44774</v>
      </c>
      <c r="G401" s="668">
        <f>IF(SUM($G$301:G400)=1,0,IF($C$300&lt;F401,1,0))</f>
        <v>0</v>
      </c>
      <c r="H401" s="669">
        <f t="shared" si="60"/>
        <v>44743</v>
      </c>
    </row>
    <row r="402" spans="6:8">
      <c r="F402" s="669">
        <f>F401+31</f>
        <v>44805</v>
      </c>
      <c r="G402" s="668">
        <f>IF(SUM($G$301:G401)=1,0,IF($C$300&lt;F402,1,0))</f>
        <v>0</v>
      </c>
      <c r="H402" s="669">
        <f t="shared" si="60"/>
        <v>44774</v>
      </c>
    </row>
    <row r="403" spans="6:8">
      <c r="F403" s="669">
        <f t="shared" si="63"/>
        <v>44835</v>
      </c>
      <c r="G403" s="668">
        <f>IF(SUM($G$301:G402)=1,0,IF($C$300&lt;F403,1,0))</f>
        <v>0</v>
      </c>
      <c r="H403" s="669">
        <f t="shared" si="60"/>
        <v>44805</v>
      </c>
    </row>
    <row r="404" spans="6:8">
      <c r="F404" s="669">
        <f>F403+31</f>
        <v>44866</v>
      </c>
      <c r="G404" s="668">
        <f>IF(SUM($G$301:G403)=1,0,IF($C$300&lt;F404,1,0))</f>
        <v>0</v>
      </c>
      <c r="H404" s="669">
        <f t="shared" si="60"/>
        <v>44835</v>
      </c>
    </row>
    <row r="405" spans="6:8">
      <c r="F405" s="669">
        <f t="shared" si="63"/>
        <v>44896</v>
      </c>
      <c r="G405" s="668">
        <f>IF(SUM($G$301:G404)=1,0,IF($C$300&lt;F405,1,0))</f>
        <v>0</v>
      </c>
      <c r="H405" s="669">
        <f t="shared" si="60"/>
        <v>44866</v>
      </c>
    </row>
    <row r="406" spans="6:8">
      <c r="F406" s="669">
        <f>F405+31</f>
        <v>44927</v>
      </c>
      <c r="G406" s="668">
        <f>IF(SUM($G$301:G405)=1,0,IF($C$300&lt;F406,1,0))</f>
        <v>0</v>
      </c>
      <c r="H406" s="669">
        <f t="shared" si="60"/>
        <v>44896</v>
      </c>
    </row>
    <row r="407" spans="6:8">
      <c r="F407" s="669">
        <f>F406+31</f>
        <v>44958</v>
      </c>
      <c r="G407" s="668">
        <f>IF(SUM($G$301:G406)=1,0,IF($C$300&lt;F407,1,0))</f>
        <v>0</v>
      </c>
      <c r="H407" s="669">
        <f t="shared" si="60"/>
        <v>44927</v>
      </c>
    </row>
    <row r="408" spans="6:8">
      <c r="F408" s="669">
        <f>IF(ISNA(VLOOKUP(F407,$E$4:$E$13,1,FALSE))=TRUE,F407+28,F407+29)</f>
        <v>44986</v>
      </c>
      <c r="G408" s="668">
        <f>IF(SUM($G$301:G407)=1,0,IF($C$300&lt;F408,1,0))</f>
        <v>0</v>
      </c>
      <c r="H408" s="669">
        <f t="shared" si="60"/>
        <v>44958</v>
      </c>
    </row>
    <row r="409" spans="6:8">
      <c r="F409" s="669">
        <f>F408+31</f>
        <v>45017</v>
      </c>
      <c r="G409" s="668">
        <f>IF(SUM($G$301:G408)=1,0,IF($C$300&lt;F409,1,0))</f>
        <v>0</v>
      </c>
      <c r="H409" s="669">
        <f t="shared" si="60"/>
        <v>44986</v>
      </c>
    </row>
    <row r="410" spans="6:8">
      <c r="F410" s="669">
        <f>F409+30</f>
        <v>45047</v>
      </c>
      <c r="G410" s="668">
        <f>IF(SUM($G$301:G409)=1,0,IF($C$300&lt;F410,1,0))</f>
        <v>0</v>
      </c>
      <c r="H410" s="669">
        <f t="shared" si="60"/>
        <v>45017</v>
      </c>
    </row>
    <row r="411" spans="6:8">
      <c r="F411" s="669">
        <f>F410+31</f>
        <v>45078</v>
      </c>
      <c r="G411" s="668">
        <f>IF(SUM($G$301:G410)=1,0,IF($C$300&lt;F411,1,0))</f>
        <v>0</v>
      </c>
      <c r="H411" s="669">
        <f t="shared" si="60"/>
        <v>45047</v>
      </c>
    </row>
    <row r="412" spans="6:8">
      <c r="F412" s="669">
        <f t="shared" ref="F412:F417" si="64">F411+30</f>
        <v>45108</v>
      </c>
      <c r="G412" s="668">
        <f>IF(SUM($G$301:G411)=1,0,IF($C$300&lt;F412,1,0))</f>
        <v>0</v>
      </c>
      <c r="H412" s="669">
        <f t="shared" si="60"/>
        <v>45078</v>
      </c>
    </row>
    <row r="413" spans="6:8">
      <c r="F413" s="669">
        <f>F412+31</f>
        <v>45139</v>
      </c>
      <c r="G413" s="668">
        <f>IF(SUM($G$301:G412)=1,0,IF($C$300&lt;F413,1,0))</f>
        <v>0</v>
      </c>
      <c r="H413" s="669">
        <f t="shared" si="60"/>
        <v>45108</v>
      </c>
    </row>
    <row r="414" spans="6:8">
      <c r="F414" s="669">
        <f>F413+31</f>
        <v>45170</v>
      </c>
      <c r="G414" s="668">
        <f>IF(SUM($G$301:G413)=1,0,IF($C$300&lt;F414,1,0))</f>
        <v>0</v>
      </c>
      <c r="H414" s="669">
        <f t="shared" si="60"/>
        <v>45139</v>
      </c>
    </row>
    <row r="415" spans="6:8">
      <c r="F415" s="669">
        <f t="shared" si="64"/>
        <v>45200</v>
      </c>
      <c r="G415" s="668">
        <f>IF(SUM($G$301:G414)=1,0,IF($C$300&lt;F415,1,0))</f>
        <v>0</v>
      </c>
      <c r="H415" s="669">
        <f t="shared" si="60"/>
        <v>45170</v>
      </c>
    </row>
    <row r="416" spans="6:8">
      <c r="F416" s="669">
        <f>F415+31</f>
        <v>45231</v>
      </c>
      <c r="G416" s="668">
        <f>IF(SUM($G$301:G415)=1,0,IF($C$300&lt;F416,1,0))</f>
        <v>0</v>
      </c>
      <c r="H416" s="669">
        <f t="shared" si="60"/>
        <v>45200</v>
      </c>
    </row>
    <row r="417" spans="6:8">
      <c r="F417" s="669">
        <f t="shared" si="64"/>
        <v>45261</v>
      </c>
      <c r="G417" s="668">
        <f>IF(SUM($G$301:G416)=1,0,IF($C$300&lt;F417,1,0))</f>
        <v>0</v>
      </c>
      <c r="H417" s="669">
        <f t="shared" si="60"/>
        <v>45231</v>
      </c>
    </row>
    <row r="418" spans="6:8">
      <c r="F418" s="669">
        <f>F417+31</f>
        <v>45292</v>
      </c>
      <c r="G418" s="668">
        <f>IF(SUM($G$301:G417)=1,0,IF($C$300&lt;F418,1,0))</f>
        <v>0</v>
      </c>
      <c r="H418" s="669">
        <f t="shared" si="60"/>
        <v>45261</v>
      </c>
    </row>
    <row r="419" spans="6:8">
      <c r="F419" s="669">
        <f>F418+31</f>
        <v>45323</v>
      </c>
      <c r="G419" s="668">
        <f>IF(SUM($G$301:G418)=1,0,IF($C$300&lt;F419,1,0))</f>
        <v>0</v>
      </c>
      <c r="H419" s="669">
        <f t="shared" si="60"/>
        <v>45292</v>
      </c>
    </row>
    <row r="420" spans="6:8">
      <c r="F420" s="669">
        <f>IF(ISNA(VLOOKUP(F419,$E$4:$E$13,1,FALSE))=TRUE,F419+28,F419+29)</f>
        <v>45352</v>
      </c>
      <c r="G420" s="668">
        <f>IF(SUM($G$301:G419)=1,0,IF($C$300&lt;F420,1,0))</f>
        <v>0</v>
      </c>
      <c r="H420" s="669">
        <f t="shared" si="60"/>
        <v>45323</v>
      </c>
    </row>
    <row r="421" spans="6:8">
      <c r="F421" s="669">
        <f>F420+31</f>
        <v>45383</v>
      </c>
      <c r="G421" s="668">
        <f>IF(SUM($G$301:G420)=1,0,IF($C$300&lt;F421,1,0))</f>
        <v>0</v>
      </c>
      <c r="H421" s="669">
        <f t="shared" si="60"/>
        <v>45352</v>
      </c>
    </row>
    <row r="422" spans="6:8">
      <c r="F422" s="669">
        <f>F421+30</f>
        <v>45413</v>
      </c>
      <c r="G422" s="668">
        <f>IF(SUM($G$301:G421)=1,0,IF($C$300&lt;F422,1,0))</f>
        <v>0</v>
      </c>
      <c r="H422" s="669">
        <f t="shared" si="60"/>
        <v>45383</v>
      </c>
    </row>
    <row r="423" spans="6:8">
      <c r="F423" s="669">
        <f>F422+31</f>
        <v>45444</v>
      </c>
      <c r="G423" s="668">
        <f>IF(SUM($G$301:G422)=1,0,IF($C$300&lt;F423,1,0))</f>
        <v>0</v>
      </c>
      <c r="H423" s="669">
        <f t="shared" si="60"/>
        <v>45413</v>
      </c>
    </row>
    <row r="424" spans="6:8">
      <c r="F424" s="669">
        <f t="shared" ref="F424:F429" si="65">F423+30</f>
        <v>45474</v>
      </c>
      <c r="G424" s="668">
        <f>IF(SUM($G$301:G423)=1,0,IF($C$300&lt;F424,1,0))</f>
        <v>0</v>
      </c>
      <c r="H424" s="669">
        <f t="shared" si="60"/>
        <v>45444</v>
      </c>
    </row>
    <row r="425" spans="6:8">
      <c r="F425" s="669">
        <f>F424+31</f>
        <v>45505</v>
      </c>
      <c r="G425" s="668">
        <f>IF(SUM($G$301:G424)=1,0,IF($C$300&lt;F425,1,0))</f>
        <v>0</v>
      </c>
      <c r="H425" s="669">
        <f t="shared" si="60"/>
        <v>45474</v>
      </c>
    </row>
    <row r="426" spans="6:8">
      <c r="F426" s="669">
        <f>F425+31</f>
        <v>45536</v>
      </c>
      <c r="G426" s="668">
        <f>IF(SUM($G$301:G425)=1,0,IF($C$300&lt;F426,1,0))</f>
        <v>0</v>
      </c>
      <c r="H426" s="669">
        <f t="shared" si="60"/>
        <v>45505</v>
      </c>
    </row>
    <row r="427" spans="6:8">
      <c r="F427" s="669">
        <f t="shared" si="65"/>
        <v>45566</v>
      </c>
      <c r="G427" s="668">
        <f>IF(SUM($G$301:G426)=1,0,IF($C$300&lt;F427,1,0))</f>
        <v>0</v>
      </c>
      <c r="H427" s="669">
        <f t="shared" si="60"/>
        <v>45536</v>
      </c>
    </row>
    <row r="428" spans="6:8">
      <c r="F428" s="669">
        <f>F427+31</f>
        <v>45597</v>
      </c>
      <c r="G428" s="668">
        <f>IF(SUM($G$301:G427)=1,0,IF($C$300&lt;F428,1,0))</f>
        <v>0</v>
      </c>
      <c r="H428" s="669">
        <f t="shared" si="60"/>
        <v>45566</v>
      </c>
    </row>
    <row r="429" spans="6:8">
      <c r="F429" s="669">
        <f t="shared" si="65"/>
        <v>45627</v>
      </c>
      <c r="G429" s="668">
        <f>IF(SUM($G$301:G428)=1,0,IF($C$300&lt;F429,1,0))</f>
        <v>0</v>
      </c>
      <c r="H429" s="669">
        <f t="shared" si="60"/>
        <v>45597</v>
      </c>
    </row>
    <row r="430" spans="6:8">
      <c r="F430" s="669">
        <f>F429+31</f>
        <v>45658</v>
      </c>
      <c r="G430" s="668">
        <f>IF(SUM($G$301:G429)=1,0,IF($C$300&lt;F430,1,0))</f>
        <v>0</v>
      </c>
      <c r="H430" s="669">
        <f t="shared" si="60"/>
        <v>45627</v>
      </c>
    </row>
    <row r="431" spans="6:8">
      <c r="F431" s="669">
        <f>F430+31</f>
        <v>45689</v>
      </c>
      <c r="G431" s="668">
        <f>IF(SUM($G$301:G430)=1,0,IF($C$300&lt;F431,1,0))</f>
        <v>0</v>
      </c>
      <c r="H431" s="669">
        <f t="shared" si="60"/>
        <v>45658</v>
      </c>
    </row>
    <row r="432" spans="6:8">
      <c r="F432" s="669">
        <f>IF(ISNA(VLOOKUP(F431,$E$4:$E$13,1,FALSE))=TRUE,F431+28,F431+29)</f>
        <v>45717</v>
      </c>
      <c r="G432" s="668">
        <f>IF(SUM($G$301:G431)=1,0,IF($C$300&lt;F432,1,0))</f>
        <v>0</v>
      </c>
      <c r="H432" s="669">
        <f t="shared" ref="H432:H495" si="66">F431</f>
        <v>45689</v>
      </c>
    </row>
    <row r="433" spans="6:8">
      <c r="F433" s="669">
        <f>F432+31</f>
        <v>45748</v>
      </c>
      <c r="G433" s="668">
        <f>IF(SUM($G$301:G432)=1,0,IF($C$300&lt;F433,1,0))</f>
        <v>0</v>
      </c>
      <c r="H433" s="669">
        <f t="shared" si="66"/>
        <v>45717</v>
      </c>
    </row>
    <row r="434" spans="6:8">
      <c r="F434" s="669">
        <f>F433+30</f>
        <v>45778</v>
      </c>
      <c r="G434" s="668">
        <f>IF(SUM($G$301:G433)=1,0,IF($C$300&lt;F434,1,0))</f>
        <v>0</v>
      </c>
      <c r="H434" s="669">
        <f t="shared" si="66"/>
        <v>45748</v>
      </c>
    </row>
    <row r="435" spans="6:8">
      <c r="F435" s="669">
        <f>F434+31</f>
        <v>45809</v>
      </c>
      <c r="G435" s="668">
        <f>IF(SUM($G$301:G434)=1,0,IF($C$300&lt;F435,1,0))</f>
        <v>0</v>
      </c>
      <c r="H435" s="669">
        <f t="shared" si="66"/>
        <v>45778</v>
      </c>
    </row>
    <row r="436" spans="6:8">
      <c r="F436" s="669">
        <f t="shared" ref="F436:F441" si="67">F435+30</f>
        <v>45839</v>
      </c>
      <c r="G436" s="668">
        <f>IF(SUM($G$301:G435)=1,0,IF($C$300&lt;F436,1,0))</f>
        <v>0</v>
      </c>
      <c r="H436" s="669">
        <f t="shared" si="66"/>
        <v>45809</v>
      </c>
    </row>
    <row r="437" spans="6:8">
      <c r="F437" s="669">
        <f>F436+31</f>
        <v>45870</v>
      </c>
      <c r="G437" s="668">
        <f>IF(SUM($G$301:G436)=1,0,IF($C$300&lt;F437,1,0))</f>
        <v>0</v>
      </c>
      <c r="H437" s="669">
        <f t="shared" si="66"/>
        <v>45839</v>
      </c>
    </row>
    <row r="438" spans="6:8">
      <c r="F438" s="669">
        <f>F437+31</f>
        <v>45901</v>
      </c>
      <c r="G438" s="668">
        <f>IF(SUM($G$301:G437)=1,0,IF($C$300&lt;F438,1,0))</f>
        <v>0</v>
      </c>
      <c r="H438" s="669">
        <f t="shared" si="66"/>
        <v>45870</v>
      </c>
    </row>
    <row r="439" spans="6:8">
      <c r="F439" s="669">
        <f t="shared" si="67"/>
        <v>45931</v>
      </c>
      <c r="G439" s="668">
        <f>IF(SUM($G$301:G438)=1,0,IF($C$300&lt;F439,1,0))</f>
        <v>0</v>
      </c>
      <c r="H439" s="669">
        <f t="shared" si="66"/>
        <v>45901</v>
      </c>
    </row>
    <row r="440" spans="6:8">
      <c r="F440" s="669">
        <f>F439+31</f>
        <v>45962</v>
      </c>
      <c r="G440" s="668">
        <f>IF(SUM($G$301:G439)=1,0,IF($C$300&lt;F440,1,0))</f>
        <v>0</v>
      </c>
      <c r="H440" s="669">
        <f t="shared" si="66"/>
        <v>45931</v>
      </c>
    </row>
    <row r="441" spans="6:8">
      <c r="F441" s="669">
        <f t="shared" si="67"/>
        <v>45992</v>
      </c>
      <c r="G441" s="668">
        <f>IF(SUM($G$301:G440)=1,0,IF($C$300&lt;F441,1,0))</f>
        <v>0</v>
      </c>
      <c r="H441" s="669">
        <f t="shared" si="66"/>
        <v>45962</v>
      </c>
    </row>
    <row r="442" spans="6:8">
      <c r="F442" s="669">
        <f>F441+31</f>
        <v>46023</v>
      </c>
      <c r="G442" s="668">
        <f>IF(SUM($G$301:G441)=1,0,IF($C$300&lt;F442,1,0))</f>
        <v>1</v>
      </c>
      <c r="H442" s="669">
        <f t="shared" si="66"/>
        <v>45992</v>
      </c>
    </row>
    <row r="443" spans="6:8">
      <c r="F443" s="669">
        <f>F442+31</f>
        <v>46054</v>
      </c>
      <c r="G443" s="668">
        <f>IF(SUM($G$301:G442)=1,0,IF($C$300&lt;F443,1,0))</f>
        <v>0</v>
      </c>
      <c r="H443" s="669">
        <f t="shared" si="66"/>
        <v>46023</v>
      </c>
    </row>
    <row r="444" spans="6:8">
      <c r="F444" s="669">
        <f>IF(ISNA(VLOOKUP(F443,$E$4:$E$13,1,FALSE))=TRUE,F443+28,F443+29)</f>
        <v>46082</v>
      </c>
      <c r="G444" s="668">
        <f>IF(SUM($G$301:G443)=1,0,IF($C$300&lt;F444,1,0))</f>
        <v>0</v>
      </c>
      <c r="H444" s="669">
        <f t="shared" si="66"/>
        <v>46054</v>
      </c>
    </row>
    <row r="445" spans="6:8">
      <c r="F445" s="669">
        <f>F444+31</f>
        <v>46113</v>
      </c>
      <c r="G445" s="668">
        <f>IF(SUM($G$301:G444)=1,0,IF($C$300&lt;F445,1,0))</f>
        <v>0</v>
      </c>
      <c r="H445" s="669">
        <f t="shared" si="66"/>
        <v>46082</v>
      </c>
    </row>
    <row r="446" spans="6:8">
      <c r="F446" s="669">
        <f>F445+30</f>
        <v>46143</v>
      </c>
      <c r="G446" s="668">
        <f>IF(SUM($G$301:G445)=1,0,IF($C$300&lt;F446,1,0))</f>
        <v>0</v>
      </c>
      <c r="H446" s="669">
        <f t="shared" si="66"/>
        <v>46113</v>
      </c>
    </row>
    <row r="447" spans="6:8">
      <c r="F447" s="669">
        <f>F446+31</f>
        <v>46174</v>
      </c>
      <c r="G447" s="668">
        <f>IF(SUM($G$301:G446)=1,0,IF($C$300&lt;F447,1,0))</f>
        <v>0</v>
      </c>
      <c r="H447" s="669">
        <f t="shared" si="66"/>
        <v>46143</v>
      </c>
    </row>
    <row r="448" spans="6:8">
      <c r="F448" s="669">
        <f t="shared" ref="F448:F453" si="68">F447+30</f>
        <v>46204</v>
      </c>
      <c r="G448" s="668">
        <f>IF(SUM($G$301:G447)=1,0,IF($C$300&lt;F448,1,0))</f>
        <v>0</v>
      </c>
      <c r="H448" s="669">
        <f t="shared" si="66"/>
        <v>46174</v>
      </c>
    </row>
    <row r="449" spans="6:8">
      <c r="F449" s="669">
        <f>F448+31</f>
        <v>46235</v>
      </c>
      <c r="G449" s="668">
        <f>IF(SUM($G$301:G448)=1,0,IF($C$300&lt;F449,1,0))</f>
        <v>0</v>
      </c>
      <c r="H449" s="669">
        <f t="shared" si="66"/>
        <v>46204</v>
      </c>
    </row>
    <row r="450" spans="6:8">
      <c r="F450" s="669">
        <f>F449+31</f>
        <v>46266</v>
      </c>
      <c r="G450" s="668">
        <f>IF(SUM($G$301:G449)=1,0,IF($C$300&lt;F450,1,0))</f>
        <v>0</v>
      </c>
      <c r="H450" s="669">
        <f t="shared" si="66"/>
        <v>46235</v>
      </c>
    </row>
    <row r="451" spans="6:8">
      <c r="F451" s="669">
        <f t="shared" si="68"/>
        <v>46296</v>
      </c>
      <c r="G451" s="668">
        <f>IF(SUM($G$301:G450)=1,0,IF($C$300&lt;F451,1,0))</f>
        <v>0</v>
      </c>
      <c r="H451" s="669">
        <f t="shared" si="66"/>
        <v>46266</v>
      </c>
    </row>
    <row r="452" spans="6:8">
      <c r="F452" s="669">
        <f>F451+31</f>
        <v>46327</v>
      </c>
      <c r="G452" s="668">
        <f>IF(SUM($G$301:G451)=1,0,IF($C$300&lt;F452,1,0))</f>
        <v>0</v>
      </c>
      <c r="H452" s="669">
        <f t="shared" si="66"/>
        <v>46296</v>
      </c>
    </row>
    <row r="453" spans="6:8">
      <c r="F453" s="669">
        <f t="shared" si="68"/>
        <v>46357</v>
      </c>
      <c r="G453" s="668">
        <f>IF(SUM($G$301:G452)=1,0,IF($C$300&lt;F453,1,0))</f>
        <v>0</v>
      </c>
      <c r="H453" s="669">
        <f t="shared" si="66"/>
        <v>46327</v>
      </c>
    </row>
    <row r="454" spans="6:8">
      <c r="F454" s="669">
        <f>F453+31</f>
        <v>46388</v>
      </c>
      <c r="G454" s="668">
        <f>IF(SUM($G$301:G453)=1,0,IF($C$300&lt;F454,1,0))</f>
        <v>0</v>
      </c>
      <c r="H454" s="669">
        <f t="shared" si="66"/>
        <v>46357</v>
      </c>
    </row>
    <row r="455" spans="6:8">
      <c r="F455" s="669">
        <f>F454+31</f>
        <v>46419</v>
      </c>
      <c r="G455" s="668">
        <f>IF(SUM($G$301:G454)=1,0,IF($C$300&lt;F455,1,0))</f>
        <v>0</v>
      </c>
      <c r="H455" s="669">
        <f t="shared" si="66"/>
        <v>46388</v>
      </c>
    </row>
    <row r="456" spans="6:8">
      <c r="F456" s="669">
        <f>IF(ISNA(VLOOKUP(F455,$E$4:$E$13,1,FALSE))=TRUE,F455+28,F455+29)</f>
        <v>46447</v>
      </c>
      <c r="G456" s="668">
        <f>IF(SUM($G$301:G455)=1,0,IF($C$300&lt;F456,1,0))</f>
        <v>0</v>
      </c>
      <c r="H456" s="669">
        <f t="shared" si="66"/>
        <v>46419</v>
      </c>
    </row>
    <row r="457" spans="6:8">
      <c r="F457" s="669">
        <f>F456+31</f>
        <v>46478</v>
      </c>
      <c r="G457" s="668">
        <f>IF(SUM($G$301:G456)=1,0,IF($C$300&lt;F457,1,0))</f>
        <v>0</v>
      </c>
      <c r="H457" s="669">
        <f t="shared" si="66"/>
        <v>46447</v>
      </c>
    </row>
    <row r="458" spans="6:8">
      <c r="F458" s="669">
        <f>F457+30</f>
        <v>46508</v>
      </c>
      <c r="G458" s="668">
        <f>IF(SUM($G$301:G457)=1,0,IF($C$300&lt;F458,1,0))</f>
        <v>0</v>
      </c>
      <c r="H458" s="669">
        <f t="shared" si="66"/>
        <v>46478</v>
      </c>
    </row>
    <row r="459" spans="6:8">
      <c r="F459" s="669">
        <f>F458+31</f>
        <v>46539</v>
      </c>
      <c r="G459" s="668">
        <f>IF(SUM($G$301:G458)=1,0,IF($C$300&lt;F459,1,0))</f>
        <v>0</v>
      </c>
      <c r="H459" s="669">
        <f t="shared" si="66"/>
        <v>46508</v>
      </c>
    </row>
    <row r="460" spans="6:8">
      <c r="F460" s="669">
        <f t="shared" ref="F460:F465" si="69">F459+30</f>
        <v>46569</v>
      </c>
      <c r="G460" s="668">
        <f>IF(SUM($G$301:G459)=1,0,IF($C$300&lt;F460,1,0))</f>
        <v>0</v>
      </c>
      <c r="H460" s="669">
        <f t="shared" si="66"/>
        <v>46539</v>
      </c>
    </row>
    <row r="461" spans="6:8">
      <c r="F461" s="669">
        <f>F460+31</f>
        <v>46600</v>
      </c>
      <c r="G461" s="668">
        <f>IF(SUM($G$301:G460)=1,0,IF($C$300&lt;F461,1,0))</f>
        <v>0</v>
      </c>
      <c r="H461" s="669">
        <f t="shared" si="66"/>
        <v>46569</v>
      </c>
    </row>
    <row r="462" spans="6:8">
      <c r="F462" s="669">
        <f>F461+31</f>
        <v>46631</v>
      </c>
      <c r="G462" s="668">
        <f>IF(SUM($G$301:G461)=1,0,IF($C$300&lt;F462,1,0))</f>
        <v>0</v>
      </c>
      <c r="H462" s="669">
        <f t="shared" si="66"/>
        <v>46600</v>
      </c>
    </row>
    <row r="463" spans="6:8">
      <c r="F463" s="669">
        <f t="shared" si="69"/>
        <v>46661</v>
      </c>
      <c r="G463" s="668">
        <f>IF(SUM($G$301:G462)=1,0,IF($C$300&lt;F463,1,0))</f>
        <v>0</v>
      </c>
      <c r="H463" s="669">
        <f t="shared" si="66"/>
        <v>46631</v>
      </c>
    </row>
    <row r="464" spans="6:8">
      <c r="F464" s="669">
        <f>F463+31</f>
        <v>46692</v>
      </c>
      <c r="G464" s="668">
        <f>IF(SUM($G$301:G463)=1,0,IF($C$300&lt;F464,1,0))</f>
        <v>0</v>
      </c>
      <c r="H464" s="669">
        <f t="shared" si="66"/>
        <v>46661</v>
      </c>
    </row>
    <row r="465" spans="6:8">
      <c r="F465" s="669">
        <f t="shared" si="69"/>
        <v>46722</v>
      </c>
      <c r="G465" s="668">
        <f>IF(SUM($G$301:G464)=1,0,IF($C$300&lt;F465,1,0))</f>
        <v>0</v>
      </c>
      <c r="H465" s="669">
        <f t="shared" si="66"/>
        <v>46692</v>
      </c>
    </row>
    <row r="466" spans="6:8">
      <c r="F466" s="669">
        <f>F465+31</f>
        <v>46753</v>
      </c>
      <c r="G466" s="668">
        <f>IF(SUM($G$301:G465)=1,0,IF($C$300&lt;F466,1,0))</f>
        <v>0</v>
      </c>
      <c r="H466" s="669">
        <f t="shared" si="66"/>
        <v>46722</v>
      </c>
    </row>
    <row r="467" spans="6:8">
      <c r="F467" s="669">
        <f>F466+31</f>
        <v>46784</v>
      </c>
      <c r="G467" s="668">
        <f>IF(SUM($G$301:G466)=1,0,IF($C$300&lt;F467,1,0))</f>
        <v>0</v>
      </c>
      <c r="H467" s="669">
        <f t="shared" si="66"/>
        <v>46753</v>
      </c>
    </row>
    <row r="468" spans="6:8">
      <c r="F468" s="669">
        <f>IF(ISNA(VLOOKUP(F467,$E$4:$E$13,1,FALSE))=TRUE,F467+28,F467+29)</f>
        <v>46813</v>
      </c>
      <c r="G468" s="668">
        <f>IF(SUM($G$301:G467)=1,0,IF($C$300&lt;F468,1,0))</f>
        <v>0</v>
      </c>
      <c r="H468" s="669">
        <f t="shared" si="66"/>
        <v>46784</v>
      </c>
    </row>
    <row r="469" spans="6:8">
      <c r="F469" s="669">
        <f>F468+31</f>
        <v>46844</v>
      </c>
      <c r="G469" s="668">
        <f>IF(SUM($G$301:G468)=1,0,IF($C$300&lt;F469,1,0))</f>
        <v>0</v>
      </c>
      <c r="H469" s="669">
        <f t="shared" si="66"/>
        <v>46813</v>
      </c>
    </row>
    <row r="470" spans="6:8">
      <c r="F470" s="669">
        <f>F469+30</f>
        <v>46874</v>
      </c>
      <c r="G470" s="668">
        <f>IF(SUM($G$301:G469)=1,0,IF($C$300&lt;F470,1,0))</f>
        <v>0</v>
      </c>
      <c r="H470" s="669">
        <f t="shared" si="66"/>
        <v>46844</v>
      </c>
    </row>
    <row r="471" spans="6:8">
      <c r="F471" s="669">
        <f>F470+31</f>
        <v>46905</v>
      </c>
      <c r="G471" s="668">
        <f>IF(SUM($G$301:G470)=1,0,IF($C$300&lt;F471,1,0))</f>
        <v>0</v>
      </c>
      <c r="H471" s="669">
        <f t="shared" si="66"/>
        <v>46874</v>
      </c>
    </row>
    <row r="472" spans="6:8">
      <c r="F472" s="669">
        <f t="shared" ref="F472:F477" si="70">F471+30</f>
        <v>46935</v>
      </c>
      <c r="G472" s="668">
        <f>IF(SUM($G$301:G471)=1,0,IF($C$300&lt;F472,1,0))</f>
        <v>0</v>
      </c>
      <c r="H472" s="669">
        <f t="shared" si="66"/>
        <v>46905</v>
      </c>
    </row>
    <row r="473" spans="6:8">
      <c r="F473" s="669">
        <f>F472+31</f>
        <v>46966</v>
      </c>
      <c r="G473" s="668">
        <f>IF(SUM($G$301:G472)=1,0,IF($C$300&lt;F473,1,0))</f>
        <v>0</v>
      </c>
      <c r="H473" s="669">
        <f t="shared" si="66"/>
        <v>46935</v>
      </c>
    </row>
    <row r="474" spans="6:8">
      <c r="F474" s="669">
        <f>F473+31</f>
        <v>46997</v>
      </c>
      <c r="G474" s="668">
        <f>IF(SUM($G$301:G473)=1,0,IF($C$300&lt;F474,1,0))</f>
        <v>0</v>
      </c>
      <c r="H474" s="669">
        <f t="shared" si="66"/>
        <v>46966</v>
      </c>
    </row>
    <row r="475" spans="6:8">
      <c r="F475" s="669">
        <f t="shared" si="70"/>
        <v>47027</v>
      </c>
      <c r="G475" s="668">
        <f>IF(SUM($G$301:G474)=1,0,IF($C$300&lt;F475,1,0))</f>
        <v>0</v>
      </c>
      <c r="H475" s="669">
        <f t="shared" si="66"/>
        <v>46997</v>
      </c>
    </row>
    <row r="476" spans="6:8">
      <c r="F476" s="669">
        <f>F475+31</f>
        <v>47058</v>
      </c>
      <c r="G476" s="668">
        <f>IF(SUM($G$301:G475)=1,0,IF($C$300&lt;F476,1,0))</f>
        <v>0</v>
      </c>
      <c r="H476" s="669">
        <f t="shared" si="66"/>
        <v>47027</v>
      </c>
    </row>
    <row r="477" spans="6:8">
      <c r="F477" s="669">
        <f t="shared" si="70"/>
        <v>47088</v>
      </c>
      <c r="G477" s="668">
        <f>IF(SUM($G$301:G476)=1,0,IF($C$300&lt;F477,1,0))</f>
        <v>0</v>
      </c>
      <c r="H477" s="669">
        <f t="shared" si="66"/>
        <v>47058</v>
      </c>
    </row>
    <row r="478" spans="6:8">
      <c r="F478" s="669">
        <f>F477+31</f>
        <v>47119</v>
      </c>
      <c r="G478" s="668">
        <f>IF(SUM($G$301:G477)=1,0,IF($C$300&lt;F478,1,0))</f>
        <v>0</v>
      </c>
      <c r="H478" s="669">
        <f t="shared" si="66"/>
        <v>47088</v>
      </c>
    </row>
    <row r="479" spans="6:8">
      <c r="F479" s="669">
        <f>F478+31</f>
        <v>47150</v>
      </c>
      <c r="G479" s="668">
        <f>IF(SUM($G$301:G478)=1,0,IF($C$300&lt;F479,1,0))</f>
        <v>0</v>
      </c>
      <c r="H479" s="669">
        <f t="shared" si="66"/>
        <v>47119</v>
      </c>
    </row>
    <row r="480" spans="6:8">
      <c r="F480" s="669">
        <f>IF(ISNA(VLOOKUP(F479,$E$4:$E$13,1,FALSE))=TRUE,F479+28,F479+29)</f>
        <v>47178</v>
      </c>
      <c r="G480" s="668">
        <f>IF(SUM($G$301:G479)=1,0,IF($C$300&lt;F480,1,0))</f>
        <v>0</v>
      </c>
      <c r="H480" s="669">
        <f t="shared" si="66"/>
        <v>47150</v>
      </c>
    </row>
    <row r="481" spans="6:8">
      <c r="F481" s="669">
        <f>F480+31</f>
        <v>47209</v>
      </c>
      <c r="G481" s="668">
        <f>IF(SUM($G$301:G480)=1,0,IF($C$300&lt;F481,1,0))</f>
        <v>0</v>
      </c>
      <c r="H481" s="669">
        <f t="shared" si="66"/>
        <v>47178</v>
      </c>
    </row>
    <row r="482" spans="6:8">
      <c r="F482" s="669">
        <f>F481+30</f>
        <v>47239</v>
      </c>
      <c r="G482" s="668">
        <f>IF(SUM($G$301:G481)=1,0,IF($C$300&lt;F482,1,0))</f>
        <v>0</v>
      </c>
      <c r="H482" s="669">
        <f t="shared" si="66"/>
        <v>47209</v>
      </c>
    </row>
    <row r="483" spans="6:8">
      <c r="F483" s="669">
        <f>F482+31</f>
        <v>47270</v>
      </c>
      <c r="G483" s="668">
        <f>IF(SUM($G$301:G482)=1,0,IF($C$300&lt;F483,1,0))</f>
        <v>0</v>
      </c>
      <c r="H483" s="669">
        <f t="shared" si="66"/>
        <v>47239</v>
      </c>
    </row>
    <row r="484" spans="6:8">
      <c r="F484" s="669">
        <f t="shared" ref="F484:F489" si="71">F483+30</f>
        <v>47300</v>
      </c>
      <c r="G484" s="668">
        <f>IF(SUM($G$301:G483)=1,0,IF($C$300&lt;F484,1,0))</f>
        <v>0</v>
      </c>
      <c r="H484" s="669">
        <f t="shared" si="66"/>
        <v>47270</v>
      </c>
    </row>
    <row r="485" spans="6:8">
      <c r="F485" s="669">
        <f>F484+31</f>
        <v>47331</v>
      </c>
      <c r="G485" s="668">
        <f>IF(SUM($G$301:G484)=1,0,IF($C$300&lt;F485,1,0))</f>
        <v>0</v>
      </c>
      <c r="H485" s="669">
        <f t="shared" si="66"/>
        <v>47300</v>
      </c>
    </row>
    <row r="486" spans="6:8">
      <c r="F486" s="669">
        <f>F485+31</f>
        <v>47362</v>
      </c>
      <c r="G486" s="668">
        <f>IF(SUM($G$301:G485)=1,0,IF($C$300&lt;F486,1,0))</f>
        <v>0</v>
      </c>
      <c r="H486" s="669">
        <f t="shared" si="66"/>
        <v>47331</v>
      </c>
    </row>
    <row r="487" spans="6:8">
      <c r="F487" s="669">
        <f t="shared" si="71"/>
        <v>47392</v>
      </c>
      <c r="G487" s="668">
        <f>IF(SUM($G$301:G486)=1,0,IF($C$300&lt;F487,1,0))</f>
        <v>0</v>
      </c>
      <c r="H487" s="669">
        <f t="shared" si="66"/>
        <v>47362</v>
      </c>
    </row>
    <row r="488" spans="6:8">
      <c r="F488" s="669">
        <f>F487+31</f>
        <v>47423</v>
      </c>
      <c r="G488" s="668">
        <f>IF(SUM($G$301:G487)=1,0,IF($C$300&lt;F488,1,0))</f>
        <v>0</v>
      </c>
      <c r="H488" s="669">
        <f t="shared" si="66"/>
        <v>47392</v>
      </c>
    </row>
    <row r="489" spans="6:8">
      <c r="F489" s="669">
        <f t="shared" si="71"/>
        <v>47453</v>
      </c>
      <c r="G489" s="668">
        <f>IF(SUM($G$301:G488)=1,0,IF($C$300&lt;F489,1,0))</f>
        <v>0</v>
      </c>
      <c r="H489" s="669">
        <f t="shared" si="66"/>
        <v>47423</v>
      </c>
    </row>
    <row r="490" spans="6:8">
      <c r="F490" s="669">
        <f>F489+31</f>
        <v>47484</v>
      </c>
      <c r="G490" s="668">
        <f>IF(SUM($G$301:G489)=1,0,IF($C$300&lt;F490,1,0))</f>
        <v>0</v>
      </c>
      <c r="H490" s="669">
        <f t="shared" si="66"/>
        <v>47453</v>
      </c>
    </row>
    <row r="491" spans="6:8">
      <c r="F491" s="669">
        <f>F490+31</f>
        <v>47515</v>
      </c>
      <c r="G491" s="668">
        <f>IF(SUM($G$301:G490)=1,0,IF($C$300&lt;F491,1,0))</f>
        <v>0</v>
      </c>
      <c r="H491" s="669">
        <f t="shared" si="66"/>
        <v>47484</v>
      </c>
    </row>
    <row r="492" spans="6:8">
      <c r="F492" s="669">
        <f>IF(ISNA(VLOOKUP(F491,$E$4:$E$13,1,FALSE))=TRUE,F491+28,F491+29)</f>
        <v>47543</v>
      </c>
      <c r="G492" s="668">
        <f>IF(SUM($G$301:G491)=1,0,IF($C$300&lt;F492,1,0))</f>
        <v>0</v>
      </c>
      <c r="H492" s="669">
        <f t="shared" si="66"/>
        <v>47515</v>
      </c>
    </row>
    <row r="493" spans="6:8">
      <c r="F493" s="669">
        <f>F492+31</f>
        <v>47574</v>
      </c>
      <c r="G493" s="668">
        <f>IF(SUM($G$301:G492)=1,0,IF($C$300&lt;F493,1,0))</f>
        <v>0</v>
      </c>
      <c r="H493" s="669">
        <f t="shared" si="66"/>
        <v>47543</v>
      </c>
    </row>
    <row r="494" spans="6:8">
      <c r="F494" s="669">
        <f>F493+30</f>
        <v>47604</v>
      </c>
      <c r="G494" s="668">
        <f>IF(SUM($G$301:G493)=1,0,IF($C$300&lt;F494,1,0))</f>
        <v>0</v>
      </c>
      <c r="H494" s="669">
        <f t="shared" si="66"/>
        <v>47574</v>
      </c>
    </row>
    <row r="495" spans="6:8">
      <c r="F495" s="669">
        <f>F494+31</f>
        <v>47635</v>
      </c>
      <c r="G495" s="668">
        <f>IF(SUM($G$301:G494)=1,0,IF($C$300&lt;F495,1,0))</f>
        <v>0</v>
      </c>
      <c r="H495" s="669">
        <f t="shared" si="66"/>
        <v>47604</v>
      </c>
    </row>
    <row r="496" spans="6:8">
      <c r="F496" s="669">
        <f t="shared" ref="F496:F501" si="72">F495+30</f>
        <v>47665</v>
      </c>
      <c r="G496" s="668">
        <f>IF(SUM($G$301:G495)=1,0,IF($C$300&lt;F496,1,0))</f>
        <v>0</v>
      </c>
      <c r="H496" s="669">
        <f t="shared" ref="H496:H505" si="73">F495</f>
        <v>47635</v>
      </c>
    </row>
    <row r="497" spans="6:8">
      <c r="F497" s="669">
        <f>F496+31</f>
        <v>47696</v>
      </c>
      <c r="G497" s="668">
        <f>IF(SUM($G$301:G496)=1,0,IF($C$300&lt;F497,1,0))</f>
        <v>0</v>
      </c>
      <c r="H497" s="669">
        <f t="shared" si="73"/>
        <v>47665</v>
      </c>
    </row>
    <row r="498" spans="6:8">
      <c r="F498" s="669">
        <f>F497+31</f>
        <v>47727</v>
      </c>
      <c r="G498" s="668">
        <f>IF(SUM($G$301:G497)=1,0,IF($C$300&lt;F498,1,0))</f>
        <v>0</v>
      </c>
      <c r="H498" s="669">
        <f t="shared" si="73"/>
        <v>47696</v>
      </c>
    </row>
    <row r="499" spans="6:8">
      <c r="F499" s="669">
        <f t="shared" si="72"/>
        <v>47757</v>
      </c>
      <c r="G499" s="668">
        <f>IF(SUM($G$301:G498)=1,0,IF($C$300&lt;F499,1,0))</f>
        <v>0</v>
      </c>
      <c r="H499" s="669">
        <f t="shared" si="73"/>
        <v>47727</v>
      </c>
    </row>
    <row r="500" spans="6:8">
      <c r="F500" s="669">
        <f>F499+31</f>
        <v>47788</v>
      </c>
      <c r="G500" s="668">
        <f>IF(SUM($G$301:G499)=1,0,IF($C$300&lt;F500,1,0))</f>
        <v>0</v>
      </c>
      <c r="H500" s="669">
        <f t="shared" si="73"/>
        <v>47757</v>
      </c>
    </row>
    <row r="501" spans="6:8">
      <c r="F501" s="669">
        <f t="shared" si="72"/>
        <v>47818</v>
      </c>
      <c r="G501" s="668">
        <f>IF(SUM($G$301:G500)=1,0,IF($C$300&lt;F501,1,0))</f>
        <v>0</v>
      </c>
      <c r="H501" s="669">
        <f t="shared" si="73"/>
        <v>47788</v>
      </c>
    </row>
    <row r="502" spans="6:8">
      <c r="F502" s="669">
        <f>F501+31</f>
        <v>47849</v>
      </c>
      <c r="G502" s="668">
        <f>IF(SUM($G$301:G501)=1,0,IF($C$300&lt;F502,1,0))</f>
        <v>0</v>
      </c>
      <c r="H502" s="669">
        <f t="shared" si="73"/>
        <v>47818</v>
      </c>
    </row>
    <row r="503" spans="6:8">
      <c r="F503" s="669">
        <f>F502+31</f>
        <v>47880</v>
      </c>
      <c r="G503" s="668">
        <f>IF(SUM($G$301:G502)=1,0,IF($C$300&lt;F503,1,0))</f>
        <v>0</v>
      </c>
      <c r="H503" s="669">
        <f t="shared" si="73"/>
        <v>47849</v>
      </c>
    </row>
    <row r="504" spans="6:8">
      <c r="F504" s="669">
        <f>IF(ISNA(VLOOKUP(F503,$E$4:$E$13,1,FALSE))=TRUE,F503+28,F503+29)</f>
        <v>47908</v>
      </c>
      <c r="G504" s="668">
        <f>IF(SUM($G$301:G503)=1,0,IF($C$300&lt;F504,1,0))</f>
        <v>0</v>
      </c>
      <c r="H504" s="669">
        <f t="shared" si="73"/>
        <v>47880</v>
      </c>
    </row>
    <row r="505" spans="6:8">
      <c r="F505" s="669">
        <f>F504+31</f>
        <v>47939</v>
      </c>
      <c r="G505" s="668">
        <f>IF(SUM($G$301:G504)=1,0,IF($C$300&lt;F505,1,0))</f>
        <v>0</v>
      </c>
      <c r="H505" s="669">
        <f t="shared" si="73"/>
        <v>47908</v>
      </c>
    </row>
    <row r="1000" spans="2:22" ht="15.6">
      <c r="B1000" s="699" t="s">
        <v>50</v>
      </c>
      <c r="I1000" s="668" t="s">
        <v>51</v>
      </c>
    </row>
    <row r="1001" spans="2:22">
      <c r="I1001" s="668" t="s">
        <v>54</v>
      </c>
      <c r="R1001" s="668" t="s">
        <v>52</v>
      </c>
    </row>
    <row r="1002" spans="2:22">
      <c r="B1002" s="668" t="s">
        <v>53</v>
      </c>
      <c r="I1002" s="668" t="s">
        <v>56</v>
      </c>
      <c r="R1002" s="668" t="s">
        <v>55</v>
      </c>
    </row>
    <row r="1003" spans="2:22">
      <c r="I1003" s="668" t="s">
        <v>393</v>
      </c>
      <c r="R1003" s="668" t="s">
        <v>57</v>
      </c>
    </row>
    <row r="1004" spans="2:22">
      <c r="B1004" s="678" t="s">
        <v>101</v>
      </c>
      <c r="C1004" s="700" t="s">
        <v>400</v>
      </c>
      <c r="D1004" s="700"/>
      <c r="I1004" s="668" t="s">
        <v>327</v>
      </c>
      <c r="R1004" s="668" t="s">
        <v>58</v>
      </c>
    </row>
    <row r="1005" spans="2:22">
      <c r="B1005" s="678" t="s">
        <v>100</v>
      </c>
      <c r="C1005" s="701" t="s">
        <v>59</v>
      </c>
      <c r="D1005" s="701"/>
      <c r="E1005" s="701"/>
      <c r="F1005" s="701"/>
      <c r="G1005" s="701"/>
      <c r="H1005" s="701"/>
      <c r="R1005" s="668" t="s">
        <v>60</v>
      </c>
    </row>
    <row r="1006" spans="2:22">
      <c r="C1006" s="701"/>
      <c r="D1006" s="701"/>
      <c r="E1006" s="701"/>
      <c r="F1006" s="701"/>
      <c r="G1006" s="701"/>
      <c r="H1006" s="701"/>
      <c r="R1006" s="668" t="s">
        <v>61</v>
      </c>
      <c r="U1006" s="668" t="s">
        <v>312</v>
      </c>
    </row>
    <row r="1007" spans="2:22">
      <c r="R1007" s="668" t="s">
        <v>306</v>
      </c>
      <c r="U1007" s="668" t="s">
        <v>304</v>
      </c>
      <c r="V1007" s="700" t="s">
        <v>305</v>
      </c>
    </row>
    <row r="1008" spans="2:22">
      <c r="E1008" s="668" t="s">
        <v>62</v>
      </c>
      <c r="J1008" s="668" t="s">
        <v>63</v>
      </c>
      <c r="R1008" s="668" t="s">
        <v>23</v>
      </c>
    </row>
    <row r="1009" spans="1:26" ht="43.2">
      <c r="B1009" s="668" t="s">
        <v>64</v>
      </c>
      <c r="C1009" s="702" t="s">
        <v>65</v>
      </c>
      <c r="D1009" s="702" t="s">
        <v>66</v>
      </c>
      <c r="E1009" s="702" t="s">
        <v>67</v>
      </c>
      <c r="F1009" s="702" t="s">
        <v>68</v>
      </c>
      <c r="G1009" s="702" t="s">
        <v>69</v>
      </c>
      <c r="H1009" s="702" t="s">
        <v>70</v>
      </c>
      <c r="I1009" s="702" t="s">
        <v>71</v>
      </c>
      <c r="J1009" s="702" t="s">
        <v>72</v>
      </c>
      <c r="K1009" s="680" t="s">
        <v>319</v>
      </c>
      <c r="L1009" s="702" t="s">
        <v>326</v>
      </c>
    </row>
    <row r="1010" spans="1:26">
      <c r="A1010" s="668">
        <v>1</v>
      </c>
      <c r="B1010" s="700" t="s">
        <v>52</v>
      </c>
      <c r="C1010" s="700" t="s">
        <v>52</v>
      </c>
      <c r="D1010" s="700" t="s">
        <v>73</v>
      </c>
      <c r="E1010" s="670">
        <v>0.05</v>
      </c>
      <c r="F1010" s="670">
        <v>0.21</v>
      </c>
      <c r="G1010" s="670">
        <v>0.42</v>
      </c>
      <c r="H1010" s="670">
        <v>0.27</v>
      </c>
      <c r="I1010" s="670">
        <v>0.05</v>
      </c>
      <c r="J1010" s="703">
        <v>100000000</v>
      </c>
      <c r="K1010" s="704">
        <v>0.44642857142857145</v>
      </c>
      <c r="L1010" s="704">
        <v>0.74</v>
      </c>
      <c r="R1010" s="668" t="s">
        <v>311</v>
      </c>
    </row>
    <row r="1011" spans="1:26">
      <c r="A1011" s="668">
        <v>2</v>
      </c>
      <c r="B1011" s="700" t="s">
        <v>55</v>
      </c>
      <c r="C1011" s="700" t="s">
        <v>55</v>
      </c>
      <c r="D1011" s="700" t="s">
        <v>73</v>
      </c>
      <c r="E1011" s="670">
        <v>0.05</v>
      </c>
      <c r="F1011" s="670">
        <v>0.21</v>
      </c>
      <c r="G1011" s="670">
        <v>0.42</v>
      </c>
      <c r="H1011" s="670">
        <v>0.27</v>
      </c>
      <c r="I1011" s="670">
        <v>0.05</v>
      </c>
      <c r="J1011" s="703">
        <v>50000000</v>
      </c>
      <c r="K1011" s="704">
        <v>0.22321428571428573</v>
      </c>
      <c r="L1011" s="704">
        <v>0.74</v>
      </c>
      <c r="R1011" s="670"/>
      <c r="T1011" s="668" t="s">
        <v>75</v>
      </c>
      <c r="U1011" s="668" t="s">
        <v>76</v>
      </c>
      <c r="V1011" s="668" t="s">
        <v>77</v>
      </c>
      <c r="W1011" s="668" t="s">
        <v>78</v>
      </c>
      <c r="X1011" s="668" t="s">
        <v>79</v>
      </c>
    </row>
    <row r="1012" spans="1:26">
      <c r="A1012" s="668">
        <v>3</v>
      </c>
      <c r="B1012" s="700" t="s">
        <v>57</v>
      </c>
      <c r="C1012" s="700" t="s">
        <v>57</v>
      </c>
      <c r="D1012" s="700" t="s">
        <v>23</v>
      </c>
      <c r="E1012" s="670">
        <v>0</v>
      </c>
      <c r="F1012" s="670">
        <v>0</v>
      </c>
      <c r="G1012" s="670">
        <v>0</v>
      </c>
      <c r="H1012" s="670">
        <v>0.88</v>
      </c>
      <c r="I1012" s="670">
        <v>0.12</v>
      </c>
      <c r="J1012" s="703">
        <v>30000000</v>
      </c>
      <c r="K1012" s="704">
        <v>0.13392857142857142</v>
      </c>
      <c r="L1012" s="704">
        <v>0.42</v>
      </c>
      <c r="R1012" s="670"/>
      <c r="T1012" s="668" t="s">
        <v>80</v>
      </c>
      <c r="U1012" s="668" t="s">
        <v>81</v>
      </c>
      <c r="V1012" s="668" t="s">
        <v>82</v>
      </c>
      <c r="W1012" s="668" t="s">
        <v>83</v>
      </c>
      <c r="X1012" s="668" t="s">
        <v>84</v>
      </c>
      <c r="Z1012" s="668" t="s">
        <v>310</v>
      </c>
    </row>
    <row r="1013" spans="1:26">
      <c r="A1013" s="668">
        <v>4</v>
      </c>
      <c r="B1013" s="700" t="s">
        <v>85</v>
      </c>
      <c r="C1013" s="700" t="s">
        <v>58</v>
      </c>
      <c r="D1013" s="700" t="s">
        <v>23</v>
      </c>
      <c r="E1013" s="670">
        <v>0.05</v>
      </c>
      <c r="F1013" s="670">
        <v>0.21</v>
      </c>
      <c r="G1013" s="670">
        <v>0.42</v>
      </c>
      <c r="H1013" s="670">
        <v>0.27</v>
      </c>
      <c r="I1013" s="670">
        <v>0.05</v>
      </c>
      <c r="J1013" s="703">
        <v>20000000</v>
      </c>
      <c r="K1013" s="704">
        <v>8.9285714285714288E-2</v>
      </c>
      <c r="L1013" s="704">
        <v>1</v>
      </c>
      <c r="S1013" s="668" t="s">
        <v>73</v>
      </c>
      <c r="T1013" s="670">
        <v>0.05</v>
      </c>
      <c r="U1013" s="670">
        <v>0.21</v>
      </c>
      <c r="V1013" s="670">
        <v>0.42</v>
      </c>
      <c r="W1013" s="670">
        <v>0.27</v>
      </c>
      <c r="X1013" s="670">
        <v>0.05</v>
      </c>
      <c r="Y1013" s="705">
        <v>1</v>
      </c>
      <c r="Z1013" s="673">
        <v>1</v>
      </c>
    </row>
    <row r="1014" spans="1:26">
      <c r="A1014" s="668">
        <v>5</v>
      </c>
      <c r="B1014" s="700" t="s">
        <v>60</v>
      </c>
      <c r="C1014" s="700" t="s">
        <v>60</v>
      </c>
      <c r="D1014" s="700" t="s">
        <v>23</v>
      </c>
      <c r="E1014" s="670">
        <v>0</v>
      </c>
      <c r="F1014" s="670">
        <v>0.17</v>
      </c>
      <c r="G1014" s="670">
        <v>0.39</v>
      </c>
      <c r="H1014" s="670">
        <v>0.39</v>
      </c>
      <c r="I1014" s="670">
        <v>0.05</v>
      </c>
      <c r="J1014" s="703">
        <v>10000000</v>
      </c>
      <c r="K1014" s="704">
        <v>4.4642857142857144E-2</v>
      </c>
      <c r="L1014" s="704">
        <v>0.95000000000000007</v>
      </c>
      <c r="S1014" s="668" t="s">
        <v>75</v>
      </c>
      <c r="T1014" s="670">
        <v>1</v>
      </c>
      <c r="U1014" s="670">
        <v>0</v>
      </c>
      <c r="V1014" s="670">
        <v>0</v>
      </c>
      <c r="W1014" s="670">
        <v>0</v>
      </c>
      <c r="X1014" s="670">
        <v>0</v>
      </c>
      <c r="Y1014" s="705">
        <v>1</v>
      </c>
      <c r="Z1014" s="673">
        <v>0.05</v>
      </c>
    </row>
    <row r="1015" spans="1:26">
      <c r="A1015" s="668">
        <v>6</v>
      </c>
      <c r="B1015" s="700" t="s">
        <v>61</v>
      </c>
      <c r="C1015" s="700" t="s">
        <v>61</v>
      </c>
      <c r="D1015" s="700" t="s">
        <v>23</v>
      </c>
      <c r="E1015" s="670">
        <v>0.05</v>
      </c>
      <c r="F1015" s="670">
        <v>0.16</v>
      </c>
      <c r="G1015" s="670">
        <v>0.37</v>
      </c>
      <c r="H1015" s="670">
        <v>0.37</v>
      </c>
      <c r="I1015" s="670">
        <v>0.05</v>
      </c>
      <c r="J1015" s="703">
        <v>9000000</v>
      </c>
      <c r="K1015" s="704">
        <v>4.0178571428571432E-2</v>
      </c>
      <c r="L1015" s="704">
        <v>1</v>
      </c>
      <c r="S1015" s="668" t="s">
        <v>86</v>
      </c>
      <c r="T1015" s="670">
        <v>0.2</v>
      </c>
      <c r="U1015" s="670">
        <v>0.8</v>
      </c>
      <c r="V1015" s="670">
        <v>0</v>
      </c>
      <c r="W1015" s="670">
        <v>0</v>
      </c>
      <c r="X1015" s="670">
        <v>0</v>
      </c>
      <c r="Y1015" s="705">
        <v>1</v>
      </c>
      <c r="Z1015" s="673">
        <v>0.26</v>
      </c>
    </row>
    <row r="1016" spans="1:26">
      <c r="A1016" s="668">
        <v>7</v>
      </c>
      <c r="B1016" s="700" t="s">
        <v>414</v>
      </c>
      <c r="C1016" s="700"/>
      <c r="D1016" s="700" t="s">
        <v>23</v>
      </c>
      <c r="E1016" s="670"/>
      <c r="F1016" s="670"/>
      <c r="G1016" s="670"/>
      <c r="H1016" s="670"/>
      <c r="I1016" s="670"/>
      <c r="J1016" s="703">
        <v>0</v>
      </c>
      <c r="K1016" s="704"/>
      <c r="L1016" s="704"/>
      <c r="S1016" s="668" t="s">
        <v>87</v>
      </c>
      <c r="T1016" s="670">
        <v>0.08</v>
      </c>
      <c r="U1016" s="670">
        <v>0.31</v>
      </c>
      <c r="V1016" s="670">
        <v>0.61</v>
      </c>
      <c r="W1016" s="670">
        <v>0</v>
      </c>
      <c r="X1016" s="670">
        <v>0</v>
      </c>
      <c r="Y1016" s="705">
        <v>1</v>
      </c>
      <c r="Z1016" s="673">
        <v>0.67999999999999994</v>
      </c>
    </row>
    <row r="1017" spans="1:26">
      <c r="J1017" s="676">
        <v>180000000</v>
      </c>
      <c r="S1017" s="668" t="s">
        <v>76</v>
      </c>
      <c r="T1017" s="670">
        <v>0</v>
      </c>
      <c r="U1017" s="670">
        <v>1</v>
      </c>
      <c r="V1017" s="670">
        <v>0</v>
      </c>
      <c r="W1017" s="670">
        <v>0</v>
      </c>
      <c r="X1017" s="670">
        <v>0</v>
      </c>
      <c r="Y1017" s="705">
        <v>1</v>
      </c>
      <c r="Z1017" s="673">
        <v>0.21</v>
      </c>
    </row>
    <row r="1018" spans="1:26">
      <c r="Q1018" s="702"/>
      <c r="S1018" s="668" t="s">
        <v>88</v>
      </c>
      <c r="T1018" s="670">
        <v>0</v>
      </c>
      <c r="U1018" s="670">
        <v>0.33</v>
      </c>
      <c r="V1018" s="670">
        <v>0.67</v>
      </c>
      <c r="W1018" s="670">
        <v>0</v>
      </c>
      <c r="X1018" s="670">
        <v>0</v>
      </c>
      <c r="Y1018" s="705">
        <v>1</v>
      </c>
      <c r="Z1018" s="673">
        <v>0.63</v>
      </c>
    </row>
    <row r="1019" spans="1:26">
      <c r="Q1019" s="670"/>
      <c r="S1019" s="668" t="s">
        <v>74</v>
      </c>
      <c r="T1019" s="670">
        <v>0</v>
      </c>
      <c r="U1019" s="670">
        <v>0</v>
      </c>
      <c r="V1019" s="670">
        <v>0.56999999999999995</v>
      </c>
      <c r="W1019" s="670">
        <v>0.36</v>
      </c>
      <c r="X1019" s="670">
        <v>7.0000000000000007E-2</v>
      </c>
      <c r="Y1019" s="705">
        <v>1</v>
      </c>
      <c r="Z1019" s="673">
        <v>0.74</v>
      </c>
    </row>
    <row r="1020" spans="1:26">
      <c r="Q1020" s="670"/>
      <c r="S1020" s="668" t="s">
        <v>89</v>
      </c>
      <c r="T1020" s="670">
        <v>0</v>
      </c>
      <c r="U1020" s="670">
        <v>0.22</v>
      </c>
      <c r="V1020" s="670">
        <v>0.44</v>
      </c>
      <c r="W1020" s="670">
        <v>0.28000000000000003</v>
      </c>
      <c r="X1020" s="670">
        <v>0.06</v>
      </c>
      <c r="Y1020" s="705">
        <v>1</v>
      </c>
      <c r="Z1020" s="673">
        <v>0.95000000000000007</v>
      </c>
    </row>
    <row r="1021" spans="1:26">
      <c r="B1021" s="706" t="s">
        <v>303</v>
      </c>
      <c r="C1021" s="706" t="s">
        <v>22</v>
      </c>
      <c r="E1021" s="668" t="s">
        <v>321</v>
      </c>
      <c r="Q1021" s="670"/>
      <c r="S1021" s="668" t="s">
        <v>90</v>
      </c>
      <c r="T1021" s="670">
        <v>0</v>
      </c>
      <c r="U1021" s="670">
        <v>0</v>
      </c>
      <c r="V1021" s="670">
        <v>0</v>
      </c>
      <c r="W1021" s="670">
        <v>0.83</v>
      </c>
      <c r="X1021" s="670">
        <v>0.17</v>
      </c>
      <c r="Y1021" s="705">
        <v>1</v>
      </c>
      <c r="Z1021" s="673">
        <v>0.32</v>
      </c>
    </row>
    <row r="1022" spans="1:26">
      <c r="B1022" s="717" t="s">
        <v>18</v>
      </c>
      <c r="C1022" s="707">
        <v>1980</v>
      </c>
      <c r="F1022" s="717" t="s">
        <v>94</v>
      </c>
      <c r="G1022" s="717" t="s">
        <v>95</v>
      </c>
      <c r="H1022" s="717" t="s">
        <v>96</v>
      </c>
      <c r="K1022" s="668" t="s">
        <v>97</v>
      </c>
      <c r="Q1022" s="670"/>
      <c r="S1022" s="668" t="s">
        <v>23</v>
      </c>
    </row>
    <row r="1023" spans="1:26">
      <c r="B1023" s="717" t="s">
        <v>19</v>
      </c>
      <c r="C1023" s="707">
        <v>1780</v>
      </c>
      <c r="E1023" s="678" t="s">
        <v>98</v>
      </c>
      <c r="F1023" s="675">
        <v>15</v>
      </c>
      <c r="G1023" s="675">
        <v>2</v>
      </c>
      <c r="H1023" s="675">
        <v>2014</v>
      </c>
      <c r="K1023" s="668">
        <v>41685</v>
      </c>
      <c r="Q1023" s="670"/>
      <c r="R1023" s="668" t="s">
        <v>91</v>
      </c>
    </row>
    <row r="1024" spans="1:26">
      <c r="B1024" s="717" t="s">
        <v>20</v>
      </c>
      <c r="C1024" s="707">
        <v>1131</v>
      </c>
      <c r="Q1024" s="670"/>
      <c r="T1024" s="668" t="s">
        <v>75</v>
      </c>
      <c r="U1024" s="668" t="s">
        <v>76</v>
      </c>
      <c r="V1024" s="668" t="s">
        <v>77</v>
      </c>
      <c r="W1024" s="668" t="s">
        <v>78</v>
      </c>
      <c r="X1024" s="668" t="s">
        <v>79</v>
      </c>
    </row>
    <row r="1025" spans="2:26">
      <c r="B1025" s="717" t="s">
        <v>21</v>
      </c>
      <c r="C1025" s="707">
        <v>881</v>
      </c>
      <c r="Q1025" s="670"/>
      <c r="T1025" s="668" t="s">
        <v>80</v>
      </c>
      <c r="U1025" s="668" t="s">
        <v>81</v>
      </c>
      <c r="V1025" s="668" t="s">
        <v>82</v>
      </c>
      <c r="W1025" s="668" t="s">
        <v>83</v>
      </c>
      <c r="X1025" s="668" t="s">
        <v>84</v>
      </c>
    </row>
    <row r="1026" spans="2:26">
      <c r="S1026" s="668" t="s">
        <v>73</v>
      </c>
      <c r="T1026" s="670">
        <v>0.05</v>
      </c>
      <c r="U1026" s="670">
        <v>0.16</v>
      </c>
      <c r="V1026" s="670">
        <v>0.37</v>
      </c>
      <c r="W1026" s="670">
        <v>0.37</v>
      </c>
      <c r="X1026" s="670">
        <v>0.05</v>
      </c>
      <c r="Y1026" s="705">
        <v>1</v>
      </c>
      <c r="Z1026" s="673">
        <v>1</v>
      </c>
    </row>
    <row r="1027" spans="2:26">
      <c r="S1027" s="668" t="s">
        <v>75</v>
      </c>
      <c r="T1027" s="670">
        <v>1</v>
      </c>
      <c r="U1027" s="670">
        <v>0</v>
      </c>
      <c r="V1027" s="670">
        <v>0</v>
      </c>
      <c r="W1027" s="670">
        <v>0</v>
      </c>
      <c r="X1027" s="670">
        <v>0</v>
      </c>
      <c r="Y1027" s="705">
        <v>1</v>
      </c>
      <c r="Z1027" s="673">
        <v>0.05</v>
      </c>
    </row>
    <row r="1028" spans="2:26">
      <c r="B1028" s="717" t="s">
        <v>325</v>
      </c>
      <c r="C1028" s="675">
        <v>3</v>
      </c>
      <c r="S1028" s="668" t="s">
        <v>86</v>
      </c>
      <c r="T1028" s="670">
        <v>0.25</v>
      </c>
      <c r="U1028" s="670">
        <v>0.75</v>
      </c>
      <c r="V1028" s="670">
        <v>0</v>
      </c>
      <c r="W1028" s="670">
        <v>0</v>
      </c>
      <c r="X1028" s="670">
        <v>0</v>
      </c>
      <c r="Y1028" s="705">
        <v>1</v>
      </c>
      <c r="Z1028" s="673">
        <v>0.21000000000000002</v>
      </c>
    </row>
    <row r="1029" spans="2:26">
      <c r="B1029" s="717" t="s">
        <v>340</v>
      </c>
      <c r="C1029" s="696">
        <v>300000</v>
      </c>
      <c r="S1029" s="668" t="s">
        <v>87</v>
      </c>
      <c r="T1029" s="670">
        <v>0.09</v>
      </c>
      <c r="U1029" s="670">
        <v>0.27</v>
      </c>
      <c r="V1029" s="670">
        <v>0.64</v>
      </c>
      <c r="W1029" s="670">
        <v>0</v>
      </c>
      <c r="X1029" s="670">
        <v>0</v>
      </c>
      <c r="Y1029" s="705">
        <v>1</v>
      </c>
      <c r="Z1029" s="673">
        <v>0.58000000000000007</v>
      </c>
    </row>
    <row r="1030" spans="2:26">
      <c r="E1030" s="668" t="s">
        <v>307</v>
      </c>
      <c r="S1030" s="668" t="s">
        <v>76</v>
      </c>
      <c r="T1030" s="670">
        <v>0</v>
      </c>
      <c r="U1030" s="670">
        <v>1</v>
      </c>
      <c r="V1030" s="670">
        <v>0</v>
      </c>
      <c r="W1030" s="670">
        <v>0</v>
      </c>
      <c r="X1030" s="670">
        <v>0</v>
      </c>
      <c r="Y1030" s="705">
        <v>1</v>
      </c>
      <c r="Z1030" s="673">
        <v>0.16</v>
      </c>
    </row>
    <row r="1031" spans="2:26">
      <c r="B1031" s="717"/>
      <c r="E1031" s="668" t="s">
        <v>301</v>
      </c>
      <c r="H1031" s="708">
        <v>3</v>
      </c>
      <c r="S1031" s="668" t="s">
        <v>88</v>
      </c>
      <c r="T1031" s="670">
        <v>0</v>
      </c>
      <c r="U1031" s="670">
        <v>0.3</v>
      </c>
      <c r="V1031" s="670">
        <v>0.7</v>
      </c>
      <c r="W1031" s="670">
        <v>0</v>
      </c>
      <c r="X1031" s="670">
        <v>0</v>
      </c>
      <c r="Y1031" s="705">
        <v>1</v>
      </c>
      <c r="Z1031" s="673">
        <v>0.53</v>
      </c>
    </row>
    <row r="1032" spans="2:26">
      <c r="B1032" s="678" t="s">
        <v>416</v>
      </c>
      <c r="C1032" s="673">
        <v>0.15</v>
      </c>
      <c r="E1032" s="668" t="s">
        <v>302</v>
      </c>
      <c r="H1032" s="708">
        <v>0.3</v>
      </c>
      <c r="S1032" s="668" t="s">
        <v>74</v>
      </c>
      <c r="T1032" s="670">
        <v>0</v>
      </c>
      <c r="U1032" s="670">
        <v>0</v>
      </c>
      <c r="V1032" s="670">
        <v>0.47</v>
      </c>
      <c r="W1032" s="670">
        <v>0.47</v>
      </c>
      <c r="X1032" s="670">
        <v>0.06</v>
      </c>
      <c r="Y1032" s="705">
        <v>1</v>
      </c>
      <c r="Z1032" s="673">
        <v>0.79</v>
      </c>
    </row>
    <row r="1033" spans="2:26" ht="15.75" customHeight="1">
      <c r="E1033" s="709" t="s">
        <v>328</v>
      </c>
      <c r="F1033" s="709"/>
      <c r="G1033" s="709"/>
      <c r="H1033" s="709"/>
      <c r="S1033" s="668" t="s">
        <v>89</v>
      </c>
      <c r="T1033" s="670">
        <v>0</v>
      </c>
      <c r="U1033" s="670">
        <v>0.17</v>
      </c>
      <c r="V1033" s="670">
        <v>0.39</v>
      </c>
      <c r="W1033" s="670">
        <v>0.39</v>
      </c>
      <c r="X1033" s="670">
        <v>0.05</v>
      </c>
      <c r="Y1033" s="705">
        <v>1</v>
      </c>
      <c r="Z1033" s="673">
        <v>0.95000000000000007</v>
      </c>
    </row>
    <row r="1034" spans="2:26">
      <c r="E1034" s="709"/>
      <c r="F1034" s="709"/>
      <c r="G1034" s="709"/>
      <c r="H1034" s="709"/>
      <c r="S1034" s="668" t="s">
        <v>90</v>
      </c>
      <c r="T1034" s="670">
        <v>0</v>
      </c>
      <c r="U1034" s="670">
        <v>0</v>
      </c>
      <c r="V1034" s="670">
        <v>0</v>
      </c>
      <c r="W1034" s="670">
        <v>0.88</v>
      </c>
      <c r="X1034" s="670">
        <v>0.12</v>
      </c>
      <c r="Y1034" s="705">
        <v>1</v>
      </c>
      <c r="Z1034" s="673">
        <v>0.42</v>
      </c>
    </row>
    <row r="1035" spans="2:26">
      <c r="E1035" s="709"/>
      <c r="F1035" s="709"/>
      <c r="G1035" s="709"/>
      <c r="H1035" s="709"/>
    </row>
    <row r="1036" spans="2:26">
      <c r="E1036" s="668" t="s">
        <v>308</v>
      </c>
      <c r="H1036" s="708">
        <v>1.2</v>
      </c>
    </row>
    <row r="1037" spans="2:26">
      <c r="E1037" s="668" t="s">
        <v>309</v>
      </c>
      <c r="H1037" s="708">
        <v>0.8</v>
      </c>
    </row>
    <row r="1038" spans="2:26">
      <c r="H1038" s="710"/>
    </row>
    <row r="1043" spans="1:26">
      <c r="Z1043" s="705"/>
    </row>
    <row r="1044" spans="1:26">
      <c r="Z1044" s="705"/>
    </row>
    <row r="1045" spans="1:26">
      <c r="Z1045" s="705"/>
    </row>
    <row r="1046" spans="1:26">
      <c r="Z1046" s="705"/>
    </row>
    <row r="1047" spans="1:26">
      <c r="Z1047" s="705"/>
    </row>
    <row r="1048" spans="1:26">
      <c r="Z1048" s="705"/>
    </row>
    <row r="1049" spans="1:26">
      <c r="Z1049" s="705"/>
    </row>
    <row r="1050" spans="1:26">
      <c r="A1050" s="711" t="s">
        <v>320</v>
      </c>
      <c r="Z1050" s="705"/>
    </row>
    <row r="1051" spans="1:26">
      <c r="A1051" s="668" t="s">
        <v>26</v>
      </c>
      <c r="B1051" s="668" t="s">
        <v>4</v>
      </c>
      <c r="Z1051" s="705"/>
    </row>
    <row r="1052" spans="1:26">
      <c r="A1052" s="668" t="s">
        <v>27</v>
      </c>
      <c r="B1052" s="668" t="s">
        <v>10</v>
      </c>
    </row>
    <row r="1053" spans="1:26">
      <c r="A1053" s="668" t="s">
        <v>28</v>
      </c>
      <c r="B1053" s="668" t="s">
        <v>5</v>
      </c>
    </row>
    <row r="1054" spans="1:26">
      <c r="A1054" s="668" t="s">
        <v>29</v>
      </c>
      <c r="B1054" s="668" t="s">
        <v>40</v>
      </c>
    </row>
    <row r="1055" spans="1:26">
      <c r="A1055" s="668" t="s">
        <v>30</v>
      </c>
      <c r="B1055" s="668" t="s">
        <v>41</v>
      </c>
    </row>
    <row r="1056" spans="1:26">
      <c r="A1056" s="668" t="s">
        <v>31</v>
      </c>
      <c r="B1056" s="668" t="s">
        <v>7</v>
      </c>
    </row>
    <row r="1057" spans="1:2">
      <c r="A1057" s="668" t="s">
        <v>32</v>
      </c>
      <c r="B1057" s="668" t="s">
        <v>42</v>
      </c>
    </row>
    <row r="1058" spans="1:2">
      <c r="A1058" s="668" t="s">
        <v>13</v>
      </c>
      <c r="B1058" s="668" t="s">
        <v>43</v>
      </c>
    </row>
    <row r="1059" spans="1:2">
      <c r="A1059" s="668" t="s">
        <v>14</v>
      </c>
      <c r="B1059" s="668" t="s">
        <v>44</v>
      </c>
    </row>
    <row r="1060" spans="1:2">
      <c r="A1060" s="668" t="s">
        <v>15</v>
      </c>
      <c r="B1060" s="668" t="s">
        <v>45</v>
      </c>
    </row>
    <row r="1061" spans="1:2">
      <c r="A1061" s="668" t="s">
        <v>16</v>
      </c>
      <c r="B1061" s="668" t="s">
        <v>46</v>
      </c>
    </row>
    <row r="1062" spans="1:2">
      <c r="A1062" s="668" t="s">
        <v>17</v>
      </c>
      <c r="B1062" s="668" t="s">
        <v>47</v>
      </c>
    </row>
    <row r="1063" spans="1:2">
      <c r="A1063" s="668" t="s">
        <v>33</v>
      </c>
      <c r="B1063" s="668" t="s">
        <v>11</v>
      </c>
    </row>
    <row r="1064" spans="1:2">
      <c r="A1064" s="668" t="s">
        <v>34</v>
      </c>
      <c r="B1064" s="668" t="s">
        <v>6</v>
      </c>
    </row>
    <row r="1065" spans="1:2">
      <c r="A1065" s="668" t="s">
        <v>35</v>
      </c>
      <c r="B1065" s="668" t="s">
        <v>8</v>
      </c>
    </row>
    <row r="1068" spans="1:2">
      <c r="A1068" s="668" t="s">
        <v>36</v>
      </c>
      <c r="B1068" s="668" t="s">
        <v>9</v>
      </c>
    </row>
    <row r="1069" spans="1:2">
      <c r="A1069" s="668" t="s">
        <v>37</v>
      </c>
      <c r="B1069" s="668" t="s">
        <v>39</v>
      </c>
    </row>
    <row r="1070" spans="1:2">
      <c r="A1070" s="668" t="s">
        <v>38</v>
      </c>
      <c r="B1070" s="668" t="s">
        <v>12</v>
      </c>
    </row>
  </sheetData>
  <sheetProtection selectLockedCells="1" selectUnlockedCells="1"/>
  <mergeCells count="1">
    <mergeCell ref="A13:B13"/>
  </mergeCells>
  <phoneticPr fontId="43" type="noConversion"/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1A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1A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1A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1A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21</vt:i4>
      </vt:variant>
    </vt:vector>
  </HeadingPairs>
  <TitlesOfParts>
    <vt:vector size="48" baseType="lpstr">
      <vt:lpstr>SERVICE PROVIDER INPUT DATA</vt:lpstr>
      <vt:lpstr>Notes</vt:lpstr>
      <vt:lpstr>F1 Forecast Combined</vt:lpstr>
      <vt:lpstr>F1 Forecast Serivce Provider</vt:lpstr>
      <vt:lpstr>F1 Forecast Contractor</vt:lpstr>
      <vt:lpstr>F1  Cover</vt:lpstr>
      <vt:lpstr>Pg 1 Payment</vt:lpstr>
      <vt:lpstr>Pg 2 Sum Scheduled</vt:lpstr>
      <vt:lpstr>Pg 3 Travel</vt:lpstr>
      <vt:lpstr>Travel History</vt:lpstr>
      <vt:lpstr>Pg 4 P Sums</vt:lpstr>
      <vt:lpstr>Pg 5 Add. Duties</vt:lpstr>
      <vt:lpstr>Pg 6 WAF with CPI</vt:lpstr>
      <vt:lpstr>Pg 7 WAF No CPI</vt:lpstr>
      <vt:lpstr>Pg 8 Penalties</vt:lpstr>
      <vt:lpstr>Pg 9 CPI</vt:lpstr>
      <vt:lpstr>1200</vt:lpstr>
      <vt:lpstr>1300</vt:lpstr>
      <vt:lpstr>1500</vt:lpstr>
      <vt:lpstr>2100</vt:lpstr>
      <vt:lpstr>2200</vt:lpstr>
      <vt:lpstr>2300</vt:lpstr>
      <vt:lpstr>Travel Log</vt:lpstr>
      <vt:lpstr>3100</vt:lpstr>
      <vt:lpstr>3300</vt:lpstr>
      <vt:lpstr>Pricing Schedule</vt:lpstr>
      <vt:lpstr>DATA</vt:lpstr>
      <vt:lpstr>'Pricing Schedule'!_Toc129491471</vt:lpstr>
      <vt:lpstr>'Pricing Schedule'!_Toc129491882</vt:lpstr>
      <vt:lpstr>'Pricing Schedule'!_Toc396298216</vt:lpstr>
      <vt:lpstr>'Pg 3 Travel'!OLE_LINK1</vt:lpstr>
      <vt:lpstr>'F1  Cover'!Print_Area</vt:lpstr>
      <vt:lpstr>'F1 Forecast Combined'!Print_Area</vt:lpstr>
      <vt:lpstr>'F1 Forecast Contractor'!Print_Area</vt:lpstr>
      <vt:lpstr>'F1 Forecast Serivce Provider'!Print_Area</vt:lpstr>
      <vt:lpstr>'Pg 1 Payment'!Print_Area</vt:lpstr>
      <vt:lpstr>'Pg 9 CPI'!Print_Area</vt:lpstr>
      <vt:lpstr>'Travel Log'!Print_Area</vt:lpstr>
      <vt:lpstr>'1300'!Print_Titles</vt:lpstr>
      <vt:lpstr>'1500'!Print_Titles</vt:lpstr>
      <vt:lpstr>'2100'!Print_Titles</vt:lpstr>
      <vt:lpstr>'2200'!Print_Titles</vt:lpstr>
      <vt:lpstr>'2300'!Print_Titles</vt:lpstr>
      <vt:lpstr>'3100'!Print_Titles</vt:lpstr>
      <vt:lpstr>'3300'!Print_Titles</vt:lpstr>
      <vt:lpstr>'Pg 3 Travel'!Print_Titles</vt:lpstr>
      <vt:lpstr>'Pricing Schedule'!Print_Titles</vt:lpstr>
      <vt:lpstr>'Travel History'!Print_Titles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Eugene King (GP)</cp:lastModifiedBy>
  <cp:lastPrinted>2025-07-23T11:01:35Z</cp:lastPrinted>
  <dcterms:created xsi:type="dcterms:W3CDTF">2014-06-28T11:16:13Z</dcterms:created>
  <dcterms:modified xsi:type="dcterms:W3CDTF">2026-06-25T12:03:03Z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2023-05-09T10:14:41Z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d0a48675-e080-4510-9229-4ac496ed5da3</vt:lpwstr>
  </property>
  <property fmtid="{D5CDD505-2E9C-101B-9397-08002B2CF9AE}" pid="8" name="MSIP_Label_5a024da7-7918-49c2-a744-b84d0bf2c679_ContentBits">
    <vt:lpwstr>1</vt:lpwstr>
  </property>
</Properties>
</file>