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codeName="ThisWorkbook" autoCompressPictures="0"/>
  <mc:AlternateContent xmlns:mc="http://schemas.openxmlformats.org/markup-compatibility/2006">
    <mc:Choice Requires="x15">
      <x15ac:absPath xmlns:x15ac="http://schemas.microsoft.com/office/spreadsheetml/2010/11/ac" url="/Users/gundomotsoare/Desktop/Burgerfort WWTW/LNW 26 22 23 - Completion of Burgerfort WWTW 10 MLD/"/>
    </mc:Choice>
  </mc:AlternateContent>
  <xr:revisionPtr revIDLastSave="0" documentId="13_ncr:1_{EBD74452-FA27-A64A-84A6-E726D21E31CE}" xr6:coauthVersionLast="47" xr6:coauthVersionMax="47" xr10:uidLastSave="{00000000-0000-0000-0000-000000000000}"/>
  <bookViews>
    <workbookView xWindow="0" yWindow="500" windowWidth="35840" windowHeight="20460" tabRatio="874" activeTab="2" xr2:uid="{00000000-000D-0000-FFFF-FFFF00000000}"/>
  </bookViews>
  <sheets>
    <sheet name="Summary " sheetId="40" r:id="rId1"/>
    <sheet name="P&amp;G " sheetId="39" r:id="rId2"/>
    <sheet name="OHS " sheetId="51" r:id="rId3"/>
    <sheet name="OHS Compliance" sheetId="57" state="hidden" r:id="rId4"/>
    <sheet name="Inlet Works" sheetId="46" r:id="rId5"/>
    <sheet name="Biological System" sheetId="48" r:id="rId6"/>
    <sheet name="Blower Containers" sheetId="50" r:id="rId7"/>
    <sheet name="Clarifiers" sheetId="9" r:id="rId8"/>
    <sheet name="Sludge Dewatering System" sheetId="49" r:id="rId9"/>
    <sheet name="Mechanical HLPS (obsolete) " sheetId="32" state="hidden" r:id="rId10"/>
    <sheet name="Panorama Booster" sheetId="27" state="hidden" r:id="rId11"/>
    <sheet name="Disinfection Facility" sheetId="41" r:id="rId12"/>
    <sheet name="Electrical Works" sheetId="55" r:id="rId13"/>
    <sheet name="Operations and Maintenance " sheetId="52" r:id="rId14"/>
    <sheet name="Design &amp; Quality Assurance Fees" sheetId="54" r:id="rId15"/>
    <sheet name="Phase 1 - C &amp; I" sheetId="42" state="hidden" r:id="rId16"/>
    <sheet name="Paving " sheetId="44" state="hidden" r:id="rId17"/>
    <sheet name="Phase 1 - HLPS Mech  (2)" sheetId="45" state="hidden" r:id="rId18"/>
    <sheet name="Phase 2 - Panorama Booster" sheetId="36" state="hidden" r:id="rId19"/>
    <sheet name="Phase 2 - Ga-Kgapane Booster" sheetId="30" state="hidden" r:id="rId20"/>
    <sheet name="Phase 2 - Electrical" sheetId="37" state="hidden" r:id="rId21"/>
    <sheet name="Phase 2 - C&amp;I" sheetId="38"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s>
  <definedNames>
    <definedName name="_____________________sec12">#REF!</definedName>
    <definedName name="_____________________SEC1200">#REF!</definedName>
    <definedName name="____________________sec12">#REF!</definedName>
    <definedName name="____________________SEC1200">#REF!</definedName>
    <definedName name="___________________sec12">#REF!</definedName>
    <definedName name="___________________SEC1200">#REF!</definedName>
    <definedName name="__________________sec12">#REF!</definedName>
    <definedName name="__________________SEC1200">#REF!</definedName>
    <definedName name="_________________sec12">#REF!</definedName>
    <definedName name="_________________SEC1200">#REF!</definedName>
    <definedName name="________________sec12">#REF!</definedName>
    <definedName name="________________SEC1200">#REF!</definedName>
    <definedName name="_______________sec12">#REF!</definedName>
    <definedName name="_______________SEC1200" localSheetId="5">#REF!</definedName>
    <definedName name="_______________SEC1200" localSheetId="6">#REF!</definedName>
    <definedName name="_______________SEC1200" localSheetId="14">#REF!</definedName>
    <definedName name="_______________SEC1200" localSheetId="12">#REF!</definedName>
    <definedName name="_______________SEC1200" localSheetId="4">#REF!</definedName>
    <definedName name="_______________SEC1200" localSheetId="2">#REF!</definedName>
    <definedName name="_______________SEC1200" localSheetId="3">#REF!</definedName>
    <definedName name="_______________SEC1200" localSheetId="13">#REF!</definedName>
    <definedName name="_______________SEC1200" localSheetId="17">#REF!</definedName>
    <definedName name="_______________SEC1200" localSheetId="8">#REF!</definedName>
    <definedName name="_______________SEC1200" localSheetId="0">#REF!</definedName>
    <definedName name="_______________SEC1200">#REF!</definedName>
    <definedName name="______________sec12">#REF!</definedName>
    <definedName name="______________SEC1200">#REF!</definedName>
    <definedName name="_____________sec12">#REF!</definedName>
    <definedName name="_____________SEC1200">#REF!</definedName>
    <definedName name="____________sec12">#REF!</definedName>
    <definedName name="____________SEC1200">#REF!</definedName>
    <definedName name="___________sec12">#REF!</definedName>
    <definedName name="___________SEC1200">#REF!</definedName>
    <definedName name="__________sec12">#REF!</definedName>
    <definedName name="__________SEC1200">#REF!</definedName>
    <definedName name="_________sec12">#REF!</definedName>
    <definedName name="_________SEC1200">#REF!</definedName>
    <definedName name="________sec12">#REF!</definedName>
    <definedName name="________SEC1200">#REF!</definedName>
    <definedName name="_______sec12">#REF!</definedName>
    <definedName name="_______SEC1200">#REF!</definedName>
    <definedName name="______sec12">#REF!</definedName>
    <definedName name="______SEC1200">#REF!</definedName>
    <definedName name="_____sec12">#REF!</definedName>
    <definedName name="_____SEC1200">#REF!</definedName>
    <definedName name="____sec12">#REF!</definedName>
    <definedName name="____SEC1200">#REF!</definedName>
    <definedName name="___INDEX_SHEET___ASAP_Utilities">#REF!</definedName>
    <definedName name="___sec12">#REF!</definedName>
    <definedName name="___SEC1200">#REF!</definedName>
    <definedName name="__123Graph_A" localSheetId="5" hidden="1">[1]PROGRESS!#REF!</definedName>
    <definedName name="__123Graph_A" localSheetId="6" hidden="1">[1]PROGRESS!#REF!</definedName>
    <definedName name="__123Graph_A" localSheetId="14" hidden="1">[1]PROGRESS!#REF!</definedName>
    <definedName name="__123Graph_A" localSheetId="11" hidden="1">[1]PROGRESS!#REF!</definedName>
    <definedName name="__123Graph_A" localSheetId="12" hidden="1">[1]PROGRESS!#REF!</definedName>
    <definedName name="__123Graph_A" localSheetId="4" hidden="1">[1]PROGRESS!#REF!</definedName>
    <definedName name="__123Graph_A" localSheetId="9" hidden="1">[1]PROGRESS!#REF!</definedName>
    <definedName name="__123Graph_A" localSheetId="2" hidden="1">[1]PROGRESS!#REF!</definedName>
    <definedName name="__123Graph_A" localSheetId="13" hidden="1">[1]PROGRESS!#REF!</definedName>
    <definedName name="__123Graph_A" localSheetId="1" hidden="1">[1]PROGRESS!#REF!</definedName>
    <definedName name="__123Graph_A" localSheetId="15" hidden="1">[1]PROGRESS!#REF!</definedName>
    <definedName name="__123Graph_A" localSheetId="17" hidden="1">[1]PROGRESS!#REF!</definedName>
    <definedName name="__123Graph_A" localSheetId="21" hidden="1">[1]PROGRESS!#REF!</definedName>
    <definedName name="__123Graph_A" localSheetId="20" hidden="1">[1]PROGRESS!#REF!</definedName>
    <definedName name="__123Graph_A" localSheetId="18" hidden="1">[1]PROGRESS!#REF!</definedName>
    <definedName name="__123Graph_A" localSheetId="8" hidden="1">[1]PROGRESS!#REF!</definedName>
    <definedName name="__123Graph_A" localSheetId="0" hidden="1">[1]PROGRESS!#REF!</definedName>
    <definedName name="__123Graph_A" hidden="1">[1]PROGRESS!#REF!</definedName>
    <definedName name="__123Graph_B" localSheetId="5" hidden="1">[1]PROGRESS!#REF!</definedName>
    <definedName name="__123Graph_B" localSheetId="6" hidden="1">[1]PROGRESS!#REF!</definedName>
    <definedName name="__123Graph_B" localSheetId="14" hidden="1">[1]PROGRESS!#REF!</definedName>
    <definedName name="__123Graph_B" localSheetId="11" hidden="1">[1]PROGRESS!#REF!</definedName>
    <definedName name="__123Graph_B" localSheetId="12" hidden="1">[1]PROGRESS!#REF!</definedName>
    <definedName name="__123Graph_B" localSheetId="4" hidden="1">[1]PROGRESS!#REF!</definedName>
    <definedName name="__123Graph_B" localSheetId="9" hidden="1">[1]PROGRESS!#REF!</definedName>
    <definedName name="__123Graph_B" localSheetId="2" hidden="1">[1]PROGRESS!#REF!</definedName>
    <definedName name="__123Graph_B" localSheetId="13" hidden="1">[1]PROGRESS!#REF!</definedName>
    <definedName name="__123Graph_B" localSheetId="1" hidden="1">[1]PROGRESS!#REF!</definedName>
    <definedName name="__123Graph_B" localSheetId="15" hidden="1">[1]PROGRESS!#REF!</definedName>
    <definedName name="__123Graph_B" localSheetId="17" hidden="1">[1]PROGRESS!#REF!</definedName>
    <definedName name="__123Graph_B" localSheetId="21" hidden="1">[1]PROGRESS!#REF!</definedName>
    <definedName name="__123Graph_B" localSheetId="20" hidden="1">[1]PROGRESS!#REF!</definedName>
    <definedName name="__123Graph_B" localSheetId="8" hidden="1">[1]PROGRESS!#REF!</definedName>
    <definedName name="__123Graph_B" localSheetId="0" hidden="1">[1]PROGRESS!#REF!</definedName>
    <definedName name="__123Graph_B" hidden="1">[1]PROGRESS!#REF!</definedName>
    <definedName name="__123Graph_X" localSheetId="5" hidden="1">[1]PROGRESS!#REF!</definedName>
    <definedName name="__123Graph_X" localSheetId="6" hidden="1">[1]PROGRESS!#REF!</definedName>
    <definedName name="__123Graph_X" localSheetId="14" hidden="1">[1]PROGRESS!#REF!</definedName>
    <definedName name="__123Graph_X" localSheetId="11" hidden="1">[1]PROGRESS!#REF!</definedName>
    <definedName name="__123Graph_X" localSheetId="12" hidden="1">[1]PROGRESS!#REF!</definedName>
    <definedName name="__123Graph_X" localSheetId="4" hidden="1">[1]PROGRESS!#REF!</definedName>
    <definedName name="__123Graph_X" localSheetId="9" hidden="1">[1]PROGRESS!#REF!</definedName>
    <definedName name="__123Graph_X" localSheetId="2" hidden="1">[1]PROGRESS!#REF!</definedName>
    <definedName name="__123Graph_X" localSheetId="13" hidden="1">[1]PROGRESS!#REF!</definedName>
    <definedName name="__123Graph_X" localSheetId="1" hidden="1">[1]PROGRESS!#REF!</definedName>
    <definedName name="__123Graph_X" localSheetId="15" hidden="1">[1]PROGRESS!#REF!</definedName>
    <definedName name="__123Graph_X" localSheetId="17" hidden="1">[1]PROGRESS!#REF!</definedName>
    <definedName name="__123Graph_X" localSheetId="21" hidden="1">[1]PROGRESS!#REF!</definedName>
    <definedName name="__123Graph_X" localSheetId="20" hidden="1">[1]PROGRESS!#REF!</definedName>
    <definedName name="__123Graph_X" localSheetId="8" hidden="1">[1]PROGRESS!#REF!</definedName>
    <definedName name="__123Graph_X" localSheetId="0" hidden="1">[1]PROGRESS!#REF!</definedName>
    <definedName name="__123Graph_X" hidden="1">[1]PROGRESS!#REF!</definedName>
    <definedName name="__IntlFixup" hidden="1">TRUE</definedName>
    <definedName name="__sec12">#REF!</definedName>
    <definedName name="__SEC1200">#REF!</definedName>
    <definedName name="_1__123Graph_A1_94" localSheetId="5" hidden="1">[1]PROGRESS!#REF!</definedName>
    <definedName name="_1__123Graph_A1_94" localSheetId="6" hidden="1">[1]PROGRESS!#REF!</definedName>
    <definedName name="_1__123Graph_A1_94" localSheetId="14" hidden="1">[1]PROGRESS!#REF!</definedName>
    <definedName name="_1__123Graph_A1_94" localSheetId="11" hidden="1">[1]PROGRESS!#REF!</definedName>
    <definedName name="_1__123Graph_A1_94" localSheetId="12" hidden="1">[1]PROGRESS!#REF!</definedName>
    <definedName name="_1__123Graph_A1_94" localSheetId="4" hidden="1">[1]PROGRESS!#REF!</definedName>
    <definedName name="_1__123Graph_A1_94" localSheetId="9" hidden="1">[1]PROGRESS!#REF!</definedName>
    <definedName name="_1__123Graph_A1_94" localSheetId="2" hidden="1">[1]PROGRESS!#REF!</definedName>
    <definedName name="_1__123Graph_A1_94" localSheetId="13" hidden="1">[1]PROGRESS!#REF!</definedName>
    <definedName name="_1__123Graph_A1_94" localSheetId="1" hidden="1">[1]PROGRESS!#REF!</definedName>
    <definedName name="_1__123Graph_A1_94" localSheetId="15" hidden="1">[1]PROGRESS!#REF!</definedName>
    <definedName name="_1__123Graph_A1_94" localSheetId="17" hidden="1">[1]PROGRESS!#REF!</definedName>
    <definedName name="_1__123Graph_A1_94" localSheetId="21" hidden="1">[1]PROGRESS!#REF!</definedName>
    <definedName name="_1__123Graph_A1_94" localSheetId="20" hidden="1">[1]PROGRESS!#REF!</definedName>
    <definedName name="_1__123Graph_A1_94" localSheetId="8" hidden="1">[1]PROGRESS!#REF!</definedName>
    <definedName name="_1__123Graph_A1_94" localSheetId="0" hidden="1">[1]PROGRESS!#REF!</definedName>
    <definedName name="_1__123Graph_A1_94" hidden="1">[1]PROGRESS!#REF!</definedName>
    <definedName name="_2__123Graph_APROGRESS_4_95" localSheetId="5" hidden="1">[1]PROGRESS!#REF!</definedName>
    <definedName name="_2__123Graph_APROGRESS_4_95" localSheetId="6" hidden="1">[1]PROGRESS!#REF!</definedName>
    <definedName name="_2__123Graph_APROGRESS_4_95" localSheetId="14" hidden="1">[1]PROGRESS!#REF!</definedName>
    <definedName name="_2__123Graph_APROGRESS_4_95" localSheetId="11" hidden="1">[1]PROGRESS!#REF!</definedName>
    <definedName name="_2__123Graph_APROGRESS_4_95" localSheetId="12" hidden="1">[1]PROGRESS!#REF!</definedName>
    <definedName name="_2__123Graph_APROGRESS_4_95" localSheetId="4" hidden="1">[1]PROGRESS!#REF!</definedName>
    <definedName name="_2__123Graph_APROGRESS_4_95" localSheetId="9" hidden="1">[1]PROGRESS!#REF!</definedName>
    <definedName name="_2__123Graph_APROGRESS_4_95" localSheetId="2" hidden="1">[1]PROGRESS!#REF!</definedName>
    <definedName name="_2__123Graph_APROGRESS_4_95" localSheetId="13" hidden="1">[1]PROGRESS!#REF!</definedName>
    <definedName name="_2__123Graph_APROGRESS_4_95" localSheetId="1" hidden="1">[1]PROGRESS!#REF!</definedName>
    <definedName name="_2__123Graph_APROGRESS_4_95" localSheetId="15" hidden="1">[1]PROGRESS!#REF!</definedName>
    <definedName name="_2__123Graph_APROGRESS_4_95" localSheetId="17" hidden="1">[1]PROGRESS!#REF!</definedName>
    <definedName name="_2__123Graph_APROGRESS_4_95" localSheetId="21" hidden="1">[1]PROGRESS!#REF!</definedName>
    <definedName name="_2__123Graph_APROGRESS_4_95" localSheetId="20" hidden="1">[1]PROGRESS!#REF!</definedName>
    <definedName name="_2__123Graph_APROGRESS_4_95" localSheetId="8" hidden="1">[1]PROGRESS!#REF!</definedName>
    <definedName name="_2__123Graph_APROGRESS_4_95" localSheetId="0" hidden="1">[1]PROGRESS!#REF!</definedName>
    <definedName name="_2__123Graph_APROGRESS_4_95" hidden="1">[1]PROGRESS!#REF!</definedName>
    <definedName name="_3__123Graph_ATEM1_94" localSheetId="5" hidden="1">[1]PROGRESS!#REF!</definedName>
    <definedName name="_3__123Graph_ATEM1_94" localSheetId="6" hidden="1">[1]PROGRESS!#REF!</definedName>
    <definedName name="_3__123Graph_ATEM1_94" localSheetId="14" hidden="1">[1]PROGRESS!#REF!</definedName>
    <definedName name="_3__123Graph_ATEM1_94" localSheetId="11" hidden="1">[1]PROGRESS!#REF!</definedName>
    <definedName name="_3__123Graph_ATEM1_94" localSheetId="12" hidden="1">[1]PROGRESS!#REF!</definedName>
    <definedName name="_3__123Graph_ATEM1_94" localSheetId="4" hidden="1">[1]PROGRESS!#REF!</definedName>
    <definedName name="_3__123Graph_ATEM1_94" localSheetId="2" hidden="1">[1]PROGRESS!#REF!</definedName>
    <definedName name="_3__123Graph_ATEM1_94" localSheetId="13" hidden="1">[1]PROGRESS!#REF!</definedName>
    <definedName name="_3__123Graph_ATEM1_94" localSheetId="1" hidden="1">[1]PROGRESS!#REF!</definedName>
    <definedName name="_3__123Graph_ATEM1_94" localSheetId="15" hidden="1">[1]PROGRESS!#REF!</definedName>
    <definedName name="_3__123Graph_ATEM1_94" localSheetId="17" hidden="1">[1]PROGRESS!#REF!</definedName>
    <definedName name="_3__123Graph_ATEM1_94" localSheetId="21" hidden="1">[1]PROGRESS!#REF!</definedName>
    <definedName name="_3__123Graph_ATEM1_94" localSheetId="20" hidden="1">[1]PROGRESS!#REF!</definedName>
    <definedName name="_3__123Graph_ATEM1_94" localSheetId="8" hidden="1">[1]PROGRESS!#REF!</definedName>
    <definedName name="_3__123Graph_ATEM1_94" localSheetId="0" hidden="1">[1]PROGRESS!#REF!</definedName>
    <definedName name="_3__123Graph_ATEM1_94" hidden="1">[1]PROGRESS!#REF!</definedName>
    <definedName name="_4__123Graph_B1_94" localSheetId="5" hidden="1">[1]PROGRESS!#REF!</definedName>
    <definedName name="_4__123Graph_B1_94" localSheetId="6" hidden="1">[1]PROGRESS!#REF!</definedName>
    <definedName name="_4__123Graph_B1_94" localSheetId="14" hidden="1">[1]PROGRESS!#REF!</definedName>
    <definedName name="_4__123Graph_B1_94" localSheetId="11" hidden="1">[1]PROGRESS!#REF!</definedName>
    <definedName name="_4__123Graph_B1_94" localSheetId="12" hidden="1">[1]PROGRESS!#REF!</definedName>
    <definedName name="_4__123Graph_B1_94" localSheetId="4" hidden="1">[1]PROGRESS!#REF!</definedName>
    <definedName name="_4__123Graph_B1_94" localSheetId="2" hidden="1">[1]PROGRESS!#REF!</definedName>
    <definedName name="_4__123Graph_B1_94" localSheetId="13" hidden="1">[1]PROGRESS!#REF!</definedName>
    <definedName name="_4__123Graph_B1_94" localSheetId="1" hidden="1">[1]PROGRESS!#REF!</definedName>
    <definedName name="_4__123Graph_B1_94" localSheetId="15" hidden="1">[1]PROGRESS!#REF!</definedName>
    <definedName name="_4__123Graph_B1_94" localSheetId="17" hidden="1">[1]PROGRESS!#REF!</definedName>
    <definedName name="_4__123Graph_B1_94" localSheetId="21" hidden="1">[1]PROGRESS!#REF!</definedName>
    <definedName name="_4__123Graph_B1_94" localSheetId="20" hidden="1">[1]PROGRESS!#REF!</definedName>
    <definedName name="_4__123Graph_B1_94" localSheetId="8" hidden="1">[1]PROGRESS!#REF!</definedName>
    <definedName name="_4__123Graph_B1_94" localSheetId="0" hidden="1">[1]PROGRESS!#REF!</definedName>
    <definedName name="_4__123Graph_B1_94" hidden="1">[1]PROGRESS!#REF!</definedName>
    <definedName name="_5__123Graph_BPROGRESS_4_95" localSheetId="5" hidden="1">[1]PROGRESS!#REF!</definedName>
    <definedName name="_5__123Graph_BPROGRESS_4_95" localSheetId="6" hidden="1">[1]PROGRESS!#REF!</definedName>
    <definedName name="_5__123Graph_BPROGRESS_4_95" localSheetId="14" hidden="1">[1]PROGRESS!#REF!</definedName>
    <definedName name="_5__123Graph_BPROGRESS_4_95" localSheetId="11" hidden="1">[1]PROGRESS!#REF!</definedName>
    <definedName name="_5__123Graph_BPROGRESS_4_95" localSheetId="12" hidden="1">[1]PROGRESS!#REF!</definedName>
    <definedName name="_5__123Graph_BPROGRESS_4_95" localSheetId="4" hidden="1">[1]PROGRESS!#REF!</definedName>
    <definedName name="_5__123Graph_BPROGRESS_4_95" localSheetId="2" hidden="1">[1]PROGRESS!#REF!</definedName>
    <definedName name="_5__123Graph_BPROGRESS_4_95" localSheetId="13" hidden="1">[1]PROGRESS!#REF!</definedName>
    <definedName name="_5__123Graph_BPROGRESS_4_95" localSheetId="1" hidden="1">[1]PROGRESS!#REF!</definedName>
    <definedName name="_5__123Graph_BPROGRESS_4_95" localSheetId="15" hidden="1">[1]PROGRESS!#REF!</definedName>
    <definedName name="_5__123Graph_BPROGRESS_4_95" localSheetId="17" hidden="1">[1]PROGRESS!#REF!</definedName>
    <definedName name="_5__123Graph_BPROGRESS_4_95" localSheetId="21" hidden="1">[1]PROGRESS!#REF!</definedName>
    <definedName name="_5__123Graph_BPROGRESS_4_95" localSheetId="20" hidden="1">[1]PROGRESS!#REF!</definedName>
    <definedName name="_5__123Graph_BPROGRESS_4_95" localSheetId="8" hidden="1">[1]PROGRESS!#REF!</definedName>
    <definedName name="_5__123Graph_BPROGRESS_4_95" localSheetId="0" hidden="1">[1]PROGRESS!#REF!</definedName>
    <definedName name="_5__123Graph_BPROGRESS_4_95" hidden="1">[1]PROGRESS!#REF!</definedName>
    <definedName name="_6__123Graph_BTEM1_94" localSheetId="5" hidden="1">[1]PROGRESS!#REF!</definedName>
    <definedName name="_6__123Graph_BTEM1_94" localSheetId="6" hidden="1">[1]PROGRESS!#REF!</definedName>
    <definedName name="_6__123Graph_BTEM1_94" localSheetId="14" hidden="1">[1]PROGRESS!#REF!</definedName>
    <definedName name="_6__123Graph_BTEM1_94" localSheetId="11" hidden="1">[1]PROGRESS!#REF!</definedName>
    <definedName name="_6__123Graph_BTEM1_94" localSheetId="12" hidden="1">[1]PROGRESS!#REF!</definedName>
    <definedName name="_6__123Graph_BTEM1_94" localSheetId="4" hidden="1">[1]PROGRESS!#REF!</definedName>
    <definedName name="_6__123Graph_BTEM1_94" localSheetId="2" hidden="1">[1]PROGRESS!#REF!</definedName>
    <definedName name="_6__123Graph_BTEM1_94" localSheetId="13" hidden="1">[1]PROGRESS!#REF!</definedName>
    <definedName name="_6__123Graph_BTEM1_94" localSheetId="1" hidden="1">[1]PROGRESS!#REF!</definedName>
    <definedName name="_6__123Graph_BTEM1_94" localSheetId="15" hidden="1">[1]PROGRESS!#REF!</definedName>
    <definedName name="_6__123Graph_BTEM1_94" localSheetId="17" hidden="1">[1]PROGRESS!#REF!</definedName>
    <definedName name="_6__123Graph_BTEM1_94" localSheetId="21" hidden="1">[1]PROGRESS!#REF!</definedName>
    <definedName name="_6__123Graph_BTEM1_94" localSheetId="20" hidden="1">[1]PROGRESS!#REF!</definedName>
    <definedName name="_6__123Graph_BTEM1_94" localSheetId="8" hidden="1">[1]PROGRESS!#REF!</definedName>
    <definedName name="_6__123Graph_BTEM1_94" localSheetId="0" hidden="1">[1]PROGRESS!#REF!</definedName>
    <definedName name="_6__123Graph_BTEM1_94" hidden="1">[1]PROGRESS!#REF!</definedName>
    <definedName name="_7__123Graph_X1_94" localSheetId="5" hidden="1">[1]PROGRESS!#REF!</definedName>
    <definedName name="_7__123Graph_X1_94" localSheetId="6" hidden="1">[1]PROGRESS!#REF!</definedName>
    <definedName name="_7__123Graph_X1_94" localSheetId="14" hidden="1">[1]PROGRESS!#REF!</definedName>
    <definedName name="_7__123Graph_X1_94" localSheetId="11" hidden="1">[1]PROGRESS!#REF!</definedName>
    <definedName name="_7__123Graph_X1_94" localSheetId="12" hidden="1">[1]PROGRESS!#REF!</definedName>
    <definedName name="_7__123Graph_X1_94" localSheetId="4" hidden="1">[1]PROGRESS!#REF!</definedName>
    <definedName name="_7__123Graph_X1_94" localSheetId="2" hidden="1">[1]PROGRESS!#REF!</definedName>
    <definedName name="_7__123Graph_X1_94" localSheetId="13" hidden="1">[1]PROGRESS!#REF!</definedName>
    <definedName name="_7__123Graph_X1_94" localSheetId="1" hidden="1">[1]PROGRESS!#REF!</definedName>
    <definedName name="_7__123Graph_X1_94" localSheetId="15" hidden="1">[1]PROGRESS!#REF!</definedName>
    <definedName name="_7__123Graph_X1_94" localSheetId="17" hidden="1">[1]PROGRESS!#REF!</definedName>
    <definedName name="_7__123Graph_X1_94" localSheetId="21" hidden="1">[1]PROGRESS!#REF!</definedName>
    <definedName name="_7__123Graph_X1_94" localSheetId="20" hidden="1">[1]PROGRESS!#REF!</definedName>
    <definedName name="_7__123Graph_X1_94" localSheetId="8" hidden="1">[1]PROGRESS!#REF!</definedName>
    <definedName name="_7__123Graph_X1_94" localSheetId="0" hidden="1">[1]PROGRESS!#REF!</definedName>
    <definedName name="_7__123Graph_X1_94" hidden="1">[1]PROGRESS!#REF!</definedName>
    <definedName name="_8__123Graph_XPROGRESS_4_95" localSheetId="5" hidden="1">[1]PROGRESS!#REF!</definedName>
    <definedName name="_8__123Graph_XPROGRESS_4_95" localSheetId="6" hidden="1">[1]PROGRESS!#REF!</definedName>
    <definedName name="_8__123Graph_XPROGRESS_4_95" localSheetId="14" hidden="1">[1]PROGRESS!#REF!</definedName>
    <definedName name="_8__123Graph_XPROGRESS_4_95" localSheetId="11" hidden="1">[1]PROGRESS!#REF!</definedName>
    <definedName name="_8__123Graph_XPROGRESS_4_95" localSheetId="12" hidden="1">[1]PROGRESS!#REF!</definedName>
    <definedName name="_8__123Graph_XPROGRESS_4_95" localSheetId="4" hidden="1">[1]PROGRESS!#REF!</definedName>
    <definedName name="_8__123Graph_XPROGRESS_4_95" localSheetId="2" hidden="1">[1]PROGRESS!#REF!</definedName>
    <definedName name="_8__123Graph_XPROGRESS_4_95" localSheetId="13" hidden="1">[1]PROGRESS!#REF!</definedName>
    <definedName name="_8__123Graph_XPROGRESS_4_95" localSheetId="1" hidden="1">[1]PROGRESS!#REF!</definedName>
    <definedName name="_8__123Graph_XPROGRESS_4_95" localSheetId="15" hidden="1">[1]PROGRESS!#REF!</definedName>
    <definedName name="_8__123Graph_XPROGRESS_4_95" localSheetId="17" hidden="1">[1]PROGRESS!#REF!</definedName>
    <definedName name="_8__123Graph_XPROGRESS_4_95" localSheetId="21" hidden="1">[1]PROGRESS!#REF!</definedName>
    <definedName name="_8__123Graph_XPROGRESS_4_95" localSheetId="20" hidden="1">[1]PROGRESS!#REF!</definedName>
    <definedName name="_8__123Graph_XPROGRESS_4_95" localSheetId="8" hidden="1">[1]PROGRESS!#REF!</definedName>
    <definedName name="_8__123Graph_XPROGRESS_4_95" localSheetId="0" hidden="1">[1]PROGRESS!#REF!</definedName>
    <definedName name="_8__123Graph_XPROGRESS_4_95" hidden="1">[1]PROGRESS!#REF!</definedName>
    <definedName name="_9__123Graph_XTEM1_94" localSheetId="5" hidden="1">[1]PROGRESS!#REF!</definedName>
    <definedName name="_9__123Graph_XTEM1_94" localSheetId="6" hidden="1">[1]PROGRESS!#REF!</definedName>
    <definedName name="_9__123Graph_XTEM1_94" localSheetId="14" hidden="1">[1]PROGRESS!#REF!</definedName>
    <definedName name="_9__123Graph_XTEM1_94" localSheetId="11" hidden="1">[1]PROGRESS!#REF!</definedName>
    <definedName name="_9__123Graph_XTEM1_94" localSheetId="12" hidden="1">[1]PROGRESS!#REF!</definedName>
    <definedName name="_9__123Graph_XTEM1_94" localSheetId="4" hidden="1">[1]PROGRESS!#REF!</definedName>
    <definedName name="_9__123Graph_XTEM1_94" localSheetId="2" hidden="1">[1]PROGRESS!#REF!</definedName>
    <definedName name="_9__123Graph_XTEM1_94" localSheetId="13" hidden="1">[1]PROGRESS!#REF!</definedName>
    <definedName name="_9__123Graph_XTEM1_94" localSheetId="1" hidden="1">[1]PROGRESS!#REF!</definedName>
    <definedName name="_9__123Graph_XTEM1_94" localSheetId="15" hidden="1">[1]PROGRESS!#REF!</definedName>
    <definedName name="_9__123Graph_XTEM1_94" localSheetId="17" hidden="1">[1]PROGRESS!#REF!</definedName>
    <definedName name="_9__123Graph_XTEM1_94" localSheetId="21" hidden="1">[1]PROGRESS!#REF!</definedName>
    <definedName name="_9__123Graph_XTEM1_94" localSheetId="20" hidden="1">[1]PROGRESS!#REF!</definedName>
    <definedName name="_9__123Graph_XTEM1_94" localSheetId="8" hidden="1">[1]PROGRESS!#REF!</definedName>
    <definedName name="_9__123Graph_XTEM1_94" localSheetId="0" hidden="1">[1]PROGRESS!#REF!</definedName>
    <definedName name="_9__123Graph_XTEM1_94" hidden="1">[1]PROGRESS!#REF!</definedName>
    <definedName name="_Order1" hidden="1">255</definedName>
    <definedName name="_Order2" hidden="1">255</definedName>
    <definedName name="_Parse_Out" hidden="1">#REF!</definedName>
    <definedName name="_sec12">#REF!</definedName>
    <definedName name="_SEC1200" localSheetId="5">#REF!</definedName>
    <definedName name="_SEC1200" localSheetId="6">#REF!</definedName>
    <definedName name="_SEC1200" localSheetId="14">#REF!</definedName>
    <definedName name="_SEC1200" localSheetId="12">#REF!</definedName>
    <definedName name="_SEC1200" localSheetId="4">#REF!</definedName>
    <definedName name="_SEC1200" localSheetId="2">#REF!</definedName>
    <definedName name="_SEC1200" localSheetId="3">#REF!</definedName>
    <definedName name="_SEC1200" localSheetId="13">#REF!</definedName>
    <definedName name="_SEC1200" localSheetId="17">#REF!</definedName>
    <definedName name="_SEC1200" localSheetId="8">#REF!</definedName>
    <definedName name="_SEC1200" localSheetId="0">#REF!</definedName>
    <definedName name="_SEC1200">#REF!</definedName>
    <definedName name="_SHR1">'[2]Customize Your Invoice'!$D$30</definedName>
    <definedName name="_tax1">#REF!</definedName>
    <definedName name="_tax3">#REF!</definedName>
    <definedName name="_tax4">#REF!</definedName>
    <definedName name="_V1">IF(Val_Ent,Header_Row+n,Header_Row)</definedName>
    <definedName name="A">[3]Notes!$B$74:$B$99</definedName>
    <definedName name="Action">[4]Notes!$B$51:$B$61</definedName>
    <definedName name="Activity">[4]Notes!$B$6:$B$14</definedName>
    <definedName name="ALL">#REF!</definedName>
    <definedName name="area">OFFSET(Full_Print,0,0,Last_Row)</definedName>
    <definedName name="Beg_Bal">#REF!</definedName>
    <definedName name="boxes">#REF!</definedName>
    <definedName name="button_area_1">#REF!</definedName>
    <definedName name="Cause">[4]Notes!$B$34:$B$43</definedName>
    <definedName name="CC">'[2]Customize Your Invoice'!$G$22:$G$25</definedName>
    <definedName name="ccccccc">#REF!</definedName>
    <definedName name="CCT">#REF!</definedName>
    <definedName name="celltips_area">#REF!</definedName>
    <definedName name="Contract_14_Civil_Collated" localSheetId="5" hidden="1">[1]PROGRESS!#REF!</definedName>
    <definedName name="Contract_14_Civil_Collated" localSheetId="6" hidden="1">[1]PROGRESS!#REF!</definedName>
    <definedName name="Contract_14_Civil_Collated" localSheetId="14" hidden="1">[1]PROGRESS!#REF!</definedName>
    <definedName name="Contract_14_Civil_Collated" localSheetId="11" hidden="1">[1]PROGRESS!#REF!</definedName>
    <definedName name="Contract_14_Civil_Collated" localSheetId="12" hidden="1">[1]PROGRESS!#REF!</definedName>
    <definedName name="Contract_14_Civil_Collated" localSheetId="4" hidden="1">[1]PROGRESS!#REF!</definedName>
    <definedName name="Contract_14_Civil_Collated" localSheetId="2" hidden="1">[1]PROGRESS!#REF!</definedName>
    <definedName name="Contract_14_Civil_Collated" localSheetId="13" hidden="1">[1]PROGRESS!#REF!</definedName>
    <definedName name="Contract_14_Civil_Collated" localSheetId="1" hidden="1">[1]PROGRESS!#REF!</definedName>
    <definedName name="Contract_14_Civil_Collated" localSheetId="15" hidden="1">[1]PROGRESS!#REF!</definedName>
    <definedName name="Contract_14_Civil_Collated" localSheetId="17" hidden="1">[1]PROGRESS!#REF!</definedName>
    <definedName name="Contract_14_Civil_Collated" localSheetId="21" hidden="1">[1]PROGRESS!#REF!</definedName>
    <definedName name="Contract_14_Civil_Collated" localSheetId="20" hidden="1">[1]PROGRESS!#REF!</definedName>
    <definedName name="Contract_14_Civil_Collated" localSheetId="8" hidden="1">[1]PROGRESS!#REF!</definedName>
    <definedName name="Contract_14_Civil_Collated" localSheetId="0" hidden="1">[1]PROGRESS!#REF!</definedName>
    <definedName name="Contract_14_Civil_Collated" hidden="1">[1]PROGRESS!#REF!</definedName>
    <definedName name="d">[5]Notes!$B$58:$B$64</definedName>
    <definedName name="DAAN_C">#REF!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e">DATE(YEAR(Loan_Start),MONTH(Loan_Start)+Payment_Number,DAY(Loan_Start))</definedName>
    <definedName name="dd" localSheetId="5" hidden="1">[1]PROGRESS!#REF!</definedName>
    <definedName name="dd" localSheetId="6" hidden="1">[1]PROGRESS!#REF!</definedName>
    <definedName name="dd" localSheetId="14" hidden="1">[1]PROGRESS!#REF!</definedName>
    <definedName name="dd" localSheetId="11" hidden="1">[1]PROGRESS!#REF!</definedName>
    <definedName name="dd" localSheetId="12" hidden="1">[1]PROGRESS!#REF!</definedName>
    <definedName name="dd" localSheetId="4" hidden="1">[1]PROGRESS!#REF!</definedName>
    <definedName name="dd" localSheetId="2" hidden="1">[1]PROGRESS!#REF!</definedName>
    <definedName name="dd" localSheetId="13" hidden="1">[1]PROGRESS!#REF!</definedName>
    <definedName name="dd" localSheetId="1" hidden="1">[1]PROGRESS!#REF!</definedName>
    <definedName name="dd" localSheetId="15" hidden="1">[1]PROGRESS!#REF!</definedName>
    <definedName name="dd" localSheetId="17" hidden="1">[1]PROGRESS!#REF!</definedName>
    <definedName name="dd" localSheetId="21" hidden="1">[1]PROGRESS!#REF!</definedName>
    <definedName name="dd" localSheetId="20" hidden="1">[1]PROGRESS!#REF!</definedName>
    <definedName name="dd" localSheetId="8" hidden="1">[1]PROGRESS!#REF!</definedName>
    <definedName name="dd" localSheetId="0" hidden="1">[1]PROGRESS!#REF!</definedName>
    <definedName name="dd" hidden="1">[1]PROGRESS!#REF!</definedName>
    <definedName name="dflt3">'[2]Customize Your Invoice'!$D$24</definedName>
    <definedName name="dflt6">'[2]Customize Your Invoice'!$D$28</definedName>
    <definedName name="dftgdth" localSheetId="5" hidden="1">[1]PROGRESS!#REF!</definedName>
    <definedName name="dftgdth" localSheetId="6" hidden="1">[1]PROGRESS!#REF!</definedName>
    <definedName name="dftgdth" localSheetId="14" hidden="1">[1]PROGRESS!#REF!</definedName>
    <definedName name="dftgdth" localSheetId="12" hidden="1">[1]PROGRESS!#REF!</definedName>
    <definedName name="dftgdth" localSheetId="4" hidden="1">[1]PROGRESS!#REF!</definedName>
    <definedName name="dftgdth" localSheetId="2" hidden="1">[1]PROGRESS!#REF!</definedName>
    <definedName name="dftgdth" localSheetId="13" hidden="1">[1]PROGRESS!#REF!</definedName>
    <definedName name="dftgdth" localSheetId="17" hidden="1">[1]PROGRESS!#REF!</definedName>
    <definedName name="dftgdth" localSheetId="8" hidden="1">[1]PROGRESS!#REF!</definedName>
    <definedName name="dftgdth" localSheetId="0" hidden="1">[1]PROGRESS!#REF!</definedName>
    <definedName name="dftgdth" hidden="1">[1]PROGRESS!#REF!</definedName>
    <definedName name="display_area_2">#REF!</definedName>
    <definedName name="Division">[6]Notes!$B$72:$B$75</definedName>
    <definedName name="e">[5]Notes!$B$101:$B$106</definedName>
    <definedName name="End_Bal">#REF!</definedName>
    <definedName name="Extra_Pay">#REF!</definedName>
    <definedName name="Failure">[4]Notes!$B$16:$B$25</definedName>
    <definedName name="ffff" localSheetId="5" hidden="1">[1]PROGRESS!#REF!</definedName>
    <definedName name="ffff" localSheetId="6" hidden="1">[1]PROGRESS!#REF!</definedName>
    <definedName name="ffff" localSheetId="14" hidden="1">[1]PROGRESS!#REF!</definedName>
    <definedName name="ffff" localSheetId="11" hidden="1">[1]PROGRESS!#REF!</definedName>
    <definedName name="ffff" localSheetId="12" hidden="1">[1]PROGRESS!#REF!</definedName>
    <definedName name="ffff" localSheetId="4" hidden="1">[1]PROGRESS!#REF!</definedName>
    <definedName name="ffff" localSheetId="2" hidden="1">[1]PROGRESS!#REF!</definedName>
    <definedName name="ffff" localSheetId="13" hidden="1">[1]PROGRESS!#REF!</definedName>
    <definedName name="ffff" localSheetId="1" hidden="1">[1]PROGRESS!#REF!</definedName>
    <definedName name="ffff" localSheetId="15" hidden="1">[1]PROGRESS!#REF!</definedName>
    <definedName name="ffff" localSheetId="17" hidden="1">[1]PROGRESS!#REF!</definedName>
    <definedName name="ffff" localSheetId="21" hidden="1">[1]PROGRESS!#REF!</definedName>
    <definedName name="ffff" localSheetId="20" hidden="1">[1]PROGRESS!#REF!</definedName>
    <definedName name="ffff" localSheetId="8" hidden="1">[1]PROGRESS!#REF!</definedName>
    <definedName name="ffff" hidden="1">[1]PROGRESS!#REF!</definedName>
    <definedName name="Full_Print">#REF!</definedName>
    <definedName name="gf" localSheetId="5" hidden="1">[1]PROGRESS!#REF!</definedName>
    <definedName name="gf" localSheetId="6" hidden="1">[1]PROGRESS!#REF!</definedName>
    <definedName name="gf" localSheetId="14" hidden="1">[1]PROGRESS!#REF!</definedName>
    <definedName name="gf" localSheetId="11" hidden="1">[1]PROGRESS!#REF!</definedName>
    <definedName name="gf" localSheetId="12" hidden="1">[1]PROGRESS!#REF!</definedName>
    <definedName name="gf" localSheetId="4" hidden="1">[1]PROGRESS!#REF!</definedName>
    <definedName name="gf" localSheetId="2" hidden="1">[1]PROGRESS!#REF!</definedName>
    <definedName name="gf" localSheetId="13" hidden="1">[1]PROGRESS!#REF!</definedName>
    <definedName name="gf" localSheetId="1" hidden="1">[1]PROGRESS!#REF!</definedName>
    <definedName name="gf" localSheetId="15" hidden="1">[1]PROGRESS!#REF!</definedName>
    <definedName name="gf" localSheetId="17" hidden="1">[1]PROGRESS!#REF!</definedName>
    <definedName name="gf" localSheetId="21" hidden="1">[1]PROGRESS!#REF!</definedName>
    <definedName name="gf" localSheetId="20" hidden="1">[1]PROGRESS!#REF!</definedName>
    <definedName name="gf" localSheetId="8" hidden="1">[1]PROGRESS!#REF!</definedName>
    <definedName name="gf" hidden="1">[1]PROGRESS!#REF!</definedName>
    <definedName name="ghgh">OFFSET(Full_Print,0,0,vvvv)</definedName>
    <definedName name="H" localSheetId="5" hidden="1">[1]PROGRESS!#REF!</definedName>
    <definedName name="H" localSheetId="6" hidden="1">[1]PROGRESS!#REF!</definedName>
    <definedName name="H" localSheetId="14" hidden="1">[1]PROGRESS!#REF!</definedName>
    <definedName name="H" localSheetId="11" hidden="1">[1]PROGRESS!#REF!</definedName>
    <definedName name="H" localSheetId="12" hidden="1">[1]PROGRESS!#REF!</definedName>
    <definedName name="H" localSheetId="4" hidden="1">[1]PROGRESS!#REF!</definedName>
    <definedName name="H" localSheetId="2" hidden="1">[1]PROGRESS!#REF!</definedName>
    <definedName name="H" localSheetId="13" hidden="1">[1]PROGRESS!#REF!</definedName>
    <definedName name="H" localSheetId="1" hidden="1">[1]PROGRESS!#REF!</definedName>
    <definedName name="H" localSheetId="15" hidden="1">[1]PROGRESS!#REF!</definedName>
    <definedName name="H" localSheetId="17" hidden="1">[1]PROGRESS!#REF!</definedName>
    <definedName name="H" localSheetId="21" hidden="1">[1]PROGRESS!#REF!</definedName>
    <definedName name="H" localSheetId="20" hidden="1">[1]PROGRESS!#REF!</definedName>
    <definedName name="H" localSheetId="8" hidden="1">[1]PROGRESS!#REF!</definedName>
    <definedName name="H" hidden="1">[1]PROGRESS!#REF!</definedName>
    <definedName name="Header_Row">ROW(#REF!)</definedName>
    <definedName name="Int">#REF!</definedName>
    <definedName name="Interest_Rate">#REF!</definedName>
    <definedName name="Items_01" localSheetId="5">#REF!</definedName>
    <definedName name="Items_01" localSheetId="6">#REF!</definedName>
    <definedName name="Items_01" localSheetId="14">#REF!</definedName>
    <definedName name="Items_01" localSheetId="12">#REF!</definedName>
    <definedName name="Items_01" localSheetId="4">#REF!</definedName>
    <definedName name="Items_01" localSheetId="2">#REF!</definedName>
    <definedName name="Items_01" localSheetId="3">#REF!</definedName>
    <definedName name="Items_01" localSheetId="13">#REF!</definedName>
    <definedName name="Items_01" localSheetId="17">#REF!</definedName>
    <definedName name="Items_01" localSheetId="8">#REF!</definedName>
    <definedName name="Items_01" localSheetId="0">#REF!</definedName>
    <definedName name="Items_01">#REF!</definedName>
    <definedName name="j" localSheetId="5" hidden="1">[1]PROGRESS!#REF!</definedName>
    <definedName name="j" localSheetId="6" hidden="1">[1]PROGRESS!#REF!</definedName>
    <definedName name="j" localSheetId="14" hidden="1">[1]PROGRESS!#REF!</definedName>
    <definedName name="j" localSheetId="12" hidden="1">[1]PROGRESS!#REF!</definedName>
    <definedName name="j" localSheetId="4" hidden="1">[1]PROGRESS!#REF!</definedName>
    <definedName name="j" localSheetId="2" hidden="1">[1]PROGRESS!#REF!</definedName>
    <definedName name="j" localSheetId="13" hidden="1">[1]PROGRESS!#REF!</definedName>
    <definedName name="j" localSheetId="17" hidden="1">[1]PROGRESS!#REF!</definedName>
    <definedName name="j" localSheetId="8" hidden="1">[1]PROGRESS!#REF!</definedName>
    <definedName name="j" localSheetId="0" hidden="1">[1]PROGRESS!#REF!</definedName>
    <definedName name="j" hidden="1">[1]PROGRESS!#REF!</definedName>
    <definedName name="jjj">IF(Val_Ent,Header_Row+Number,Header_Row)</definedName>
    <definedName name="jjjj">IF(Values_Entered,Header_Row+Number_of_Payments,Header_Row)</definedName>
    <definedName name="jjjjj">IF(Val_Ent,Header_Row+Number,Header_Row)</definedName>
    <definedName name="jkjk">IF(Val_Ent,Header_Row+Number,Header_Row)</definedName>
    <definedName name="jo" localSheetId="5" hidden="1">[1]PROGRESS!#REF!</definedName>
    <definedName name="jo" localSheetId="6" hidden="1">[1]PROGRESS!#REF!</definedName>
    <definedName name="jo" localSheetId="14" hidden="1">[1]PROGRESS!#REF!</definedName>
    <definedName name="jo" localSheetId="12" hidden="1">[1]PROGRESS!#REF!</definedName>
    <definedName name="jo" localSheetId="4" hidden="1">[1]PROGRESS!#REF!</definedName>
    <definedName name="jo" localSheetId="2" hidden="1">[1]PROGRESS!#REF!</definedName>
    <definedName name="jo" localSheetId="13" hidden="1">[1]PROGRESS!#REF!</definedName>
    <definedName name="jo" localSheetId="17" hidden="1">[1]PROGRESS!#REF!</definedName>
    <definedName name="jo" localSheetId="8" hidden="1">[1]PROGRESS!#REF!</definedName>
    <definedName name="jo" localSheetId="0" hidden="1">[1]PROGRESS!#REF!</definedName>
    <definedName name="jo" hidden="1">[1]PROGRESS!#REF!</definedName>
    <definedName name="Last_Row">IF(Values_Entered,Header_Row+Number_of_Payments,Header_Row)</definedName>
    <definedName name="Loan_Amount">#REF!</definedName>
    <definedName name="Loan_Start">#REF!</definedName>
    <definedName name="Loan_Years">#REF!</definedName>
    <definedName name="mm">OFFSET(Full_Print,0,0,v)</definedName>
    <definedName name="mmm">OFFSET(Full_Print,0,0,vvv)</definedName>
    <definedName name="mmmm">IF(Values_Entered,Header_Row+Number_of_Payments,Header_Row)</definedName>
    <definedName name="mmmmm">IF(Val_Ent,Header_Row+Number,Header_Row)</definedName>
    <definedName name="n">MATCH(0.01,End_Bal,-1)+1</definedName>
    <definedName name="nnn">MATCH(0.01,End_Bal,-1)+1</definedName>
    <definedName name="nnnn">OFFSET(Full_Print,0,0,vvvv)</definedName>
    <definedName name="nnnnn">OFFSET(Full_Print,0,0,vvvvv)</definedName>
    <definedName name="NO">#REF!</definedName>
    <definedName name="NPRA" hidden="1">#REF!</definedName>
    <definedName name="Num_Pmt_Per_Year">#REF!</definedName>
    <definedName name="Number">MATCH(0.01,End_Bal,-1)+1</definedName>
    <definedName name="Number_of_Payments">MATCH(0.01,End_Bal,-1)+1</definedName>
    <definedName name="Pay_Date">#REF!</definedName>
    <definedName name="Pay_Num">#REF!</definedName>
    <definedName name="Payment">DATE(YEAR(Loan_Start),MONTH(Loan_Start)+Payment_Number,DAY(Loan_Start))</definedName>
    <definedName name="Payment_Date">DATE(YEAR(Loan_Start),MONTH(Loan_Start)+Payment_Number,DAY(Loan_Start))</definedName>
    <definedName name="payments">MATCH(0.01,End_Bal,-1)+1</definedName>
    <definedName name="Princ">#REF!</definedName>
    <definedName name="print">OFFSET(Full_Print,0,0,Last_Row)</definedName>
    <definedName name="Print_A">OFFSET(Full_Print,0,0,Last_Row)</definedName>
    <definedName name="_xlnm.Print_Area" localSheetId="5">'Biological System'!$A$1:$G$32</definedName>
    <definedName name="_xlnm.Print_Area" localSheetId="6">'Blower Containers'!$A$1:$G$27</definedName>
    <definedName name="_xlnm.Print_Area" localSheetId="7">Clarifiers!$A$1:$G$35</definedName>
    <definedName name="_xlnm.Print_Area" localSheetId="14">'Design &amp; Quality Assurance Fees'!$A$1:$G$34</definedName>
    <definedName name="_xlnm.Print_Area" localSheetId="11">'Disinfection Facility'!$A$1:$G$40</definedName>
    <definedName name="_xlnm.Print_Area" localSheetId="12">'Electrical Works'!$A$1:$G$34</definedName>
    <definedName name="_xlnm.Print_Area" localSheetId="4">'Inlet Works'!$A$1:$G$59</definedName>
    <definedName name="_xlnm.Print_Area" localSheetId="9">'Mechanical HLPS (obsolete) '!$A$2:$G$107</definedName>
    <definedName name="_xlnm.Print_Area" localSheetId="2">'OHS '!$A$2:$G$359</definedName>
    <definedName name="_xlnm.Print_Area" localSheetId="13">'Operations and Maintenance '!$A$1:$G$41</definedName>
    <definedName name="_xlnm.Print_Area" localSheetId="1">'P&amp;G '!$A$2:$G$157</definedName>
    <definedName name="_xlnm.Print_Area" localSheetId="17">'Phase 1 - HLPS Mech  (2)'!$A$1:$G$83</definedName>
    <definedName name="_xlnm.Print_Area" localSheetId="19">'Phase 2 - Ga-Kgapane Booster'!$A$1:$G$80</definedName>
    <definedName name="_xlnm.Print_Area" localSheetId="8">'Sludge Dewatering System'!$A$1:$G$27</definedName>
    <definedName name="_xlnm.Print_Area" localSheetId="0">'Summary '!$A$1:$C$33</definedName>
    <definedName name="Print_Area_Reset">OFFSET(Full_Print,0,0,Last_Row)</definedName>
    <definedName name="Print_Area_Reset1">OFFSET(Full_Print,0,0,Last_Row)</definedName>
    <definedName name="_xlnm.Print_Titles">#REF!</definedName>
    <definedName name="qq">#REF!</definedName>
    <definedName name="qqqq">#REF!</definedName>
    <definedName name="qzqzqz10">#REF!</definedName>
    <definedName name="qzqzqz11">#REF!</definedName>
    <definedName name="qzqzqz12">#REF!</definedName>
    <definedName name="qzqzqz13">#REF!</definedName>
    <definedName name="qzqzqz14">#REF!</definedName>
    <definedName name="qzqzqz15">#REF!</definedName>
    <definedName name="qzqzqz16">#REF!</definedName>
    <definedName name="qzqzqz17">#REF!</definedName>
    <definedName name="qzqzqz18">#REF!</definedName>
    <definedName name="qzqzqz19">#REF!</definedName>
    <definedName name="qzqzqz20">#REF!</definedName>
    <definedName name="qzqzqz21">#REF!</definedName>
    <definedName name="qzqzqz22">#REF!</definedName>
    <definedName name="qzqzqz23">#REF!</definedName>
    <definedName name="qzqzqz24">#REF!</definedName>
    <definedName name="qzqzqz25">#REF!</definedName>
    <definedName name="qzqzqz26">#REF!</definedName>
    <definedName name="qzqzqz27">#REF!</definedName>
    <definedName name="qzqzqz28">#REF!</definedName>
    <definedName name="qzqzqz29">#REF!</definedName>
    <definedName name="qzqzqz30">#REF!</definedName>
    <definedName name="qzqzqz31">#REF!</definedName>
    <definedName name="qzqzqz32">#REF!</definedName>
    <definedName name="qzqzqz6">#REF!</definedName>
    <definedName name="qzqzqz7">#REF!</definedName>
    <definedName name="qzqzqz8">#REF!</definedName>
    <definedName name="qzqzqz9">#REF!</definedName>
    <definedName name="REM">[3]Notes!$B$50:$B$56</definedName>
    <definedName name="Remedial">[4]Notes!$B$27:$B$32</definedName>
    <definedName name="rer" localSheetId="5" hidden="1">[1]PROGRESS!#REF!</definedName>
    <definedName name="rer" localSheetId="6" hidden="1">[1]PROGRESS!#REF!</definedName>
    <definedName name="rer" localSheetId="14" hidden="1">[1]PROGRESS!#REF!</definedName>
    <definedName name="rer" localSheetId="11" hidden="1">[1]PROGRESS!#REF!</definedName>
    <definedName name="rer" localSheetId="12" hidden="1">[1]PROGRESS!#REF!</definedName>
    <definedName name="rer" localSheetId="4" hidden="1">[1]PROGRESS!#REF!</definedName>
    <definedName name="rer" localSheetId="9" hidden="1">[1]PROGRESS!#REF!</definedName>
    <definedName name="rer" localSheetId="2" hidden="1">[1]PROGRESS!#REF!</definedName>
    <definedName name="rer" localSheetId="13" hidden="1">[1]PROGRESS!#REF!</definedName>
    <definedName name="rer" localSheetId="1" hidden="1">[1]PROGRESS!#REF!</definedName>
    <definedName name="rer" localSheetId="15" hidden="1">[1]PROGRESS!#REF!</definedName>
    <definedName name="rer" localSheetId="17" hidden="1">[1]PROGRESS!#REF!</definedName>
    <definedName name="rer" localSheetId="21" hidden="1">[1]PROGRESS!#REF!</definedName>
    <definedName name="rer" localSheetId="20" hidden="1">[1]PROGRESS!#REF!</definedName>
    <definedName name="rer" localSheetId="18" hidden="1">[1]PROGRESS!#REF!</definedName>
    <definedName name="rer" localSheetId="8" hidden="1">[1]PROGRESS!#REF!</definedName>
    <definedName name="rer" localSheetId="0" hidden="1">[1]PROGRESS!#REF!</definedName>
    <definedName name="rer" hidden="1">[1]PROGRESS!#REF!</definedName>
    <definedName name="s">[7]Notes!$B$74:$B$99</definedName>
    <definedName name="SABSA1">#REF!</definedName>
    <definedName name="Sched_Pay">#REF!</definedName>
    <definedName name="SCHED1">#REF!</definedName>
    <definedName name="SCHED2">#REF!</definedName>
    <definedName name="Scheduled_Extra_Payments">#REF!</definedName>
    <definedName name="Scheduled_Interest_Rate">#REF!</definedName>
    <definedName name="Scheduled_Monthly_Payment">#REF!</definedName>
    <definedName name="sec12a">#REF!</definedName>
    <definedName name="Site">[4]Notes!$B$3:$B$4</definedName>
    <definedName name="Status">[4]Notes!$B$45:$B$49</definedName>
    <definedName name="TOT">#REF!</definedName>
    <definedName name="Tot_Pay">Scheduled_Payment+Extra_Payment</definedName>
    <definedName name="total">Scheduled_Payment+Extra_Payment</definedName>
    <definedName name="Total_Interest">#REF!</definedName>
    <definedName name="Total_Pay">#REF!</definedName>
    <definedName name="Total_Payment">Scheduled_Payment+Extra_Payment</definedName>
    <definedName name="Total_Payment1">Scheduled_Payment+Extra_Payment</definedName>
    <definedName name="totalpayment">Scheduled_Payment+Extra_Payment</definedName>
    <definedName name="totalpayment1">Scheduled_Payment+Extra_Payment</definedName>
    <definedName name="toys">#REF!</definedName>
    <definedName name="toys1">#REF!</definedName>
    <definedName name="v">IF(Val_Ent,Header_Row+n,Header_Row)</definedName>
    <definedName name="Val_Ent">IF(Loan_Amount*Interest_Rate*Loan_Years*Loan_Start&gt;0,1,0)</definedName>
    <definedName name="Val_Ent1">IF(Loan_Amount*Interest_Rate*Loan_Years*Loan_Start&gt;0,1,0)</definedName>
    <definedName name="Values_Entered">IF(Loan_Amount*Interest_Rate*Loan_Years*Loan_Start&gt;0,1,0)</definedName>
    <definedName name="Values_Entered1">IF(Loan_Amount*Interest_Rate*Loan_Years*Loan_Start&gt;0,1,0)</definedName>
    <definedName name="vv">IF(Loan_Amount*Interest_Rate*Loan_Years*Loan_Start&gt;0,1,0)</definedName>
    <definedName name="vvv">IF(Values_Entered,Header_Row+nnn,Header_Row)</definedName>
    <definedName name="vvvv">IF(Values_Entered,Header_Row+nnn,Header_Row)</definedName>
    <definedName name="vvvvv">IF(Val_Ent,Header_Row+n,Header_Row)</definedName>
    <definedName name="vvvvvvv">IF(Loan_Amount*Interest_Rate*Loan_Years*Loan_Start&gt;0,1,0)</definedName>
    <definedName name="vvvvvvvv">IF(Loan_Amount*Interest_Rate*Loan_Years*Loan_Start&gt;0,1,0)</definedName>
    <definedName name="w">[3]Notes!$B$101:$B$106</definedName>
    <definedName name="Wayne">MATCH(0.01,End_Bal,-1)+1</definedName>
    <definedName name="Wayne1">MATCH(0.01,End_Bal,-1)+1</definedName>
    <definedName name="wrn.Cert." hidden="1">{#N/A,#N/A,FALSE,"Cert"}</definedName>
    <definedName name="wrn.Turnaround." hidden="1">{#N/A,#N/A,FALSE,"Cert"}</definedName>
    <definedName name="wwww">#REF!</definedName>
    <definedName name="x">[8]Notes!$B$74:$B$99</definedName>
    <definedName name="xx">IF(Val_Ent1,Header_Row+Wayne1,Header_Row)</definedName>
    <definedName name="XXX">IF(Values_Entered1,Header_Row+Wayne,Header_Row)</definedName>
    <definedName name="xxxx">IF(Loan_Amount*Interest_Rate*Loan_Years*Loan_Start&gt;0,1,0)</definedName>
    <definedName name="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1" i="39" l="1"/>
  <c r="J7" i="9" l="1"/>
  <c r="F89" i="39"/>
  <c r="E91" i="39" s="1"/>
  <c r="G91" i="39" s="1"/>
  <c r="G21" i="54"/>
  <c r="E22" i="54" s="1"/>
  <c r="G22" i="54" s="1"/>
  <c r="F8" i="54"/>
  <c r="I12" i="49"/>
  <c r="H9" i="48"/>
  <c r="G329" i="51"/>
  <c r="G290" i="51"/>
  <c r="G292" i="51"/>
  <c r="G34" i="51"/>
  <c r="G35" i="51"/>
  <c r="G36" i="51"/>
  <c r="G69" i="51"/>
  <c r="G70" i="51"/>
  <c r="G71" i="51"/>
  <c r="G72" i="51"/>
  <c r="G102" i="39"/>
  <c r="G103" i="39"/>
  <c r="G104" i="39"/>
  <c r="G105" i="39"/>
  <c r="G106" i="39"/>
  <c r="G107" i="39"/>
  <c r="G108" i="39"/>
  <c r="G109" i="39"/>
  <c r="G110" i="39"/>
  <c r="G112" i="39"/>
  <c r="G113" i="39"/>
  <c r="G114" i="39"/>
  <c r="G115" i="39"/>
  <c r="G116" i="39"/>
  <c r="G118" i="39"/>
  <c r="G119" i="39"/>
  <c r="G120" i="39"/>
  <c r="G121" i="39"/>
  <c r="G122" i="39"/>
  <c r="G123" i="39"/>
  <c r="G124" i="39"/>
  <c r="G125" i="39"/>
  <c r="G126" i="39"/>
  <c r="G127" i="39"/>
  <c r="G101" i="39"/>
  <c r="G99" i="39"/>
  <c r="G97" i="39"/>
  <c r="G29" i="39"/>
  <c r="G49" i="39"/>
  <c r="G51" i="39"/>
  <c r="G25" i="39"/>
  <c r="G14" i="39"/>
  <c r="G89" i="39" l="1"/>
  <c r="E138" i="51"/>
  <c r="G23" i="39"/>
  <c r="G21" i="39"/>
  <c r="E140" i="51" l="1"/>
  <c r="E142" i="51"/>
  <c r="G15" i="54"/>
  <c r="E157" i="51" l="1"/>
  <c r="E247" i="51" l="1"/>
  <c r="E59" i="39"/>
  <c r="G59" i="39" s="1"/>
  <c r="E61" i="39"/>
  <c r="F85" i="39" s="1"/>
  <c r="E57" i="39"/>
  <c r="G57" i="39" s="1"/>
  <c r="E55" i="39"/>
  <c r="G55" i="39" s="1"/>
  <c r="E37" i="39"/>
  <c r="G37" i="39" s="1"/>
  <c r="E39" i="39"/>
  <c r="G39" i="39" s="1"/>
  <c r="E41" i="39"/>
  <c r="G41" i="39" s="1"/>
  <c r="E43" i="39"/>
  <c r="G43" i="39" s="1"/>
  <c r="E45" i="39"/>
  <c r="G45" i="39" s="1"/>
  <c r="E47" i="39"/>
  <c r="G47" i="39" s="1"/>
  <c r="E35" i="39"/>
  <c r="G35" i="39" s="1"/>
  <c r="E33" i="39"/>
  <c r="G33" i="39" s="1"/>
  <c r="E31" i="39"/>
  <c r="G31" i="39" s="1"/>
  <c r="G61" i="39" l="1"/>
  <c r="E249" i="51"/>
  <c r="E57" i="51"/>
  <c r="E55" i="51"/>
  <c r="E53" i="51"/>
  <c r="E51" i="51"/>
  <c r="E49" i="51"/>
  <c r="E47" i="51"/>
  <c r="E45" i="51"/>
  <c r="E43" i="51"/>
  <c r="E39" i="51"/>
  <c r="E37" i="51"/>
  <c r="G74" i="51" l="1"/>
  <c r="E251" i="51"/>
  <c r="G7" i="55"/>
  <c r="E7" i="54"/>
  <c r="G7" i="54" s="1"/>
  <c r="G6" i="54"/>
  <c r="E254" i="51" l="1"/>
  <c r="G80" i="51"/>
  <c r="G148" i="51" s="1"/>
  <c r="G154" i="51" s="1"/>
  <c r="E8" i="54"/>
  <c r="E9" i="54" s="1"/>
  <c r="E256" i="51" l="1"/>
  <c r="G8" i="54"/>
  <c r="C12" i="40"/>
  <c r="C13" i="40"/>
  <c r="G230" i="51"/>
  <c r="C5" i="40" s="1"/>
  <c r="G9" i="54"/>
  <c r="E10" i="54"/>
  <c r="G10" i="54" s="1"/>
  <c r="E258" i="51" l="1"/>
  <c r="E11" i="54"/>
  <c r="G11" i="54" s="1"/>
  <c r="G34" i="54" s="1"/>
  <c r="E260" i="51" l="1"/>
  <c r="M28" i="50"/>
  <c r="M23" i="50"/>
  <c r="M25" i="50" s="1"/>
  <c r="M22" i="50"/>
  <c r="M30" i="50" s="1"/>
  <c r="E262" i="51" l="1"/>
  <c r="C10" i="40"/>
  <c r="M35" i="50"/>
  <c r="M36" i="50"/>
  <c r="M34" i="50"/>
  <c r="M27" i="50"/>
  <c r="M31" i="50"/>
  <c r="M29" i="50"/>
  <c r="M24" i="50"/>
  <c r="E264" i="51" l="1"/>
  <c r="I131" i="50"/>
  <c r="J122" i="50"/>
  <c r="I120" i="50"/>
  <c r="J7" i="50"/>
  <c r="E269" i="51" l="1"/>
  <c r="C11" i="40"/>
  <c r="C8" i="40"/>
  <c r="E271" i="51" l="1"/>
  <c r="C7" i="40"/>
  <c r="C19" i="40" s="1"/>
  <c r="J82" i="48"/>
  <c r="J8" i="48"/>
  <c r="E275" i="51" l="1"/>
  <c r="I134" i="46"/>
  <c r="J125" i="46"/>
  <c r="I123" i="46"/>
  <c r="J10" i="46"/>
  <c r="E277" i="51" l="1"/>
  <c r="G82" i="45"/>
  <c r="G81" i="45"/>
  <c r="G80" i="45"/>
  <c r="G77" i="45"/>
  <c r="G76" i="45"/>
  <c r="J73" i="45"/>
  <c r="G73" i="45"/>
  <c r="G72" i="45"/>
  <c r="I71" i="45"/>
  <c r="G71" i="45"/>
  <c r="G68" i="45"/>
  <c r="G67" i="45"/>
  <c r="G66" i="45"/>
  <c r="F65" i="45"/>
  <c r="G65" i="45" s="1"/>
  <c r="G64" i="45"/>
  <c r="G61" i="45"/>
  <c r="G60" i="45"/>
  <c r="G59" i="45"/>
  <c r="G58" i="45"/>
  <c r="G55" i="45"/>
  <c r="G50" i="45"/>
  <c r="G49" i="45"/>
  <c r="G48" i="45"/>
  <c r="G47" i="45"/>
  <c r="G44" i="45"/>
  <c r="G43" i="45"/>
  <c r="G42" i="45"/>
  <c r="G39" i="45"/>
  <c r="F36" i="45"/>
  <c r="G36" i="45" s="1"/>
  <c r="G35" i="45"/>
  <c r="G34" i="45"/>
  <c r="G33" i="45"/>
  <c r="F30" i="45"/>
  <c r="G30" i="45" s="1"/>
  <c r="F29" i="45"/>
  <c r="G29" i="45" s="1"/>
  <c r="F28" i="45"/>
  <c r="G28" i="45" s="1"/>
  <c r="F27" i="45"/>
  <c r="G27" i="45" s="1"/>
  <c r="F26" i="45"/>
  <c r="F25" i="45"/>
  <c r="F21" i="45"/>
  <c r="F20" i="45"/>
  <c r="F19" i="45"/>
  <c r="E19" i="45"/>
  <c r="E25" i="45" s="1"/>
  <c r="F18" i="45"/>
  <c r="G18" i="45" s="1"/>
  <c r="F17" i="45"/>
  <c r="E17" i="45"/>
  <c r="G17" i="45" s="1"/>
  <c r="I16" i="45"/>
  <c r="F16" i="45"/>
  <c r="G16" i="45" s="1"/>
  <c r="G12" i="45"/>
  <c r="F11" i="45"/>
  <c r="E11" i="45"/>
  <c r="E8" i="45"/>
  <c r="G8" i="45" s="1"/>
  <c r="J7" i="45"/>
  <c r="F7" i="45"/>
  <c r="G7" i="45" s="1"/>
  <c r="I82" i="45" l="1"/>
  <c r="E279" i="51"/>
  <c r="C6" i="40"/>
  <c r="E9" i="45"/>
  <c r="G11" i="45"/>
  <c r="G19" i="45"/>
  <c r="E20" i="45"/>
  <c r="I97" i="9"/>
  <c r="G133" i="39"/>
  <c r="G132" i="39"/>
  <c r="G131" i="39"/>
  <c r="J88" i="9"/>
  <c r="I86" i="9"/>
  <c r="G10" i="44"/>
  <c r="G11" i="44"/>
  <c r="G12" i="44"/>
  <c r="G13" i="44"/>
  <c r="G25" i="44"/>
  <c r="G27" i="44"/>
  <c r="E117" i="39"/>
  <c r="G117" i="39" s="1"/>
  <c r="E111" i="39"/>
  <c r="G111" i="39" s="1"/>
  <c r="G16" i="44"/>
  <c r="G15" i="44"/>
  <c r="G14" i="44"/>
  <c r="G65" i="39"/>
  <c r="E67" i="39"/>
  <c r="G67" i="39" s="1"/>
  <c r="G85" i="39"/>
  <c r="E87" i="39"/>
  <c r="G87" i="39" s="1"/>
  <c r="G71" i="39"/>
  <c r="G70" i="39"/>
  <c r="G69" i="39"/>
  <c r="G68" i="39"/>
  <c r="G66" i="39"/>
  <c r="G64" i="39"/>
  <c r="G63" i="39"/>
  <c r="G62" i="39"/>
  <c r="I22" i="9"/>
  <c r="C9" i="40"/>
  <c r="G5" i="42"/>
  <c r="G6" i="42"/>
  <c r="G7" i="42"/>
  <c r="G8" i="42"/>
  <c r="G9" i="42"/>
  <c r="G10" i="42"/>
  <c r="G11" i="42"/>
  <c r="G33" i="37"/>
  <c r="G35" i="38"/>
  <c r="L11" i="38"/>
  <c r="F8" i="38"/>
  <c r="K7" i="38"/>
  <c r="F7" i="38"/>
  <c r="F8" i="37"/>
  <c r="K7" i="37"/>
  <c r="F7" i="37"/>
  <c r="G51" i="36"/>
  <c r="G50" i="36"/>
  <c r="G49" i="36"/>
  <c r="G47" i="36"/>
  <c r="G45" i="36"/>
  <c r="G43" i="36"/>
  <c r="F42" i="36"/>
  <c r="G42" i="36" s="1"/>
  <c r="G41" i="36"/>
  <c r="G38" i="36"/>
  <c r="G36" i="36"/>
  <c r="G35" i="36"/>
  <c r="G33" i="36"/>
  <c r="G32" i="36"/>
  <c r="G30" i="36"/>
  <c r="G28" i="36"/>
  <c r="G27" i="36"/>
  <c r="G26" i="36"/>
  <c r="G22" i="36"/>
  <c r="G21" i="36"/>
  <c r="G20" i="36"/>
  <c r="G19" i="36"/>
  <c r="G18" i="36"/>
  <c r="G17" i="36"/>
  <c r="F12" i="36"/>
  <c r="E12" i="36"/>
  <c r="F11" i="36"/>
  <c r="G11" i="36" s="1"/>
  <c r="E11" i="36"/>
  <c r="G10" i="36"/>
  <c r="E9" i="36"/>
  <c r="G9" i="36" s="1"/>
  <c r="G8" i="36"/>
  <c r="G16" i="36"/>
  <c r="G13" i="36"/>
  <c r="G14" i="36"/>
  <c r="G15" i="36"/>
  <c r="F17" i="30"/>
  <c r="F16" i="30"/>
  <c r="G16" i="30" s="1"/>
  <c r="E9" i="30"/>
  <c r="G9" i="30" s="1"/>
  <c r="G11" i="30"/>
  <c r="G10" i="30"/>
  <c r="F8" i="30"/>
  <c r="G8" i="30" s="1"/>
  <c r="F7" i="30"/>
  <c r="F7" i="32"/>
  <c r="G7" i="32" s="1"/>
  <c r="E62" i="32"/>
  <c r="G62" i="32"/>
  <c r="E63" i="32"/>
  <c r="F37" i="32"/>
  <c r="F8" i="32"/>
  <c r="G101" i="32"/>
  <c r="G100" i="32"/>
  <c r="G99" i="32"/>
  <c r="G98" i="32"/>
  <c r="G97" i="32"/>
  <c r="G94" i="32"/>
  <c r="G93" i="32"/>
  <c r="G92" i="32"/>
  <c r="G91" i="32"/>
  <c r="G88" i="32"/>
  <c r="G87" i="32"/>
  <c r="G86" i="32"/>
  <c r="G85" i="32"/>
  <c r="G82" i="32"/>
  <c r="G81" i="32"/>
  <c r="G80" i="32"/>
  <c r="G79" i="32"/>
  <c r="G78" i="32"/>
  <c r="G77" i="32"/>
  <c r="G76" i="32"/>
  <c r="G75" i="32"/>
  <c r="F74" i="32"/>
  <c r="G74" i="32"/>
  <c r="F69" i="32"/>
  <c r="G69" i="32"/>
  <c r="F68" i="32"/>
  <c r="G68" i="32"/>
  <c r="F67" i="32"/>
  <c r="G67" i="32"/>
  <c r="G66" i="32"/>
  <c r="G65" i="32"/>
  <c r="G64" i="32"/>
  <c r="G63" i="32"/>
  <c r="G59" i="32"/>
  <c r="G58" i="32"/>
  <c r="F57" i="32"/>
  <c r="G57" i="32"/>
  <c r="G56" i="32"/>
  <c r="F55" i="32"/>
  <c r="G55" i="32" s="1"/>
  <c r="F54" i="32"/>
  <c r="G54" i="32" s="1"/>
  <c r="F53" i="32"/>
  <c r="G53" i="32"/>
  <c r="F52" i="32"/>
  <c r="G52" i="32" s="1"/>
  <c r="F51" i="32"/>
  <c r="G51" i="32" s="1"/>
  <c r="F50" i="32"/>
  <c r="G50" i="32" s="1"/>
  <c r="F49" i="32"/>
  <c r="G49" i="32" s="1"/>
  <c r="F48" i="32"/>
  <c r="G48" i="32" s="1"/>
  <c r="F47" i="32"/>
  <c r="G47" i="32"/>
  <c r="F46" i="32"/>
  <c r="G46" i="32" s="1"/>
  <c r="F45" i="32"/>
  <c r="G45" i="32" s="1"/>
  <c r="F44" i="32"/>
  <c r="G44" i="32" s="1"/>
  <c r="F43" i="32"/>
  <c r="G43" i="32" s="1"/>
  <c r="F42" i="32"/>
  <c r="G42" i="32" s="1"/>
  <c r="F41" i="32"/>
  <c r="G41" i="32" s="1"/>
  <c r="F40" i="32"/>
  <c r="G40" i="32" s="1"/>
  <c r="F39" i="32"/>
  <c r="G39" i="32"/>
  <c r="F38" i="32"/>
  <c r="G38" i="32" s="1"/>
  <c r="G37" i="32"/>
  <c r="F32" i="32"/>
  <c r="G32" i="32"/>
  <c r="F31" i="32"/>
  <c r="G31" i="32" s="1"/>
  <c r="F30" i="32"/>
  <c r="G30" i="32" s="1"/>
  <c r="F29" i="32"/>
  <c r="G29" i="32" s="1"/>
  <c r="F28" i="32"/>
  <c r="G28" i="32"/>
  <c r="G27" i="32"/>
  <c r="G26" i="32"/>
  <c r="F25" i="32"/>
  <c r="G25" i="32"/>
  <c r="F24" i="32"/>
  <c r="G24" i="32" s="1"/>
  <c r="F23" i="32"/>
  <c r="G23" i="32" s="1"/>
  <c r="F22" i="32"/>
  <c r="G22" i="32" s="1"/>
  <c r="G21" i="32"/>
  <c r="G20" i="32"/>
  <c r="G19" i="32"/>
  <c r="G16" i="32"/>
  <c r="G15" i="32"/>
  <c r="G14" i="32"/>
  <c r="E13" i="32"/>
  <c r="G13" i="32" s="1"/>
  <c r="E12" i="32"/>
  <c r="G12" i="32" s="1"/>
  <c r="G11" i="32"/>
  <c r="E10" i="32"/>
  <c r="G10" i="32" s="1"/>
  <c r="E8" i="32"/>
  <c r="E9" i="32" s="1"/>
  <c r="F8" i="27"/>
  <c r="F9" i="27" s="1"/>
  <c r="F35" i="27" s="1"/>
  <c r="G35" i="27" s="1"/>
  <c r="F10" i="27"/>
  <c r="G10" i="27" s="1"/>
  <c r="E11" i="27"/>
  <c r="G11" i="27" s="1"/>
  <c r="G12" i="27"/>
  <c r="E13" i="27"/>
  <c r="F13" i="27"/>
  <c r="E14" i="27"/>
  <c r="F14" i="27"/>
  <c r="F7" i="27"/>
  <c r="F16" i="27" s="1"/>
  <c r="G16" i="27" s="1"/>
  <c r="F20" i="27"/>
  <c r="G20" i="27" s="1"/>
  <c r="G21" i="27"/>
  <c r="G22" i="27"/>
  <c r="G23" i="27"/>
  <c r="G24" i="27"/>
  <c r="G25" i="27"/>
  <c r="G29" i="27"/>
  <c r="G30" i="27"/>
  <c r="G31" i="27"/>
  <c r="G34" i="27"/>
  <c r="F36" i="27"/>
  <c r="G36" i="27" s="1"/>
  <c r="G37" i="27"/>
  <c r="G42" i="27"/>
  <c r="G44" i="27"/>
  <c r="G45" i="27"/>
  <c r="G47" i="27"/>
  <c r="G48" i="27"/>
  <c r="G50" i="27"/>
  <c r="G53" i="27"/>
  <c r="F54" i="27"/>
  <c r="G54" i="27" s="1"/>
  <c r="G55" i="27"/>
  <c r="G57" i="27"/>
  <c r="G59" i="27"/>
  <c r="G61" i="27"/>
  <c r="G62" i="27"/>
  <c r="G63" i="27"/>
  <c r="G7" i="30"/>
  <c r="G12" i="30"/>
  <c r="F14" i="30"/>
  <c r="G14" i="30" s="1"/>
  <c r="F15" i="30"/>
  <c r="G15" i="30" s="1"/>
  <c r="G17" i="30"/>
  <c r="G18" i="30"/>
  <c r="G19" i="30"/>
  <c r="F20" i="30"/>
  <c r="G20" i="30"/>
  <c r="G21" i="30"/>
  <c r="G22" i="30"/>
  <c r="G23" i="30"/>
  <c r="G24" i="30"/>
  <c r="G25" i="30"/>
  <c r="G29" i="30"/>
  <c r="G30" i="30"/>
  <c r="G31" i="30"/>
  <c r="G34" i="30"/>
  <c r="G36" i="30"/>
  <c r="G37" i="30"/>
  <c r="G39" i="30"/>
  <c r="G40" i="30"/>
  <c r="G42" i="30"/>
  <c r="G45" i="30"/>
  <c r="F46" i="30"/>
  <c r="G46" i="30" s="1"/>
  <c r="G47" i="30"/>
  <c r="G51" i="30"/>
  <c r="G53" i="30"/>
  <c r="G55" i="30"/>
  <c r="G56" i="30"/>
  <c r="G57" i="30"/>
  <c r="N18" i="30"/>
  <c r="L17" i="30"/>
  <c r="N16" i="30"/>
  <c r="L15" i="30"/>
  <c r="L16" i="30" s="1"/>
  <c r="J14" i="27"/>
  <c r="K7" i="27"/>
  <c r="N18" i="27"/>
  <c r="L18" i="27"/>
  <c r="N17" i="27"/>
  <c r="L16" i="27"/>
  <c r="N15" i="27"/>
  <c r="L14" i="27"/>
  <c r="L15" i="27" s="1"/>
  <c r="L11" i="27"/>
  <c r="G7" i="36"/>
  <c r="G13" i="27" l="1"/>
  <c r="G12" i="36"/>
  <c r="G23" i="36" s="1"/>
  <c r="G24" i="36" s="1"/>
  <c r="G53" i="36" s="1"/>
  <c r="G76" i="39"/>
  <c r="G82" i="39" s="1"/>
  <c r="G23" i="44"/>
  <c r="G24" i="44" s="1"/>
  <c r="G50" i="44" s="1"/>
  <c r="E281" i="51"/>
  <c r="F19" i="27"/>
  <c r="G19" i="27" s="1"/>
  <c r="G36" i="42"/>
  <c r="F17" i="27"/>
  <c r="G17" i="27" s="1"/>
  <c r="G14" i="27"/>
  <c r="F15" i="27"/>
  <c r="G15" i="27" s="1"/>
  <c r="E10" i="45"/>
  <c r="G10" i="45" s="1"/>
  <c r="G9" i="45"/>
  <c r="G9" i="27"/>
  <c r="G26" i="27" s="1"/>
  <c r="G27" i="27" s="1"/>
  <c r="G72" i="27" s="1"/>
  <c r="G20" i="45"/>
  <c r="E21" i="45"/>
  <c r="G21" i="45" s="1"/>
  <c r="E26" i="45"/>
  <c r="G26" i="30"/>
  <c r="G27" i="30" s="1"/>
  <c r="G48" i="30" s="1"/>
  <c r="G49" i="30" s="1"/>
  <c r="G80" i="30" s="1"/>
  <c r="F18" i="27"/>
  <c r="G18" i="27" s="1"/>
  <c r="G8" i="32"/>
  <c r="G34" i="32" s="1"/>
  <c r="G35" i="32" s="1"/>
  <c r="G71" i="32" s="1"/>
  <c r="G72" i="32" s="1"/>
  <c r="G107" i="32" s="1"/>
  <c r="E283" i="51" l="1"/>
  <c r="G23" i="45"/>
  <c r="G24" i="45" s="1"/>
  <c r="G51" i="45" s="1"/>
  <c r="G52" i="45" s="1"/>
  <c r="G83" i="45" s="1"/>
  <c r="C4" i="40"/>
  <c r="E285" i="51" l="1"/>
  <c r="E287" i="51" l="1"/>
  <c r="C21" i="40" l="1"/>
  <c r="E289" i="51"/>
  <c r="E291" i="51" l="1"/>
  <c r="C24" i="40"/>
  <c r="C26" i="40" l="1"/>
  <c r="C29" i="40" s="1"/>
  <c r="G298" i="51"/>
  <c r="G304" i="51" s="1"/>
  <c r="E310" i="51"/>
  <c r="E312" i="51" l="1"/>
  <c r="E314" i="51" l="1"/>
  <c r="E316" i="51" l="1"/>
  <c r="E320" i="51" l="1"/>
  <c r="E324" i="51" l="1"/>
  <c r="E328"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Gundo</author>
  </authors>
  <commentList>
    <comment ref="F12" authorId="0" shapeId="0" xr:uid="{00000000-0006-0000-1200-000001000000}">
      <text>
        <r>
          <rPr>
            <b/>
            <sz val="9"/>
            <color indexed="81"/>
            <rFont val="Tahoma"/>
            <family val="2"/>
          </rPr>
          <t>Gundo:</t>
        </r>
        <r>
          <rPr>
            <sz val="9"/>
            <color indexed="81"/>
            <rFont val="Tahoma"/>
            <family val="2"/>
          </rPr>
          <t xml:space="preserve">
This amount includes manufacturing of a pressure gauge boss downstream of all valves.
Pressure gauges shall be mounted on the pumps as well. </t>
        </r>
      </text>
    </comment>
  </commentList>
</comments>
</file>

<file path=xl/sharedStrings.xml><?xml version="1.0" encoding="utf-8"?>
<sst xmlns="http://schemas.openxmlformats.org/spreadsheetml/2006/main" count="2144" uniqueCount="960">
  <si>
    <t>ITEM</t>
  </si>
  <si>
    <t>DESCRIPTION</t>
  </si>
  <si>
    <t>No.</t>
  </si>
  <si>
    <t>Sum</t>
  </si>
  <si>
    <t>2.1.2</t>
  </si>
  <si>
    <t>2.1.3</t>
  </si>
  <si>
    <t>2.2.1</t>
  </si>
  <si>
    <t>2.2.2</t>
  </si>
  <si>
    <t>2.3.1</t>
  </si>
  <si>
    <t>REF.</t>
  </si>
  <si>
    <t>UNIT</t>
  </si>
  <si>
    <t>QTY</t>
  </si>
  <si>
    <t>RATE</t>
  </si>
  <si>
    <t>AMOUNT</t>
  </si>
  <si>
    <t xml:space="preserve">Supply, delivery, installation, testing and commissioning of pumps, pipework, fittings, bends, elbows, reducers and other listed installations, complete with flanges, gaskets, bolts, nuts and washers. </t>
  </si>
  <si>
    <t>2.1.4</t>
  </si>
  <si>
    <t>HRC Coupling (motor-to-pump)</t>
  </si>
  <si>
    <t>2.1.5</t>
  </si>
  <si>
    <t>2.1.6</t>
  </si>
  <si>
    <t>2.1.7</t>
  </si>
  <si>
    <t>2.1.8</t>
  </si>
  <si>
    <t>2.1.9</t>
  </si>
  <si>
    <t>2.1.10</t>
  </si>
  <si>
    <t>Site system curve verification testing, before pump purchase orders are placed. Off-takes shall be taken care of.</t>
  </si>
  <si>
    <t>Manufacturer's works or CSIR acceptance testing</t>
  </si>
  <si>
    <t>Pressure testing of all pipework</t>
  </si>
  <si>
    <t>TOTAL CARRIED FORWARD</t>
  </si>
  <si>
    <t>Pressure switch</t>
  </si>
  <si>
    <t>Cathodic isolation for each pump</t>
  </si>
  <si>
    <t>2.6.2</t>
  </si>
  <si>
    <t>Site acceptance testing (contractor to supply all necessary equipment for testing)</t>
  </si>
  <si>
    <t>m</t>
  </si>
  <si>
    <t>Machine guards for the new pumpsets on all moving parts, especially gear couplings (pump-to-motor)</t>
  </si>
  <si>
    <t>TOTAL BROUGHT FORWARD</t>
  </si>
  <si>
    <t>Pump Protection</t>
  </si>
  <si>
    <t>No flow switch</t>
  </si>
  <si>
    <t>Temperature probe, PT100 for the DE and NDE bearings, which shall be used for pump protection</t>
  </si>
  <si>
    <t>Cathodic isolation</t>
  </si>
  <si>
    <t>2.4.1</t>
  </si>
  <si>
    <t>Corrosion Protection New Installation (Pump, Valves, Piping and Fittings)</t>
  </si>
  <si>
    <t>Fusion-bonded epoxy, 300μm dry film thickness, internal and externally on pipework, pumps and fittings (new installation)</t>
  </si>
  <si>
    <t>Painting of pipework, pumps and fittings in line with the set colour-coding convention</t>
  </si>
  <si>
    <t>Corrosion Protection Existing Installation</t>
  </si>
  <si>
    <t>2.6.1</t>
  </si>
  <si>
    <t>Preparation of surfaces, fusion-bonded epoxy, 300μm dry film thickness, internal and externally on pipework, pumps and fittings, for existing installations being refurbished.</t>
  </si>
  <si>
    <t>Civil Works</t>
  </si>
  <si>
    <t>2.7.1</t>
  </si>
  <si>
    <t>Painting of Building</t>
  </si>
  <si>
    <t>2.8.1</t>
  </si>
  <si>
    <t>Painting of Floors , including dermacation of areas (walking areas and non-walking areas)</t>
  </si>
  <si>
    <t>Quality Assurance</t>
  </si>
  <si>
    <t>Preparation of a Quality Management Plan and implementation thereof, as aligned with DWAF and SANS.</t>
  </si>
  <si>
    <t>Compliance with the Quality Management Plan shall be monitored independently by a specialist consultant</t>
  </si>
  <si>
    <t>Note</t>
  </si>
  <si>
    <t>TOTAL CARRIED TO SUMMARY</t>
  </si>
  <si>
    <t>2.4.2</t>
  </si>
  <si>
    <t>2.8.2</t>
  </si>
  <si>
    <t>2.8.3</t>
  </si>
  <si>
    <t>2.8.4</t>
  </si>
  <si>
    <t>2.8.5</t>
  </si>
  <si>
    <t>m</t>
    <phoneticPr fontId="0" type="noConversion"/>
  </si>
  <si>
    <t>Provide drainage piping and channels (new installation)</t>
  </si>
  <si>
    <t>Pump House Ventilation (Louvres and Extractor Fan)</t>
  </si>
  <si>
    <t>2.1.1</t>
  </si>
  <si>
    <t>Coupling Machine Guard</t>
  </si>
  <si>
    <t>Pressure Gauge, Wika (100mm dial and filled with glycerine), mounted on each pump delivery piping, for the new and existing pumps, with a range from 0 to 2500 kPa</t>
  </si>
  <si>
    <t>Motor Control Centre</t>
  </si>
  <si>
    <t>Set</t>
  </si>
  <si>
    <t>Extractor Fan for pump station ventilation, including inlet louvres</t>
  </si>
  <si>
    <t>Sump pump, complete with power supply and piping</t>
  </si>
  <si>
    <t>2.6.3</t>
  </si>
  <si>
    <t>PLC</t>
  </si>
  <si>
    <t>Power cabling to motors</t>
  </si>
  <si>
    <t>Instrumentation cabling to motors (vibration and temperature), valves, flowmeter, no-flow switches, pressure switches</t>
  </si>
  <si>
    <t>PUMPS, PIPEWORK AND FITTINGS</t>
  </si>
  <si>
    <t>PANORAMA BOOSTER</t>
  </si>
  <si>
    <r>
      <t>New WKLn 125/8 Pump with a duty of 249 m</t>
    </r>
    <r>
      <rPr>
        <vertAlign val="superscript"/>
        <sz val="10"/>
        <color theme="1"/>
        <rFont val="Arial"/>
        <family val="2"/>
      </rPr>
      <t>3</t>
    </r>
    <r>
      <rPr>
        <sz val="10"/>
        <color theme="1"/>
        <rFont val="Arial"/>
        <family val="2"/>
      </rPr>
      <t>/h, against a head of 208 metres, at hydraulic efficiency of at least 75%</t>
    </r>
  </si>
  <si>
    <r>
      <t xml:space="preserve">Suction piping </t>
    </r>
    <r>
      <rPr>
        <b/>
        <sz val="10"/>
        <rFont val="Arial"/>
        <family val="2"/>
      </rPr>
      <t>300 NB, Sch10</t>
    </r>
    <r>
      <rPr>
        <sz val="10"/>
        <rFont val="Arial"/>
        <family val="2"/>
      </rPr>
      <t xml:space="preserve"> complete with fittings and suction bellmouth (with baffles), and installed into forebay </t>
    </r>
  </si>
  <si>
    <r>
      <t xml:space="preserve">Delivery piping </t>
    </r>
    <r>
      <rPr>
        <b/>
        <sz val="10"/>
        <rFont val="Arial"/>
        <family val="2"/>
      </rPr>
      <t>250 NB, Sch40</t>
    </r>
    <r>
      <rPr>
        <sz val="10"/>
        <rFont val="Arial"/>
        <family val="2"/>
      </rPr>
      <t xml:space="preserve"> complete with fittings</t>
    </r>
  </si>
  <si>
    <r>
      <t>Gate valve, Suction side,</t>
    </r>
    <r>
      <rPr>
        <b/>
        <sz val="10"/>
        <rFont val="Arial"/>
        <family val="2"/>
      </rPr>
      <t xml:space="preserve"> 300 NB, PN10</t>
    </r>
  </si>
  <si>
    <r>
      <t xml:space="preserve">Gate valve, delivery side, </t>
    </r>
    <r>
      <rPr>
        <b/>
        <sz val="10"/>
        <rFont val="Arial"/>
        <family val="2"/>
      </rPr>
      <t>250 NB, PN40</t>
    </r>
  </si>
  <si>
    <r>
      <t xml:space="preserve">Non-return valve, </t>
    </r>
    <r>
      <rPr>
        <b/>
        <sz val="10"/>
        <rFont val="Arial"/>
        <family val="2"/>
      </rPr>
      <t>250 NB, PN 40</t>
    </r>
    <r>
      <rPr>
        <sz val="10"/>
        <rFont val="Arial"/>
        <family val="2"/>
      </rPr>
      <t>, flap type, as specified</t>
    </r>
  </si>
  <si>
    <r>
      <t>Pump Control Valve 250</t>
    </r>
    <r>
      <rPr>
        <b/>
        <sz val="10"/>
        <rFont val="Arial"/>
        <family val="2"/>
      </rPr>
      <t>NB,</t>
    </r>
    <r>
      <rPr>
        <sz val="10"/>
        <rFont val="Arial"/>
        <family val="2"/>
      </rPr>
      <t xml:space="preserve"> at least </t>
    </r>
    <r>
      <rPr>
        <b/>
        <sz val="10"/>
        <rFont val="Arial"/>
        <family val="2"/>
      </rPr>
      <t>PN40</t>
    </r>
    <r>
      <rPr>
        <sz val="10"/>
        <rFont val="Arial"/>
        <family val="2"/>
      </rPr>
      <t xml:space="preserve"> (Bermad, CLA-VAL, Fraser or equivalent), complete with surge ancipation capability. Excess water during surges shall be piped back to forebay</t>
    </r>
  </si>
  <si>
    <t>Flowmeter, magnetic flow type, DN250, PN 40, Promag 51, or equivalent,  for instantaneous and totalised flow readouts in l/s and kl (LCD), 4-20mA, programmable datalogger, SABS 1123 flanged, stainless steel electrodes, 240 VAC, complete with pipe reducers</t>
  </si>
  <si>
    <t>Factor 1 (circumference)</t>
  </si>
  <si>
    <t>Factor 2 (power)</t>
  </si>
  <si>
    <t>Motor Control Centre for pumps</t>
  </si>
  <si>
    <t>Variable Speed Drive</t>
  </si>
  <si>
    <t>Motor 280 kW, 1450 rpm</t>
  </si>
  <si>
    <t>Plinth for  pumps</t>
  </si>
  <si>
    <t>GA-KGAPANE BOOSTER</t>
  </si>
  <si>
    <r>
      <t>Refurbish isolating valve, Suction side,</t>
    </r>
    <r>
      <rPr>
        <b/>
        <sz val="10"/>
        <rFont val="Arial"/>
        <family val="2"/>
      </rPr>
      <t xml:space="preserve"> 300 NB, PN10</t>
    </r>
  </si>
  <si>
    <r>
      <t xml:space="preserve">Refurbish Gate valve, delivery side, </t>
    </r>
    <r>
      <rPr>
        <b/>
        <sz val="10"/>
        <rFont val="Arial"/>
        <family val="2"/>
      </rPr>
      <t>250 NB, PN40</t>
    </r>
  </si>
  <si>
    <r>
      <t xml:space="preserve">Replace Non-return valve, </t>
    </r>
    <r>
      <rPr>
        <b/>
        <sz val="10"/>
        <rFont val="Arial"/>
        <family val="2"/>
      </rPr>
      <t>250 NB, PN 40</t>
    </r>
    <r>
      <rPr>
        <sz val="10"/>
        <rFont val="Arial"/>
        <family val="2"/>
      </rPr>
      <t>, flap type, as specified</t>
    </r>
  </si>
  <si>
    <t xml:space="preserve"> DWG  REF.</t>
  </si>
  <si>
    <t>The Tenderer must read the drawings &amp; specifications when pricing this Bill.</t>
  </si>
  <si>
    <t xml:space="preserve">Supply, delivery, installation, testing and commissioning of pumps, motors pipework, valves, fittings, bends, elbows, reducers and other listed installations, complete with flanges, crotch plates, welds, gaskets, bolts, nuts and washers. </t>
  </si>
  <si>
    <t xml:space="preserve">PUMPS AND MOTORS </t>
  </si>
  <si>
    <t>No.</t>
    <phoneticPr fontId="0" type="noConversion"/>
  </si>
  <si>
    <t>Rate Only</t>
  </si>
  <si>
    <t>Baseplate and adjusting Pumpset Plinth to match new.</t>
  </si>
  <si>
    <t>Machine guards for the pumpsets on all moving parts, Tyre coupling (pump-to-motor). Coupling type to be confirmed with Engineer before placement of order.</t>
  </si>
  <si>
    <t>Tyre coupling (pump-to-motor). Coupling type to be confirmed with Engineer before placement of order.</t>
  </si>
  <si>
    <t>Pair</t>
  </si>
  <si>
    <t>Inspect, Diasassemble and Strip Pump</t>
  </si>
  <si>
    <t>Inspect and Reassemble Pump</t>
  </si>
  <si>
    <t>2.2.3</t>
  </si>
  <si>
    <t>New Name Plates</t>
  </si>
  <si>
    <t>2.2.4</t>
  </si>
  <si>
    <t xml:space="preserve">Re-assemble Pump </t>
  </si>
  <si>
    <t>Hour</t>
  </si>
  <si>
    <t>2.2.5</t>
  </si>
  <si>
    <t>Casing Wear Ring Omega : 200-320 x 15</t>
  </si>
  <si>
    <t>2.2.6</t>
  </si>
  <si>
    <t>O-Ring: 60 000 x 400 N-B</t>
  </si>
  <si>
    <t>2.2.7</t>
  </si>
  <si>
    <t xml:space="preserve">Circlip 65 x 2.5 </t>
  </si>
  <si>
    <t>2.2.8</t>
  </si>
  <si>
    <t>Parallel Key: A14 x 6 x 30</t>
  </si>
  <si>
    <t>2.2.9</t>
  </si>
  <si>
    <t>Parallel Key: 20 x 12 x 168</t>
  </si>
  <si>
    <t>2.2.10</t>
  </si>
  <si>
    <t>Parallel Key: 18 x 11 x 149</t>
  </si>
  <si>
    <t>2.2.11</t>
  </si>
  <si>
    <t>SFT Prot Sleeve Omega 70</t>
  </si>
  <si>
    <t>2.2.12</t>
  </si>
  <si>
    <t xml:space="preserve">O-Ring: 75 x 4 NRB </t>
  </si>
  <si>
    <t>2.2.13</t>
  </si>
  <si>
    <t>V-Ring  V-80S</t>
  </si>
  <si>
    <t>2.2.14</t>
  </si>
  <si>
    <t>O-Ring: 250 00 x 500</t>
  </si>
  <si>
    <t>2.2.15</t>
  </si>
  <si>
    <t>Mechanical seal: low maintenance, low wear mechanical cartridge-type, pre-assembled unit, independent of direction of rotation, corrosion resistant, balanced, dynamically-loaded o-ring, carbon graphite/silicon carbide seal face, EPDM secondary seals, Hastelloy springs and CrNiMo steel for metal parts (Burgmann or equivalent). The engineer shall give prior approval before a purchase order is placed.</t>
  </si>
  <si>
    <t>2.2.16</t>
  </si>
  <si>
    <t>Grooved Ball Bearing 6313-2Z</t>
  </si>
  <si>
    <t>2.2.17</t>
  </si>
  <si>
    <t>Shaft Seal Ring</t>
  </si>
  <si>
    <t>2.2.18</t>
  </si>
  <si>
    <t>Shaft Seal Ring 80 x 100 x 10</t>
  </si>
  <si>
    <t>2.2.19</t>
  </si>
  <si>
    <t xml:space="preserve">Locknut KM 9 M45 x 1.5 </t>
  </si>
  <si>
    <t>2.2.20</t>
  </si>
  <si>
    <t>Sleeve 45 x 65 x 33</t>
  </si>
  <si>
    <t>2.2.21</t>
  </si>
  <si>
    <t>Grooved Pin 8 x 22</t>
  </si>
  <si>
    <t>2.2.22</t>
  </si>
  <si>
    <t>Disc Spring B90</t>
  </si>
  <si>
    <t>2.2.23</t>
  </si>
  <si>
    <t>Support Disc S65 x 85</t>
  </si>
  <si>
    <t>2.2.24</t>
  </si>
  <si>
    <t>Lantern Ring Omega</t>
  </si>
  <si>
    <t>2.2.25</t>
  </si>
  <si>
    <t>Neck Ring Omega DL 80</t>
  </si>
  <si>
    <t>2.2.26</t>
  </si>
  <si>
    <t>Ring Case NKT 65/3</t>
  </si>
  <si>
    <t>2.2.27</t>
  </si>
  <si>
    <t>Hexagon Nut M20</t>
  </si>
  <si>
    <t>2.2.28</t>
  </si>
  <si>
    <t>Stud  M 20 x 60</t>
  </si>
  <si>
    <t>2.2.29</t>
  </si>
  <si>
    <t>Sealing Cap VK 100 x 12 - 70</t>
  </si>
  <si>
    <t>2.2.30</t>
  </si>
  <si>
    <t>Bearing Housing Omega DW 70</t>
  </si>
  <si>
    <t>2.2.31</t>
  </si>
  <si>
    <t>Sand Blast</t>
  </si>
  <si>
    <t>2.2.32</t>
  </si>
  <si>
    <t>Machine wear ring landings on impeller</t>
  </si>
  <si>
    <t>2.2.33</t>
  </si>
  <si>
    <t>Check pump impeller diameter and verify that it macthes the expected duty and motor size. Replace or adjust pump impeller.The engineer shall give prior approval before a purchase order is placed.</t>
  </si>
  <si>
    <t>2.2.34</t>
  </si>
  <si>
    <t>Replace nuts and bolts</t>
  </si>
  <si>
    <t>2.2.35</t>
  </si>
  <si>
    <t>Manufacture new wear ring to suite</t>
  </si>
  <si>
    <t>2.2.36</t>
  </si>
  <si>
    <t>Repaint pump casing and bearing end covers, including internal and external FBE coating to 150 μm</t>
  </si>
  <si>
    <t>2.2.37</t>
  </si>
  <si>
    <t>Commission and test pump sets</t>
  </si>
  <si>
    <t>PIPING, VALVES AND FITTINGS (HLPS PHASE 2)</t>
  </si>
  <si>
    <t>SANS 719 Grade C Delivery Steel Pipe for new Pump Set, 350 NB, with a wall thickness of 4.5mm, complete with fittings (VJ  Couplings, crotch plate, welds, flanges, bolts and end caps); with connected to existing  300mm rising main piping manifold.</t>
  </si>
  <si>
    <t>2.3.2</t>
  </si>
  <si>
    <t>SANS 719 Grade C Suction Steel Pipe for new Pump Set, 400 NB, with a wall thickness of 4.5mm, complete with fittings (VJ  Couplings, crotch plate, welds, flanges, bolts and end caps); with connection to new pump.</t>
  </si>
  <si>
    <t>2.3.3</t>
  </si>
  <si>
    <t>Carbon Steel Suction 200 to 400 NB reducer, SANS 719 Grade C, 4.5mm wall thickness ( Pump to Suction Pipe)</t>
  </si>
  <si>
    <t>2.3.4</t>
  </si>
  <si>
    <t>Carbon Steel Delivery 200 to 350 NB reducer, SANS 719 Grade C, 4.5mm wall thickness ( Pump to Delivery Pipe)</t>
  </si>
  <si>
    <t>2.3.5</t>
  </si>
  <si>
    <t>Special Carbon Steel Delivery 350 NB 90⁰ Long bend into a 300 NB Reducer and connection into 300NB manifold, SANS 719 Grade C, 4.5mm wall thickness</t>
  </si>
  <si>
    <t>2.3.6</t>
  </si>
  <si>
    <t>Butterfly valve, double flanged, Delivery side :350 NB, PN25, flanged to SABS 1123. Complete with with gearbox and handle.</t>
  </si>
  <si>
    <t>2.3.7</t>
  </si>
  <si>
    <t>Butterfly valve, double flanged, Delivery side :400 NB, PN10, flanged to SABS 1123. Complete with with gearbox and handle.</t>
  </si>
  <si>
    <t>2.3.8</t>
  </si>
  <si>
    <t>Wafer Non Return Valve, double flanged, on Delivery side :350 NB, PN25, flanged to SABS 1123</t>
  </si>
  <si>
    <t>2.3.9</t>
  </si>
  <si>
    <t>Pump Control Valve, 300NB, at least PN25 (Bermad, CLA-VAL or equivalent) , SABS 1123 flanged, complete with controls</t>
  </si>
  <si>
    <t>2.3.10</t>
  </si>
  <si>
    <t>Air valve, DN80, PN25, Ventomat or equivalent installed on discharge main, complete with air-collector T-piece special and Gate Valve.</t>
  </si>
  <si>
    <t>2.3.11</t>
  </si>
  <si>
    <t>2.3.12</t>
  </si>
  <si>
    <t>Pressure Gauge, Wika (100mm dial and filled with glycerine), mounted on each pump suction side piping, with a range from 0 to 100 kPa</t>
  </si>
  <si>
    <t>2.3.13</t>
  </si>
  <si>
    <t>Flowmeter, electro-magnetic type, 300NB, PN25, as specified Promag 51, or equivalent,  for instantaneous and totalised flow readouts in l/s and kl (LCD), 4-20mA, programmable datalogger, SABS 1123 flanged, complete with pipe reducers.</t>
  </si>
  <si>
    <t>2.3.14</t>
  </si>
  <si>
    <t>Fusion-bonded epoxy, 150μm dry film thickness, internal and externally on pipework, pumps and fittings (new installation)</t>
  </si>
  <si>
    <t>2.3.15</t>
  </si>
  <si>
    <t>2.3.16</t>
  </si>
  <si>
    <t>2.3.17</t>
  </si>
  <si>
    <t>TESTING OF EXISTING AND NEW PUMPS</t>
  </si>
  <si>
    <t>Site system curve verification testing, before pump purchase orders are placed. Off-takes shall be Tested.</t>
  </si>
  <si>
    <t>Item</t>
  </si>
  <si>
    <t>2.4.3</t>
  </si>
  <si>
    <t>Quality Assurance - Implementation of Quality Management Plan, including completed Quality Control (QCP) Plan forms</t>
  </si>
  <si>
    <t>2.4.4</t>
  </si>
  <si>
    <t>Manuals ( 3 sets each all equipment)</t>
  </si>
  <si>
    <t>sum</t>
  </si>
  <si>
    <t>DEWATERING PUMP</t>
  </si>
  <si>
    <t>2.5.1</t>
  </si>
  <si>
    <r>
      <t>Submersible centrifugal pump,complete with integral motor, guide rail, auto-coupling bracket, for sump draining with  duty of 8 m</t>
    </r>
    <r>
      <rPr>
        <vertAlign val="superscript"/>
        <sz val="10"/>
        <rFont val="Arial"/>
        <family val="2"/>
      </rPr>
      <t>3</t>
    </r>
    <r>
      <rPr>
        <sz val="10"/>
        <rFont val="Arial"/>
        <family val="2"/>
      </rPr>
      <t>/h (2.22 l/s) against a head of 9 metres, complete with level sensors and cabling to main MCC in pump station. The pump start and stop automatically based on sump depth Level . Pump duty shall be confirmed with engineer prior to order placement.</t>
    </r>
  </si>
  <si>
    <t>2.5.2</t>
  </si>
  <si>
    <t>Gate Valve 50NB, PN 10</t>
  </si>
  <si>
    <t>2.5.3</t>
  </si>
  <si>
    <t>Swing type non-return valve 50NB, PN10</t>
  </si>
  <si>
    <t>2.5.4</t>
  </si>
  <si>
    <t>uPVC Pipe 50 NB, Sch12 complete with fittings, and connected to  uPVC 50mm manifold</t>
  </si>
  <si>
    <t>Building Works and Maintenance</t>
  </si>
  <si>
    <t>Preparation and painting of floors, including dermacation of areas (walking areas and non-walking areas), as per Eingeer's spec colour-coding requirements</t>
  </si>
  <si>
    <t>Replace Wooden sliding Door 1700 x 3000mm complete with rails, painting and wood treatment, as per Engineer's Colour Coding Requirements.</t>
  </si>
  <si>
    <t>Preparation and painting of all walls, internal and external (Provisional)</t>
  </si>
  <si>
    <t>General HLPS Phase 2 Maintenance (Provisional)</t>
  </si>
  <si>
    <t>Structural and Civil Works on the Building ( Provisional)</t>
  </si>
  <si>
    <t>TOTAL MECHANICAL HLPS PHASE 2 CARRIED TO SUMMARY</t>
  </si>
  <si>
    <t>Supply and install pressure gauge (positioned after pump control or throttling valve), and conduct pipe system curve verification tests to determine actual system curve when pumping to Florida Reservior. The successful bidder shall use the newly installed magnetic flowmeter (which supply and installation are provided for under a separate BoQ item within this project) to do this test. The flow meter shall be mounted on the offtake leg to Florida Reservior, downstream of all valves which may restrict flow, but upstream of the final pipeline isolating valve.  Note: Pump duty ( for new pump) may require adjustment on completion of this system curve verification exercise.</t>
  </si>
  <si>
    <t>REFURBISH HIGH LIFT EXISTING WKLn 150/3  PUMP SETS</t>
  </si>
  <si>
    <t>HIGH LIFT  PUMP STATION  (MECHANICAL)</t>
  </si>
  <si>
    <t>Pressure Gauge, Wika (100mm dial and filled with glycerine), mounted on each pump delivery piping, with a range from 0 to 3500 kPa</t>
  </si>
  <si>
    <r>
      <t xml:space="preserve">New multistage centrifugal pump, with a duty of </t>
    </r>
    <r>
      <rPr>
        <b/>
        <sz val="10"/>
        <rFont val="Arial"/>
        <family val="2"/>
      </rPr>
      <t>417 m</t>
    </r>
    <r>
      <rPr>
        <b/>
        <vertAlign val="superscript"/>
        <sz val="10"/>
        <rFont val="Arial"/>
        <family val="2"/>
      </rPr>
      <t>3</t>
    </r>
    <r>
      <rPr>
        <b/>
        <sz val="10"/>
        <rFont val="Arial"/>
        <family val="2"/>
      </rPr>
      <t>/h (1115.3 l/s)</t>
    </r>
    <r>
      <rPr>
        <sz val="10"/>
        <rFont val="Arial"/>
        <family val="2"/>
      </rPr>
      <t xml:space="preserve"> at a head of </t>
    </r>
    <r>
      <rPr>
        <b/>
        <sz val="10"/>
        <rFont val="Arial"/>
        <family val="2"/>
      </rPr>
      <t xml:space="preserve">228.3 metres </t>
    </r>
    <r>
      <rPr>
        <sz val="10"/>
        <rFont val="Arial"/>
        <family val="2"/>
      </rPr>
      <t xml:space="preserve">and a hydraulic efficiency of at least </t>
    </r>
    <r>
      <rPr>
        <b/>
        <sz val="10"/>
        <rFont val="Arial"/>
        <family val="2"/>
      </rPr>
      <t>80%</t>
    </r>
    <r>
      <rPr>
        <sz val="10"/>
        <rFont val="Arial"/>
        <family val="2"/>
      </rPr>
      <t>, with with Chrome steel shaft; 316 stainless steel impeller; Mechanical seal: low maintenance, low wear mechanical cartridge-type, pre-assembled unit, independent of direction of rotation, corrosion resistant, balanced, dynamically-loaded o-ring, carbon graphite/silicon carbide seal face, EPDM secondary seals, Hastelloy springs and CrNiMo steel for metal parts. The engineer shall give prior approval before a purchase order is placed.</t>
    </r>
  </si>
  <si>
    <r>
      <rPr>
        <b/>
        <sz val="10"/>
        <rFont val="Arial"/>
        <family val="2"/>
      </rPr>
      <t>New Motor</t>
    </r>
    <r>
      <rPr>
        <sz val="10"/>
        <rFont val="Arial"/>
        <family val="2"/>
      </rPr>
      <t xml:space="preserve">, induction, squirrel cage, foot-mounted, </t>
    </r>
    <r>
      <rPr>
        <b/>
        <sz val="10"/>
        <rFont val="Arial"/>
        <family val="2"/>
      </rPr>
      <t>400 kW, 400V, 1450 RPM, IP66</t>
    </r>
  </si>
  <si>
    <r>
      <rPr>
        <b/>
        <sz val="10"/>
        <rFont val="Arial"/>
        <family val="2"/>
      </rPr>
      <t>New Motor</t>
    </r>
    <r>
      <rPr>
        <sz val="10"/>
        <rFont val="Arial"/>
        <family val="2"/>
      </rPr>
      <t xml:space="preserve">, induction, squirrel cage, foot-mounted, </t>
    </r>
    <r>
      <rPr>
        <b/>
        <sz val="10"/>
        <rFont val="Arial"/>
        <family val="2"/>
      </rPr>
      <t>375 kW, 400V, 1450 RPM, IP66</t>
    </r>
  </si>
  <si>
    <t>Control and Instrumentation Works</t>
  </si>
  <si>
    <t>Instrumentation</t>
  </si>
  <si>
    <t>PLCs</t>
  </si>
  <si>
    <t>Instrumentation cabling</t>
  </si>
  <si>
    <t>Lighting protection</t>
  </si>
  <si>
    <t>Kgapane Lighting</t>
  </si>
  <si>
    <t xml:space="preserve">Provide drainage piping and channels to cater for existing and new pumps </t>
  </si>
  <si>
    <t>Preparation of surfaces, fusion-bonded epoxy, 150μm dry film thickness, internal and externally on pipework, pumps and fittings, for existing installations being refurbished.</t>
  </si>
  <si>
    <t>2.7.2</t>
  </si>
  <si>
    <t>2.7.3</t>
  </si>
  <si>
    <t>2.7.4</t>
  </si>
  <si>
    <t>Preparation of a Quality Management Plan and implementation thereof, as aligned with DWS and SANS.</t>
  </si>
  <si>
    <t>Compliance with the Quality Management Plan by an independent accredited specialist consultant</t>
  </si>
  <si>
    <t>Pressure Gauge, Wika (100mm dial and filled with glycerine), mounted on each pump suction side for the new and existing pumps, with a range from 0 to 100 kPa, complete with isolating valve and piping</t>
  </si>
  <si>
    <t xml:space="preserve">Pair </t>
  </si>
  <si>
    <t>Motor 160 kW, 1450 rpm</t>
  </si>
  <si>
    <t>Coupling (pump-to-motor). Coupling type to be confirmed with Engineer before placement of order.</t>
  </si>
  <si>
    <r>
      <t>New multistage pump with a duty of 300 m</t>
    </r>
    <r>
      <rPr>
        <vertAlign val="superscript"/>
        <sz val="10"/>
        <rFont val="Arial"/>
        <family val="2"/>
      </rPr>
      <t>3</t>
    </r>
    <r>
      <rPr>
        <sz val="10"/>
        <rFont val="Arial"/>
        <family val="2"/>
      </rPr>
      <t xml:space="preserve">/h </t>
    </r>
    <r>
      <rPr>
        <sz val="10"/>
        <color rgb="FFFF0000"/>
        <rFont val="Arial"/>
        <family val="2"/>
      </rPr>
      <t xml:space="preserve">(to be confirmed) </t>
    </r>
    <r>
      <rPr>
        <sz val="10"/>
        <rFont val="Arial"/>
        <family val="2"/>
      </rPr>
      <t>at a speed of 1450 rpm, against a head of 137 metres, and hydraulic efficiency of at least 80%, with with Chrome steel shaft; 316 stainless steel impeller; Mechanical seal: low maintenance, low wear mechanical cartridge-type, pre-assembled unit, independent of direction of rotation, corrosion resistant, balanced, dynamically-loaded o-ring, carbon graphite/silicon carbide seal face, EPDM secondary seals, Hastelloy springs and CrNiMo steel for metal parts. The engineer shall give prior approval before a purchase order is placed.</t>
    </r>
  </si>
  <si>
    <t>7.2.1</t>
  </si>
  <si>
    <t>7.2.2</t>
  </si>
  <si>
    <t>7.3.1</t>
  </si>
  <si>
    <t>7.4.1</t>
  </si>
  <si>
    <t>7.4.2</t>
  </si>
  <si>
    <t>7.5.1</t>
  </si>
  <si>
    <t>7.5.2</t>
  </si>
  <si>
    <t>7.6.1</t>
  </si>
  <si>
    <t>7.6.2</t>
  </si>
  <si>
    <t>7.6.3</t>
  </si>
  <si>
    <t>7.7.1</t>
  </si>
  <si>
    <t>7.8.1</t>
  </si>
  <si>
    <t>7.8.2</t>
  </si>
  <si>
    <t>7.8.3</t>
  </si>
  <si>
    <t>7.8.4</t>
  </si>
  <si>
    <t>7.8.5</t>
  </si>
  <si>
    <t>8.2.1</t>
  </si>
  <si>
    <t>8.2.2</t>
  </si>
  <si>
    <t>Phase 2 - Electrical Works</t>
  </si>
  <si>
    <t>Upgrade existing MCC</t>
  </si>
  <si>
    <t>Area lighting, Kgapane</t>
  </si>
  <si>
    <t>Power Cabling in Kgapane pump station</t>
  </si>
  <si>
    <t>Kgapane Lightning Protection</t>
  </si>
  <si>
    <t>9.2.1</t>
  </si>
  <si>
    <t>9.2.2</t>
  </si>
  <si>
    <t>9.2.3</t>
  </si>
  <si>
    <t>9.2.4</t>
  </si>
  <si>
    <t>9.2.5</t>
  </si>
  <si>
    <t>Power Cabling in Panorama pump station</t>
  </si>
  <si>
    <t>Area lighting, Panorama</t>
  </si>
  <si>
    <t>Panorama Lighting</t>
  </si>
  <si>
    <t>Panorama Lightning Protection</t>
  </si>
  <si>
    <t>9.1.1</t>
  </si>
  <si>
    <t>9.1.2</t>
  </si>
  <si>
    <t>9.1.3</t>
  </si>
  <si>
    <t>9.1.4</t>
  </si>
  <si>
    <t>9.1.5</t>
  </si>
  <si>
    <t>9.1.6</t>
  </si>
  <si>
    <t>Panorama Booster</t>
  </si>
  <si>
    <t>Kgapane Booster</t>
  </si>
  <si>
    <t>VSDs for pumps at HLPS (160 each)</t>
  </si>
  <si>
    <t>Phase 2 - Control and Instrumentation Works</t>
  </si>
  <si>
    <t>10.1.1</t>
  </si>
  <si>
    <t>10.1.2</t>
  </si>
  <si>
    <t>10.1.3</t>
  </si>
  <si>
    <t>10.1.4</t>
  </si>
  <si>
    <t>10.2.1</t>
  </si>
  <si>
    <t>10.2.2</t>
  </si>
  <si>
    <t>10.2.3</t>
  </si>
  <si>
    <t>10.2.4</t>
  </si>
  <si>
    <t>7.1.1</t>
  </si>
  <si>
    <t>7.1.2</t>
  </si>
  <si>
    <t>7.1.3</t>
  </si>
  <si>
    <t>7.1.4</t>
  </si>
  <si>
    <t>7.1.5</t>
  </si>
  <si>
    <t>7.1.6</t>
  </si>
  <si>
    <t>7.1.7</t>
  </si>
  <si>
    <t>7.1.8</t>
  </si>
  <si>
    <t>7.1.9</t>
  </si>
  <si>
    <t>7.1.10</t>
  </si>
  <si>
    <t>7.1.11</t>
  </si>
  <si>
    <t>7.1.12</t>
  </si>
  <si>
    <t>7.1.13</t>
  </si>
  <si>
    <t>7.1.14</t>
  </si>
  <si>
    <t>7.1.15</t>
  </si>
  <si>
    <t>7.1.16</t>
  </si>
  <si>
    <t>Site acceptance testing on Three new pumps (contractor to supply all necessary equipment for testing)</t>
  </si>
  <si>
    <t>PIPING, VALVES AND FITTINGS (HLPS)</t>
  </si>
  <si>
    <t>Supply, delivery, installation, testing and commissioning of pumps, pipework, fittings, bends, elbows, reducers and other listed installations, complete with flanges, gaskets, bolts, nuts and washers, All Flanges to be SANS 1123. Refer to Pipe schedule in the drawings book.</t>
  </si>
  <si>
    <t>PUMP PROTECTION</t>
  </si>
  <si>
    <t>Vibration probe for the DE and NDE bearings, which shall be used for pump protection</t>
  </si>
  <si>
    <r>
      <t>Painting of Floors, including dermacation of areas (walking areas and non-walking areas) floor area of 250m</t>
    </r>
    <r>
      <rPr>
        <sz val="10"/>
        <rFont val="Calibri"/>
        <family val="2"/>
      </rPr>
      <t>²</t>
    </r>
    <r>
      <rPr>
        <sz val="12.5"/>
        <rFont val="Arial"/>
        <family val="2"/>
      </rPr>
      <t xml:space="preserve"> </t>
    </r>
  </si>
  <si>
    <t>uPVC Pipe 40 NB, Sch20 complete with fittings, and connected to  uPVC 50mm manifold</t>
  </si>
  <si>
    <t>Pressure Gauge, Wika (100mm dial and filled with glycerine), mounted on each pump delivery piping, for the new and existing pumps, with a range from 0 to 2500 kPa, complete with isolating valve and piping</t>
  </si>
  <si>
    <t>PUMPS SETS</t>
  </si>
  <si>
    <t>CATHODIC ISOLATION</t>
  </si>
  <si>
    <t>CORROSION PROTECTION</t>
  </si>
  <si>
    <t>Extractor Fan for pump station ventilation, including inlet louvres. 650l/s at 120Pa, complete with wiring to MCC.</t>
  </si>
  <si>
    <t>CIVIL WORKS</t>
  </si>
  <si>
    <t>QUALITY ASSURANCE</t>
  </si>
  <si>
    <t>PAINTING OF FLOORS</t>
  </si>
  <si>
    <r>
      <t>Reinforced concrete Plinth for the the new pumps, at 30MPa with a Volume of 5m</t>
    </r>
    <r>
      <rPr>
        <sz val="10"/>
        <rFont val="Calibri"/>
        <family val="2"/>
      </rPr>
      <t xml:space="preserve">³ each. </t>
    </r>
  </si>
  <si>
    <r>
      <t>Submersible centrifugal pump,complete with integral motor, guide rail, auto-coupling bracket, for sump draining with  duty of 8 m</t>
    </r>
    <r>
      <rPr>
        <vertAlign val="superscript"/>
        <sz val="10"/>
        <color theme="1"/>
        <rFont val="Arial"/>
        <family val="2"/>
      </rPr>
      <t>3</t>
    </r>
    <r>
      <rPr>
        <sz val="10"/>
        <color theme="1"/>
        <rFont val="Arial"/>
        <family val="2"/>
      </rPr>
      <t>/h (2.22 l/s) against a head of 7 metres, complete with level sensors and cabling to main MCC in pump station. The pump start and stop automatically based on sump depth Level .</t>
    </r>
    <r>
      <rPr>
        <b/>
        <sz val="10"/>
        <color theme="1"/>
        <rFont val="Arial"/>
        <family val="2"/>
      </rPr>
      <t xml:space="preserve"> Pump duty shall be confirmed with engineer prior to order placement.</t>
    </r>
  </si>
  <si>
    <r>
      <t xml:space="preserve">Pump Control Valve </t>
    </r>
    <r>
      <rPr>
        <b/>
        <sz val="10"/>
        <rFont val="Arial"/>
        <family val="2"/>
      </rPr>
      <t>350NB,</t>
    </r>
    <r>
      <rPr>
        <sz val="10"/>
        <rFont val="Arial"/>
        <family val="2"/>
      </rPr>
      <t xml:space="preserve"> at least </t>
    </r>
    <r>
      <rPr>
        <b/>
        <sz val="10"/>
        <rFont val="Arial"/>
        <family val="2"/>
      </rPr>
      <t>PN25</t>
    </r>
    <r>
      <rPr>
        <sz val="10"/>
        <rFont val="Arial"/>
        <family val="2"/>
      </rPr>
      <t xml:space="preserve"> (Bermad, CLA-VAL or equivalent), complete with surge ancipation capability. Excess water during surges shall be piped back to forebay. </t>
    </r>
  </si>
  <si>
    <t>PAYMENT</t>
  </si>
  <si>
    <t xml:space="preserve">RATE </t>
  </si>
  <si>
    <t>SANS 1200A</t>
  </si>
  <si>
    <t>SECTION A: PRELIMINARY AND GENERAL</t>
  </si>
  <si>
    <t>FIXED-CHARGE AND VALUE RELATED ITEMS</t>
  </si>
  <si>
    <t>1.1.1</t>
  </si>
  <si>
    <t>PSA 8.3.1</t>
  </si>
  <si>
    <t>Contractual Requirements</t>
  </si>
  <si>
    <t>1.1.1.1</t>
  </si>
  <si>
    <t>PSA 8.3.1.1</t>
  </si>
  <si>
    <t>Fixed preliminary and general charges</t>
  </si>
  <si>
    <t>1.1.1.2</t>
  </si>
  <si>
    <t>PSA 8.3.1.2</t>
  </si>
  <si>
    <t>Value related preliminary and general charges</t>
  </si>
  <si>
    <t>1.1.2</t>
  </si>
  <si>
    <t>PSA 8.3.2</t>
  </si>
  <si>
    <t>Establishment of Facilities on the Site</t>
  </si>
  <si>
    <t>1.1.2.1</t>
  </si>
  <si>
    <t>PSA 8.3.2.1</t>
  </si>
  <si>
    <t>Facilities for Engineer</t>
  </si>
  <si>
    <t>PC Sum</t>
  </si>
  <si>
    <t>c)     Nameboard (1No)</t>
  </si>
  <si>
    <t>1.1.2.2</t>
  </si>
  <si>
    <t>8.3.2.2</t>
  </si>
  <si>
    <t>Facilities for Contractor</t>
  </si>
  <si>
    <t>a)     Offices and storage sheds</t>
  </si>
  <si>
    <t>Months</t>
  </si>
  <si>
    <t>c)     Living accommodation</t>
  </si>
  <si>
    <t>d)     Workshops</t>
  </si>
  <si>
    <t>e)     Ablution and latrine facilities</t>
  </si>
  <si>
    <t>f)     Tools and equipment</t>
  </si>
  <si>
    <t>g)     Water supplies, electrical power and telecommunication</t>
  </si>
  <si>
    <t>h)      Dealing with water</t>
  </si>
  <si>
    <t>i)     Access and Security</t>
  </si>
  <si>
    <t xml:space="preserve"> j)     Plant</t>
  </si>
  <si>
    <t>1.1.3</t>
  </si>
  <si>
    <t>8.3.3</t>
  </si>
  <si>
    <t>Other fixed-charge obligations</t>
  </si>
  <si>
    <t>1.1.4</t>
  </si>
  <si>
    <t>8.3.4</t>
  </si>
  <si>
    <t>Removal of Site establishment</t>
  </si>
  <si>
    <t>TIME RELATED ITEMS</t>
  </si>
  <si>
    <t>1.2.1</t>
  </si>
  <si>
    <t>8.4.1</t>
  </si>
  <si>
    <t>PMT</t>
  </si>
  <si>
    <t>QUANTITY</t>
  </si>
  <si>
    <t>8.4.3</t>
  </si>
  <si>
    <t>Supervision for duration of construction</t>
  </si>
  <si>
    <t>1.2.4</t>
  </si>
  <si>
    <t>8.4.4</t>
  </si>
  <si>
    <t>Company and Head Office overhead costs for the duration of the contract</t>
  </si>
  <si>
    <t>8.4.5</t>
  </si>
  <si>
    <t>PSA 8.5</t>
  </si>
  <si>
    <t>SUMS STATED PROVISIONALLY BY THE ENGINEER</t>
  </si>
  <si>
    <t>1.3.1</t>
  </si>
  <si>
    <t>Prov Sum</t>
  </si>
  <si>
    <t xml:space="preserve">b)     Overhead, charges and profit on 1.3.1(a) </t>
  </si>
  <si>
    <t>%</t>
  </si>
  <si>
    <t>c)     Independent testing of material and equipment</t>
  </si>
  <si>
    <t>d)     Overhead, charges and profit on item 1.3.1(c)</t>
  </si>
  <si>
    <t>e)     Community Liaison Officer</t>
  </si>
  <si>
    <t>f)     Overhead, charges and profit on item 1.3.1(e)</t>
  </si>
  <si>
    <t>DAY WORK</t>
  </si>
  <si>
    <t>1.4.1</t>
  </si>
  <si>
    <t>Labourers</t>
  </si>
  <si>
    <t>(a)   Unskilled</t>
  </si>
  <si>
    <t>hour</t>
  </si>
  <si>
    <t>(b)   Semi-skilled</t>
  </si>
  <si>
    <t>(c)   Skilled</t>
  </si>
  <si>
    <t>1.4.2</t>
  </si>
  <si>
    <t>Plant</t>
  </si>
  <si>
    <t>(a) Tipper trucks</t>
  </si>
  <si>
    <t>(i)   3 - 5 ton</t>
  </si>
  <si>
    <t>(ii)   5.1 - 10 ton</t>
  </si>
  <si>
    <t>(c) Walk behind roller (Bomag BW90)</t>
  </si>
  <si>
    <r>
      <t>(d) Air compressor, 4m</t>
    </r>
    <r>
      <rPr>
        <vertAlign val="superscript"/>
        <sz val="10"/>
        <rFont val="Arial"/>
        <family val="2"/>
      </rPr>
      <t>3</t>
    </r>
    <r>
      <rPr>
        <sz val="10"/>
        <rFont val="Arial"/>
        <family val="2"/>
      </rPr>
      <t>/min, complete with drills</t>
    </r>
  </si>
  <si>
    <r>
      <t>(f) Concrete mixer (0.3m</t>
    </r>
    <r>
      <rPr>
        <vertAlign val="superscript"/>
        <sz val="10"/>
        <rFont val="Arial"/>
        <family val="2"/>
      </rPr>
      <t>3</t>
    </r>
    <r>
      <rPr>
        <sz val="10"/>
        <rFont val="Arial"/>
        <family val="2"/>
      </rPr>
      <t>)</t>
    </r>
  </si>
  <si>
    <t>(i) Watercart, 5000l</t>
  </si>
  <si>
    <t>SECTION A</t>
  </si>
  <si>
    <t>SECTION 1</t>
  </si>
  <si>
    <t>PRELIMINARY AND GENERAL</t>
  </si>
  <si>
    <t>SECTION 2</t>
  </si>
  <si>
    <t>SECTION 3</t>
  </si>
  <si>
    <t>SECTION 4</t>
  </si>
  <si>
    <t>SUB TOTAL 1</t>
  </si>
  <si>
    <t>SUB TOTAL 2</t>
  </si>
  <si>
    <t>TENDER SUM (incl VAT)</t>
  </si>
  <si>
    <t>Pump set base plate</t>
  </si>
  <si>
    <r>
      <t xml:space="preserve">Wedge Gate valve metal seated and non-rising stem, </t>
    </r>
    <r>
      <rPr>
        <b/>
        <sz val="10"/>
        <color theme="1"/>
        <rFont val="Arial"/>
        <family val="2"/>
      </rPr>
      <t>Suction</t>
    </r>
    <r>
      <rPr>
        <sz val="10"/>
        <color theme="1"/>
        <rFont val="Arial"/>
        <family val="2"/>
      </rPr>
      <t xml:space="preserve"> side : </t>
    </r>
    <r>
      <rPr>
        <b/>
        <sz val="10"/>
        <color theme="1"/>
        <rFont val="Arial"/>
        <family val="2"/>
      </rPr>
      <t>350 NB, PN10</t>
    </r>
    <r>
      <rPr>
        <sz val="10"/>
        <color theme="1"/>
        <rFont val="Arial"/>
        <family val="2"/>
      </rPr>
      <t>, flanged to SABS 1123</t>
    </r>
  </si>
  <si>
    <t>No</t>
  </si>
  <si>
    <t>each</t>
  </si>
  <si>
    <t>HLPS - Integration of new instruments into the Existing PLC &amp; SCADA configuration</t>
  </si>
  <si>
    <t>New Package Plant - Integration of INVT PLC to the existing SCADA</t>
  </si>
  <si>
    <t>hours</t>
  </si>
  <si>
    <t>Hardware &amp; cabling (Instruments measure elsewhere)</t>
  </si>
  <si>
    <t>Lot</t>
  </si>
  <si>
    <t xml:space="preserve">UPS (10kVA single phase, 230V-230V) </t>
  </si>
  <si>
    <t>Allowance for testing and comissioning</t>
  </si>
  <si>
    <t>Training and Manuals to the staff</t>
  </si>
  <si>
    <t>3,2,1</t>
  </si>
  <si>
    <t>3,2,2</t>
  </si>
  <si>
    <t>3,2,3</t>
  </si>
  <si>
    <t>3,4,1</t>
  </si>
  <si>
    <t>3,4,2</t>
  </si>
  <si>
    <t>2.5.5</t>
  </si>
  <si>
    <t>Online pump efficiency measurement and remote monitoring  (Provisional)</t>
  </si>
  <si>
    <t>Supply and install an electronic pressure gauge (positioned after pump control or throttling valve), and conduct pipe system curve verification tests to determine actual system curve when pumping into the system. The successful bidder shall use a portable ultrasonic flowmeter to do this test. The pressure gauge  shall be mounted in the valve chamber, downstream of all valves which may restrict flow, but upstream of the final pipeline isolating valve.  Note: Pump duty ( for new pumps) may require adjustment on completion of this system curve verification exercise.</t>
  </si>
  <si>
    <r>
      <t xml:space="preserve">Flowmeter, Electro magnetic flow type, </t>
    </r>
    <r>
      <rPr>
        <b/>
        <sz val="10"/>
        <rFont val="Arial"/>
        <family val="2"/>
      </rPr>
      <t>DN350</t>
    </r>
    <r>
      <rPr>
        <sz val="10"/>
        <rFont val="Arial"/>
        <family val="2"/>
      </rPr>
      <t xml:space="preserve">, </t>
    </r>
    <r>
      <rPr>
        <b/>
        <sz val="10"/>
        <rFont val="Arial"/>
        <family val="2"/>
      </rPr>
      <t>PN 25</t>
    </r>
    <r>
      <rPr>
        <sz val="10"/>
        <rFont val="Arial"/>
        <family val="2"/>
      </rPr>
      <t>, Promag 51, or equivalent,  for instantaneous and totalised flow readouts in l/s and kl (LCD), 4-20mA, programmable datalogger, SABS 1123 flanged, stainless steel electrodes, 240 VAC, complete with pipe reducers</t>
    </r>
  </si>
  <si>
    <t>New Electromechanical Valve actuator with an multiturn actuator Rotork or equivalent, and as specified, to drive a 350NB Non-Rising Stem Gate valves Suction Side with sufficent torque limits.  The Engineer shall give approval before a purchase order is placed.</t>
  </si>
  <si>
    <t>(h) Laser Alignment Equipment for Motor and Pump</t>
  </si>
  <si>
    <t xml:space="preserve">(g) LVD 4 x 4 </t>
  </si>
  <si>
    <t>km</t>
  </si>
  <si>
    <t>a)     Training, O&amp;M manuals and Perfomance Certificates</t>
  </si>
  <si>
    <t>Pipe Supports as per the Drawing</t>
  </si>
  <si>
    <r>
      <t xml:space="preserve">Wedge Gate valve metal seated and non-rising stem, </t>
    </r>
    <r>
      <rPr>
        <b/>
        <sz val="10"/>
        <color theme="1"/>
        <rFont val="Arial"/>
        <family val="2"/>
      </rPr>
      <t>Delivery</t>
    </r>
    <r>
      <rPr>
        <sz val="10"/>
        <color theme="1"/>
        <rFont val="Arial"/>
        <family val="2"/>
      </rPr>
      <t xml:space="preserve"> side : </t>
    </r>
    <r>
      <rPr>
        <b/>
        <sz val="10"/>
        <color theme="1"/>
        <rFont val="Arial"/>
        <family val="2"/>
      </rPr>
      <t>300 NB, PN25</t>
    </r>
    <r>
      <rPr>
        <sz val="10"/>
        <color theme="1"/>
        <rFont val="Arial"/>
        <family val="2"/>
      </rPr>
      <t>, flanged to SABS 1123</t>
    </r>
  </si>
  <si>
    <r>
      <t>Non-return valve,</t>
    </r>
    <r>
      <rPr>
        <b/>
        <sz val="10"/>
        <rFont val="Arial"/>
        <family val="2"/>
      </rPr>
      <t xml:space="preserve"> 300 NB, PN25,</t>
    </r>
    <r>
      <rPr>
        <sz val="10"/>
        <rFont val="Arial"/>
        <family val="2"/>
      </rPr>
      <t xml:space="preserve"> tilted disc type with an operating stroke of not more than 40°, flanged to SABS 1123</t>
    </r>
  </si>
  <si>
    <t>New Electromechanical Valve actuator with an multiturn actuator Rotork or equivalent, and as specified, to drive a 300NB Non-Rising Stem Gate valves Delivery Side with sufficent torque limits.  The Engineer shall give approval before a purchase order is placed.</t>
  </si>
  <si>
    <t xml:space="preserve"> Prov Sum</t>
  </si>
  <si>
    <t>Delivery pipe, Carbon Steel SANS 719, Grade C, 300 NB, with a wall thickness of 6mm, complete with specials, flanges, fittings and VJ coupling, crotch plate, FBE to 150 microns, and painting, complete with fittings (Pipe Reducers and bends) connecting into main delivery manifold.</t>
  </si>
  <si>
    <t>Pressure Switch with alarm contacts, WIKA or equivalent switch with minimum and maximum pressure limits as per the pump head complete with wiring to the MCC.</t>
  </si>
  <si>
    <t xml:space="preserve">Delivery pipe manifold, Carbon Steel SANS 719, Grade C, 350 NB, with a wall thickness of 6mm, complete with specials, flanges, fittings and VJ coupling, crotch plate, FBE to 150 microns, and painting, complete with fittings (Pipe Reducers and bends) and preparation to connect with 450NB rising-main pipe. </t>
  </si>
  <si>
    <t>REF</t>
  </si>
  <si>
    <t>TOTAL</t>
  </si>
  <si>
    <t>Block Paving</t>
  </si>
  <si>
    <t>The descriptions of soils fill and compaction shall 
include all necessary testing required in accordance with the SANS 1200 series.
Precast concrete block road surfacing
paving shall be laid in accordance with SABS 1200 MJ, SANS 1058 and the Concrete Masonry Association's specifications.
Paving shall be laid to herringbone pattern on 25mm thick (thickness after final compaction) clean river sand (preparation of ground or filling elsewhere)
Clean sand shall be swept into joints between roadstones upon completion</t>
  </si>
  <si>
    <r>
      <t>m</t>
    </r>
    <r>
      <rPr>
        <vertAlign val="superscript"/>
        <sz val="10"/>
        <rFont val="Arial"/>
        <family val="2"/>
      </rPr>
      <t>2</t>
    </r>
  </si>
  <si>
    <t>Compaction of ground surface under pavings, etc including scarifying for a depth of 150mm, breaking down oversize material, adding suitable material where necessary and compacted to 93% modified AASHTO density.</t>
  </si>
  <si>
    <t>Import natural gravel material G5 / G6 material supplied by the contractor and brought onto site, from commercial sources, in filling under paving, etc compacted in layers not exceeding 150mm thick to 95% modified AASHTO density</t>
  </si>
  <si>
    <r>
      <t>m</t>
    </r>
    <r>
      <rPr>
        <vertAlign val="superscript"/>
        <sz val="10"/>
        <rFont val="Arial"/>
        <family val="2"/>
      </rPr>
      <t>3</t>
    </r>
  </si>
  <si>
    <t>Base layer from filling of C4 material in accordance with SABS 1200 DM, compacted to 98% Mod AASHTO density. Including working of material and supplying  CEM II 32.5MPa  Portland cement.</t>
  </si>
  <si>
    <t>25mm thick compacted clean, dry, river sand layer treated with an approved weed killer at the rate of 50 grams per square metre, spread and levelled to receive paving blocks</t>
  </si>
  <si>
    <t>Test to determine the degree of compaction, material quality, etc of ground or filling.</t>
  </si>
  <si>
    <t>Supply and install 80mm thick 35MPa precast concrete Interlocking concrete paving blocks in accordance with SANS Specification 1058 and laid to falls on compacted sand layer (measured elsewhere) with joints filled with sand and vibrated, including all straight cutting.</t>
  </si>
  <si>
    <t>Mountable kerbing to SABS 927 Fig.3 in 1m lengths with 10mm wide butt joints filled in with (1:3) cement/sand mortar and pointed with grooved half round joints and 10mm wideopen butt joints at 3m centres including 15MPa/19mm mass concrete bedding size 30mm thick x 400mm wide and 20MPa/19mm mass concrete hunching size 112.5mm long x 112.5mm high x 85mm thick at joints and backfilling t back of kerbs, topsoiled and levelled to adjacent surfaces.</t>
  </si>
  <si>
    <t>25MPa Concrete edge beam</t>
  </si>
  <si>
    <t>Site Clearance - Digging up and removing rubbish, debris, vegetation, hedges, shrubs and trees not exceeding 200mm girth, bush, measured over area to be excavated.</t>
  </si>
  <si>
    <r>
      <t>(b) Loader (0.5m</t>
    </r>
    <r>
      <rPr>
        <vertAlign val="superscript"/>
        <sz val="10"/>
        <rFont val="Arial"/>
        <family val="2"/>
      </rPr>
      <t>3</t>
    </r>
    <r>
      <rPr>
        <sz val="10"/>
        <rFont val="Arial"/>
        <family val="2"/>
      </rPr>
      <t xml:space="preserve"> bucket)</t>
    </r>
  </si>
  <si>
    <t>SECTION 5</t>
  </si>
  <si>
    <t xml:space="preserve">Suction pipe, Carbon Steel SANS 719, Grade C, 350 NB, with a wall thickness of 6mm, complete with specials, flanges, puddle flanges, fittings and VJ coupling, crotch plate, FBE to 150 microns, and painting, complete with fittings (Pipe Reducers and bends) and suction bellmouth (with baffles), and installed into forebay. </t>
  </si>
  <si>
    <t>2.9.1</t>
  </si>
  <si>
    <t>WATER RECOVERY PUMPS</t>
  </si>
  <si>
    <t>2.9.2</t>
  </si>
  <si>
    <t>Piping within sump, valves, specials, non-return valves, pipe supports, corrosion protection</t>
  </si>
  <si>
    <t>110NB uPVC pipe from sump to head of works, complete with excavation bedding, backfilling, pipe markers</t>
  </si>
  <si>
    <t>2.9.3</t>
  </si>
  <si>
    <t>2.10.1</t>
  </si>
  <si>
    <t>2.11.1</t>
  </si>
  <si>
    <t>Backfeed pump sets (pump and motor systems), one duty and one standby, to boost along existing line from Florida to consumers, each with a duty of 40 litres per second against a head of 41 metres</t>
  </si>
  <si>
    <t>Submersible set (pump and motor systems) for sludge emptying pumps from sludge recovery sump to sludge lagoon of works, one duty and one standby</t>
  </si>
  <si>
    <t>Submersible pump set (pump and motor systems) for water recovery from sludge ponds to head of works, one duty and one standby, each with a capacity of 9.15 l/s at a head of 19 metres</t>
  </si>
  <si>
    <t>Pump house</t>
  </si>
  <si>
    <t>SLUDGE EMPTYING PUMPS</t>
  </si>
  <si>
    <t>BACKFEED PUMPS</t>
  </si>
  <si>
    <t>Machine guards for the pumpsets on all moving parts, especially on Tyre coupling between pump and motor</t>
  </si>
  <si>
    <t>Modification of clearwell wall to accommodate bigger suction pipes, complete with 30 MPa concrete and reinforcement.</t>
  </si>
  <si>
    <t>Tyre coupling or similar (pump-to-motor). Coupling type to be confirmed with Engineer before placement of order.</t>
  </si>
  <si>
    <r>
      <t xml:space="preserve">Motor 400V, 4-pole, IP 66 </t>
    </r>
    <r>
      <rPr>
        <b/>
        <sz val="10"/>
        <color theme="1"/>
        <rFont val="Arial"/>
        <family val="2"/>
      </rPr>
      <t>500 kW</t>
    </r>
    <r>
      <rPr>
        <sz val="10"/>
        <color theme="1"/>
        <rFont val="Arial"/>
        <family val="2"/>
      </rPr>
      <t xml:space="preserve"> at 1450 rpm; with Class H Bearing and Temperature Insulation, Temperature rise upto 125K; minimum20:1 turn down ratio; dv/dt wtihstand peak voltage 1600 V at 1 milli-second rise; improved bearing lubrication and insurlated bearings; PT 100 for winding temperature measurement.</t>
    </r>
    <r>
      <rPr>
        <b/>
        <sz val="10"/>
        <color theme="1"/>
        <rFont val="Arial"/>
        <family val="2"/>
      </rPr>
      <t xml:space="preserve"> The engineer shall give prior approval before a purchase order is placed.</t>
    </r>
  </si>
  <si>
    <t>NSIKAZI PUMP STATION - HIGH LIFT PUMP STATION</t>
  </si>
  <si>
    <r>
      <t xml:space="preserve">New multistage pump with a duty of </t>
    </r>
    <r>
      <rPr>
        <b/>
        <sz val="10"/>
        <rFont val="Arial"/>
        <family val="2"/>
      </rPr>
      <t>416,78 m</t>
    </r>
    <r>
      <rPr>
        <b/>
        <vertAlign val="superscript"/>
        <sz val="10"/>
        <rFont val="Arial"/>
        <family val="2"/>
      </rPr>
      <t>3</t>
    </r>
    <r>
      <rPr>
        <b/>
        <sz val="10"/>
        <rFont val="Arial"/>
        <family val="2"/>
      </rPr>
      <t>/h (115.75 l/s)</t>
    </r>
    <r>
      <rPr>
        <sz val="10"/>
        <rFont val="Arial"/>
        <family val="2"/>
      </rPr>
      <t xml:space="preserve"> at a speed of 1450 rpm, against a head of </t>
    </r>
    <r>
      <rPr>
        <b/>
        <sz val="10"/>
        <rFont val="Arial"/>
        <family val="2"/>
      </rPr>
      <t>286</t>
    </r>
    <r>
      <rPr>
        <b/>
        <sz val="10"/>
        <color theme="1"/>
        <rFont val="Arial"/>
        <family val="2"/>
      </rPr>
      <t xml:space="preserve"> metres</t>
    </r>
    <r>
      <rPr>
        <sz val="10"/>
        <rFont val="Arial"/>
        <family val="2"/>
      </rPr>
      <t xml:space="preserve">, and hydraulic efficiency of at least </t>
    </r>
    <r>
      <rPr>
        <b/>
        <sz val="10"/>
        <rFont val="Arial"/>
        <family val="2"/>
      </rPr>
      <t>81%</t>
    </r>
    <r>
      <rPr>
        <sz val="10"/>
        <rFont val="Arial"/>
        <family val="2"/>
      </rPr>
      <t>, with with Chrome steel shaft; AISI 316Ti duplex stainless steel impellers; Mechanical seal: low maintenance, low wear mechanical cartridge-type, pre-assembled unit, independent of direction of rotation, corrosion resistant, balanced, dynamically-loaded o-ring, carbon graphite/silicon carbide seal face, EPDM secondary seals, Hastelloy springs and CrNiMo steel for metal parts.</t>
    </r>
    <r>
      <rPr>
        <b/>
        <sz val="10"/>
        <rFont val="Arial"/>
        <family val="2"/>
      </rPr>
      <t xml:space="preserve"> The engineer shall give prior approval before a purchase order is placed.</t>
    </r>
  </si>
  <si>
    <t>2,1,2</t>
  </si>
  <si>
    <t>2,1,3</t>
  </si>
  <si>
    <t>2,2,2</t>
  </si>
  <si>
    <t>2,3,1</t>
  </si>
  <si>
    <t>2,3,2</t>
  </si>
  <si>
    <t>2,3,3</t>
  </si>
  <si>
    <t>2,4,1</t>
  </si>
  <si>
    <t>2,4,2</t>
  </si>
  <si>
    <t>2,5,1</t>
  </si>
  <si>
    <t>2,5,2</t>
  </si>
  <si>
    <t>2,3,4</t>
  </si>
  <si>
    <t>1,1,5</t>
  </si>
  <si>
    <t>Removal of Rubble and Waste from Site</t>
  </si>
  <si>
    <t>1.2.5</t>
  </si>
  <si>
    <t>1.2.6</t>
  </si>
  <si>
    <t>SECTION 6</t>
  </si>
  <si>
    <t>3,1,1</t>
  </si>
  <si>
    <t>3,1,2</t>
  </si>
  <si>
    <t>3,1,3</t>
  </si>
  <si>
    <t>3,1,4</t>
  </si>
  <si>
    <t>3,1,5</t>
  </si>
  <si>
    <t>Sum</t>
    <phoneticPr fontId="0" type="noConversion"/>
  </si>
  <si>
    <t>3,4,3</t>
  </si>
  <si>
    <t>SECTION 7</t>
  </si>
  <si>
    <t>5,1,1</t>
  </si>
  <si>
    <t>5,1,2</t>
  </si>
  <si>
    <t>5,1,3</t>
  </si>
  <si>
    <t>110mm uPVC end caps for laterals</t>
  </si>
  <si>
    <t>Concrete for encasing of laterals</t>
  </si>
  <si>
    <t xml:space="preserve">Concrete structure (for supply and egress of backwash water, and for routing of filtered water), as per drawings, and erected along the centre channel of each filter </t>
  </si>
  <si>
    <t>Reinforcing steel mat (Y12 grid at 180mm centre to centre), complete with supporting starter bars at appropriate centres</t>
  </si>
  <si>
    <t>tonne</t>
  </si>
  <si>
    <t>Threaded saddles (suitable for 110 dia laterals and nozzles, complete with accessories, and solvent-welded to laterals). Type of nozzles shall be confirmed with the Engineer before placement of  order.</t>
  </si>
  <si>
    <t>Folded angles and jacking screws</t>
  </si>
  <si>
    <t>Stainless steel anchors</t>
  </si>
  <si>
    <t xml:space="preserve">150mm deep (after backwash and commissioning) gravel bed, of grain size 2 to 2.7mm </t>
  </si>
  <si>
    <t>100mm  deep (after backwash and commissioning) grit layer, of grain size 2.4 to 4.8mm</t>
  </si>
  <si>
    <t>750mm deep  (after backwash and commissioning) silica sand layer of grain size 0.6 to 1.18mm dia</t>
  </si>
  <si>
    <t>Filter bed depth (silica)</t>
  </si>
  <si>
    <t>Filter bed depth (grit)</t>
  </si>
  <si>
    <t>Filter bed depth (gravel)</t>
  </si>
  <si>
    <t>Number of filters</t>
  </si>
  <si>
    <t>Density of grit (assumed)</t>
  </si>
  <si>
    <t>Density of gravel (assumed)</t>
  </si>
  <si>
    <t>Width of filter bed (along filter gallery)</t>
  </si>
  <si>
    <t>Length of filter bed (transverse to filter gallery)</t>
  </si>
  <si>
    <t>Filter bed area (all filters)</t>
  </si>
  <si>
    <t>Number of laterals for all filters (full width)</t>
  </si>
  <si>
    <t>5,2,1</t>
  </si>
  <si>
    <t>110 mm diameter class 9 uPVC lateral piping, cut to required lengths</t>
    <phoneticPr fontId="0" type="noConversion"/>
  </si>
  <si>
    <t>No.</t>
    <phoneticPr fontId="0" type="noConversion"/>
  </si>
  <si>
    <t>Supply and deliver UV-blocked polypropylene filter nozzles, fitted with air holes. Each nozzle to provide a flow that will meet the backwash flow requirement of 27 m/h at operating conditions. Filter nozzles shall be approved by Lepelle Northern Water and Engineer, prior to finalisation fo design work by Contractor</t>
  </si>
  <si>
    <t>Set</t>
    <phoneticPr fontId="0" type="noConversion"/>
  </si>
  <si>
    <t>kg/m3</t>
  </si>
  <si>
    <t>m2</t>
  </si>
  <si>
    <t>5,3,1</t>
  </si>
  <si>
    <t>5,3,2</t>
  </si>
  <si>
    <t>5,3,3</t>
  </si>
  <si>
    <t>5,3,4</t>
  </si>
  <si>
    <t>SECTION 8</t>
  </si>
  <si>
    <t>6,1,1</t>
  </si>
  <si>
    <t>6,2,1</t>
  </si>
  <si>
    <t>6,2,2</t>
  </si>
  <si>
    <t>6,3,1</t>
  </si>
  <si>
    <t>6,4,1</t>
  </si>
  <si>
    <r>
      <t>m</t>
    </r>
    <r>
      <rPr>
        <vertAlign val="superscript"/>
        <sz val="10"/>
        <color theme="0"/>
        <rFont val="Helvetica Neue"/>
        <family val="2"/>
      </rPr>
      <t>3</t>
    </r>
  </si>
  <si>
    <r>
      <t>m</t>
    </r>
    <r>
      <rPr>
        <vertAlign val="superscript"/>
        <sz val="10"/>
        <color theme="0"/>
        <rFont val="Arial"/>
        <family val="2"/>
      </rPr>
      <t>3</t>
    </r>
  </si>
  <si>
    <t>8,1,1</t>
  </si>
  <si>
    <t>8,1,2</t>
  </si>
  <si>
    <t>8,1,3</t>
  </si>
  <si>
    <t>8,1,4</t>
  </si>
  <si>
    <t>8,2,1</t>
  </si>
  <si>
    <t>8,3,1</t>
  </si>
  <si>
    <t>PSX13</t>
  </si>
  <si>
    <t>PSX13.2</t>
  </si>
  <si>
    <t>7,1,1</t>
  </si>
  <si>
    <t>7,1,2</t>
  </si>
  <si>
    <t>7,1,3</t>
  </si>
  <si>
    <t>7,1,4</t>
  </si>
  <si>
    <t>7,1,6</t>
  </si>
  <si>
    <t>7,2,1</t>
  </si>
  <si>
    <t>7,3,1</t>
  </si>
  <si>
    <t>7,3,2</t>
  </si>
  <si>
    <t>Project All Risk Insurance for the Duration of the Contract</t>
  </si>
  <si>
    <t>INLET WORKS</t>
  </si>
  <si>
    <t>BLOWER SYSTEM</t>
  </si>
  <si>
    <t>CLARIFIERS</t>
  </si>
  <si>
    <t>SLUDGE DEWATERING SYSTEM</t>
  </si>
  <si>
    <t>DISINFECTION FACILITY</t>
  </si>
  <si>
    <t>ELECTRICAL WORKS</t>
  </si>
  <si>
    <t>OPERATIONS AND MAINTENANCE</t>
  </si>
  <si>
    <t xml:space="preserve">15% VAT </t>
  </si>
  <si>
    <t>SECTION 9</t>
  </si>
  <si>
    <t>SECTION 10</t>
  </si>
  <si>
    <t>SECTION 11</t>
  </si>
  <si>
    <t>(j) Lifting Crane - 5000kg</t>
  </si>
  <si>
    <r>
      <rPr>
        <b/>
        <sz val="8"/>
        <rFont val="Arial"/>
        <family val="2"/>
      </rPr>
      <t>Tender No:</t>
    </r>
    <r>
      <rPr>
        <b/>
        <sz val="9"/>
        <rFont val="Arial"/>
        <family val="2"/>
      </rPr>
      <t xml:space="preserve"> </t>
    </r>
  </si>
  <si>
    <t xml:space="preserve"> LNW 21/17/18 Phase 3 </t>
  </si>
  <si>
    <t xml:space="preserve">Flag Boshielo Water Scheme (FBWS): Upgrading and Refurbishment of Flag Boshielo WTP </t>
  </si>
  <si>
    <t>Section C2.2: Bill of Quantities</t>
  </si>
  <si>
    <t>ITEM NO</t>
  </si>
  <si>
    <t>PAYMENT REFERENCE</t>
  </si>
  <si>
    <t>TENDER</t>
  </si>
  <si>
    <t xml:space="preserve">SECTION 8: OHS COMPLIANCE </t>
  </si>
  <si>
    <t>FIXED CHARGE ITEMS</t>
  </si>
  <si>
    <t>CR 7(1) (a). H&amp;S Spec  (10)</t>
  </si>
  <si>
    <t>Project specific SHE plan based on the H&amp;S specification.</t>
  </si>
  <si>
    <t>COIDA. H&amp;S Spec (7)</t>
  </si>
  <si>
    <t>Workmen's compensation letter.</t>
  </si>
  <si>
    <t>CR 4. H&amp;S Spec (b)</t>
  </si>
  <si>
    <t>Notification of construction work</t>
  </si>
  <si>
    <r>
      <rPr>
        <b/>
        <u/>
        <sz val="9"/>
        <rFont val="Arial"/>
        <family val="2"/>
      </rPr>
      <t>Site Establishment</t>
    </r>
  </si>
  <si>
    <t>Fencing to the construction site ( 1.8m high)</t>
  </si>
  <si>
    <t>Hoarding with a green net (1.8m high)</t>
  </si>
  <si>
    <t>Site Clearance and waste disposal</t>
  </si>
  <si>
    <t>GSR 3(2). H&amp;S Spec (z)</t>
  </si>
  <si>
    <t>First aid boxes</t>
  </si>
  <si>
    <t>GSR 4. BRA 15, 35. CR 29</t>
  </si>
  <si>
    <t>Fire Extinguishers ( 7x9kgs and 3x5kgs)</t>
  </si>
  <si>
    <t>CR 30.BRA 2.H&amp;S SPEC (u)</t>
  </si>
  <si>
    <t>Toilets ( 1 per 15 people, each toilet per gender)</t>
  </si>
  <si>
    <t>CR27</t>
  </si>
  <si>
    <t>Waste bins ( Plastic overlapping waste bins 100L)</t>
  </si>
  <si>
    <t>CR30</t>
  </si>
  <si>
    <t>Shadding net for an eating area ( Green net 5m long)</t>
  </si>
  <si>
    <t>Benches for an eating area ( 4m long)</t>
  </si>
  <si>
    <t>H&amp;S SPEC (g). CR 7(6). GSR 2</t>
  </si>
  <si>
    <t>Personal Protective Equipment</t>
  </si>
  <si>
    <t>4.2.1</t>
  </si>
  <si>
    <t>Overalls( Blue/Orange/Green)</t>
  </si>
  <si>
    <t xml:space="preserve">No </t>
  </si>
  <si>
    <t>4.2.2</t>
  </si>
  <si>
    <t>Hart hats</t>
  </si>
  <si>
    <t>4.2.3</t>
  </si>
  <si>
    <t>Boots</t>
  </si>
  <si>
    <t>4.2.3.1</t>
  </si>
  <si>
    <t>water boots</t>
  </si>
  <si>
    <t>4.2.3.2</t>
  </si>
  <si>
    <t>Safety boots</t>
  </si>
  <si>
    <t>4.2.4</t>
  </si>
  <si>
    <t>Gloves ( General and Skilled activities)</t>
  </si>
  <si>
    <t>4.2.5</t>
  </si>
  <si>
    <t>Googles</t>
  </si>
  <si>
    <t>4.2.6</t>
  </si>
  <si>
    <t>Earplugs</t>
  </si>
  <si>
    <t>4.2.7</t>
  </si>
  <si>
    <t>Reflector vests</t>
  </si>
  <si>
    <t>4.2.8</t>
  </si>
  <si>
    <t>Sun-block hats</t>
  </si>
  <si>
    <t>4.2.9</t>
  </si>
  <si>
    <t>Dust mask</t>
  </si>
  <si>
    <t xml:space="preserve"> H&amp;S SPEC (9),(ii). CR 23(K)</t>
  </si>
  <si>
    <r>
      <rPr>
        <b/>
        <u/>
        <sz val="9"/>
        <rFont val="Arial"/>
        <family val="2"/>
      </rPr>
      <t>Inductions, Toolbox talks, Checklists, Registers and Risk asessments</t>
    </r>
  </si>
  <si>
    <t>BROUGHT FORWARD</t>
  </si>
  <si>
    <t>4.3.1</t>
  </si>
  <si>
    <t>Stationary</t>
  </si>
  <si>
    <t>4.3.2</t>
  </si>
  <si>
    <t>Printer</t>
  </si>
  <si>
    <t xml:space="preserve"> Sum</t>
  </si>
  <si>
    <t>4.3.3</t>
  </si>
  <si>
    <t>Laptop</t>
  </si>
  <si>
    <t>CR 7(g). H&amp;S SPEC (16)</t>
  </si>
  <si>
    <t>Medical Fitness examinations</t>
  </si>
  <si>
    <t>H&amp;S SPEC (17).BRA (10).GSR(2B)</t>
  </si>
  <si>
    <t>Signage and boards</t>
  </si>
  <si>
    <t>4.5.1</t>
  </si>
  <si>
    <t>Construction Safety Board</t>
  </si>
  <si>
    <t>4.5.2</t>
  </si>
  <si>
    <t>First aid Box</t>
  </si>
  <si>
    <t>4.5.3</t>
  </si>
  <si>
    <t>Fire extinguisher</t>
  </si>
  <si>
    <t>4.5.4</t>
  </si>
  <si>
    <t>Assembly Point</t>
  </si>
  <si>
    <t>4.5.5</t>
  </si>
  <si>
    <t>Excavation</t>
  </si>
  <si>
    <t>4.5.6</t>
  </si>
  <si>
    <t>Plant and Construction vehicle</t>
  </si>
  <si>
    <t>4.5.7</t>
  </si>
  <si>
    <t>Chemicals, Gas and Liquids Flammables</t>
  </si>
  <si>
    <t>4.5.8</t>
  </si>
  <si>
    <t>Toilets information signs ( male and female)</t>
  </si>
  <si>
    <t>4.5.9</t>
  </si>
  <si>
    <t>Eating area information Sign</t>
  </si>
  <si>
    <t>4.5.10</t>
  </si>
  <si>
    <t>Blasting</t>
  </si>
  <si>
    <t>4.5.11</t>
  </si>
  <si>
    <t>Escape routes/ evacuation</t>
  </si>
  <si>
    <t>4.5.12</t>
  </si>
  <si>
    <t>Scaffold safe/unsafe use</t>
  </si>
  <si>
    <t>4.5.13</t>
  </si>
  <si>
    <t>Access control</t>
  </si>
  <si>
    <t>4.5.14</t>
  </si>
  <si>
    <t>No smoking</t>
  </si>
  <si>
    <t>Storage Container</t>
  </si>
  <si>
    <t>Boundry wall ( Hazadours chemicals, liquids and cement mixing area)</t>
  </si>
  <si>
    <t>Site Offices</t>
  </si>
  <si>
    <t>BRA (1).H&amp;S SPEC (8)</t>
  </si>
  <si>
    <t>Training and awareness</t>
  </si>
  <si>
    <t>SHE rep Training</t>
  </si>
  <si>
    <t>First aid level 1,2,3</t>
  </si>
  <si>
    <t>Scaffolding Supervisor</t>
  </si>
  <si>
    <t>Working at heights</t>
  </si>
  <si>
    <t>Risk assessment analyses</t>
  </si>
  <si>
    <t>Environmental awareness campaign</t>
  </si>
  <si>
    <t>HIV/AIDS awareness and accomodation needs, posters and distribution of condoms. X90 employees</t>
  </si>
  <si>
    <t>H&amp;S SPEC (i)</t>
  </si>
  <si>
    <t>Appointments with remunirations</t>
  </si>
  <si>
    <t>CR8(5)</t>
  </si>
  <si>
    <r>
      <rPr>
        <sz val="9"/>
        <rFont val="Arial"/>
        <family val="2"/>
      </rPr>
      <t>Registered construction health and safety officer</t>
    </r>
  </si>
  <si>
    <t>OHSA(17)</t>
  </si>
  <si>
    <t>Competent She rep with a SHE certificate</t>
  </si>
  <si>
    <t>GSR 3(6)</t>
  </si>
  <si>
    <t>First aider with level 1,2,3 certificate</t>
  </si>
  <si>
    <t>H&amp;S SPEC(i)</t>
  </si>
  <si>
    <t>Scaffold erector</t>
  </si>
  <si>
    <t>H&amp;S SPEC (17)</t>
  </si>
  <si>
    <t>Site Security (2No Security Officer)</t>
  </si>
  <si>
    <t>6.5.1</t>
  </si>
  <si>
    <t>Mobile guard-house</t>
  </si>
  <si>
    <t>H&amp;S SPEC(y).CR27</t>
  </si>
  <si>
    <t>Housekeeping</t>
  </si>
  <si>
    <t>Barricading of ruble, use a 1m height and 200m long orange net</t>
  </si>
  <si>
    <t>BRA(13)</t>
  </si>
  <si>
    <t>Removal of waste off site once a week</t>
  </si>
  <si>
    <t>Transportation once a week</t>
  </si>
  <si>
    <t>CR27.H&amp;S SPEC(y)</t>
  </si>
  <si>
    <r>
      <rPr>
        <b/>
        <sz val="9"/>
        <rFont val="Arial"/>
        <family val="2"/>
      </rPr>
      <t>Cleaning materials and chemicals</t>
    </r>
  </si>
  <si>
    <t>Broom</t>
  </si>
  <si>
    <t>7.3.2</t>
  </si>
  <si>
    <t>Mop</t>
  </si>
  <si>
    <t>7.3.3</t>
  </si>
  <si>
    <t>Sunlight liquid ( 25L)</t>
  </si>
  <si>
    <t>7.3.4</t>
  </si>
  <si>
    <t>Handy andy (25)</t>
  </si>
  <si>
    <t>H&amp;S SPEC(i) SABS Code 085.SANS 10085</t>
  </si>
  <si>
    <t>Scaffolding</t>
  </si>
  <si>
    <t>Scaffolding to include shutter boards, toe</t>
  </si>
  <si>
    <t>boards, base jacks, access stairs/ladders,</t>
  </si>
  <si>
    <t>braces and safety harnesses</t>
  </si>
  <si>
    <t>ER</t>
  </si>
  <si>
    <t>Environmental</t>
  </si>
  <si>
    <t>Dust suppression ( twice a day)</t>
  </si>
  <si>
    <t>Drip trays</t>
  </si>
  <si>
    <t>H&amp;S SPEC(18).CR</t>
  </si>
  <si>
    <t>Emergency Prepareredness</t>
  </si>
  <si>
    <t>Plastic spine board-heavy duty</t>
  </si>
  <si>
    <t>Emergecny board</t>
  </si>
  <si>
    <t>Emergency Alarm</t>
  </si>
  <si>
    <t>H&amp;S SPEC (h). CR23(g), CR13</t>
  </si>
  <si>
    <r>
      <rPr>
        <b/>
        <u/>
        <sz val="9"/>
        <rFont val="Arial"/>
        <family val="2"/>
      </rPr>
      <t>Excavation</t>
    </r>
  </si>
  <si>
    <t>Barricading(use orange netting) 900mm high</t>
  </si>
  <si>
    <t>Blasting permit (Department of labout)</t>
  </si>
  <si>
    <t>12,2</t>
  </si>
  <si>
    <t>Blasting specialist</t>
  </si>
  <si>
    <t>H&amp;S SPEC(v).CR17</t>
  </si>
  <si>
    <t>Formwork and Suspended platform</t>
  </si>
  <si>
    <t>Temporary handrails/Guardrails( If the form work exceeds 3m height)</t>
  </si>
  <si>
    <t>Safety harnesses</t>
  </si>
  <si>
    <t xml:space="preserve"> </t>
  </si>
  <si>
    <t>CR24.H&amp;S SPEC (p).</t>
  </si>
  <si>
    <r>
      <rPr>
        <sz val="9"/>
        <rFont val="Arial"/>
        <family val="2"/>
      </rPr>
      <t>Electricall Installations</t>
    </r>
  </si>
  <si>
    <t>CR14.H&amp;S SPEC (20).</t>
  </si>
  <si>
    <r>
      <rPr>
        <sz val="9"/>
        <rFont val="Arial"/>
        <family val="2"/>
      </rPr>
      <t>Demolitions</t>
    </r>
  </si>
  <si>
    <t>GSR13A.CR12(3)(m).</t>
  </si>
  <si>
    <r>
      <rPr>
        <sz val="9"/>
        <rFont val="Arial"/>
        <family val="2"/>
      </rPr>
      <t>Ladders(Not exceeding 5m)</t>
    </r>
  </si>
  <si>
    <t>H&amp;S SPEC (11)CR7(1)(b)</t>
  </si>
  <si>
    <t>Health and Safety File</t>
  </si>
  <si>
    <t>TIME RELATED CHARGE ITEMS</t>
  </si>
  <si>
    <t>Month</t>
  </si>
  <si>
    <r>
      <rPr>
        <sz val="9"/>
        <rFont val="Arial"/>
        <family val="2"/>
      </rPr>
      <t>Fire Extinguishers ( 7x 9kgs and 3x 5kgs)</t>
    </r>
  </si>
  <si>
    <t>19.3.1</t>
  </si>
  <si>
    <t>19.3.2</t>
  </si>
  <si>
    <t>Goggles</t>
  </si>
  <si>
    <t xml:space="preserve">TOTAL CARRIED FORWARD TO SUMMARY: SECTION 7 - OHS COMPLIANCE </t>
  </si>
  <si>
    <t>Provisional Sum</t>
  </si>
  <si>
    <t>Occupational Health and Safety Consultant</t>
  </si>
  <si>
    <t xml:space="preserve">Specialist Third party Specialist Support - Professional </t>
  </si>
  <si>
    <t>Social Facilitator</t>
  </si>
  <si>
    <t>8,1,5</t>
  </si>
  <si>
    <t>Specialist Mechanical - Welding and Fittings Inspector</t>
  </si>
  <si>
    <t>'Project specific SHE plan based on the H&amp;S specification.</t>
  </si>
  <si>
    <r>
      <rPr>
        <b/>
        <u/>
        <sz val="10"/>
        <rFont val="Arial"/>
        <family val="2"/>
      </rPr>
      <t>Site Establishment</t>
    </r>
  </si>
  <si>
    <t>Inductions, Toolbox talks, Checklists, Registers and Risk asessments</t>
  </si>
  <si>
    <r>
      <rPr>
        <b/>
        <sz val="10"/>
        <rFont val="Arial"/>
        <family val="2"/>
      </rPr>
      <t>Cleaning materials and chemicals</t>
    </r>
  </si>
  <si>
    <r>
      <rPr>
        <b/>
        <u/>
        <sz val="10"/>
        <rFont val="Arial"/>
        <family val="2"/>
      </rPr>
      <t>Excavation</t>
    </r>
  </si>
  <si>
    <r>
      <rPr>
        <sz val="10"/>
        <rFont val="Arial"/>
        <family val="2"/>
      </rPr>
      <t>Electricall Installations</t>
    </r>
  </si>
  <si>
    <r>
      <rPr>
        <sz val="10"/>
        <rFont val="Arial"/>
        <family val="2"/>
      </rPr>
      <t>Demolitions</t>
    </r>
  </si>
  <si>
    <r>
      <rPr>
        <sz val="10"/>
        <rFont val="Arial"/>
        <family val="2"/>
      </rPr>
      <t>Ladders(Not exceeding 5m)</t>
    </r>
  </si>
  <si>
    <r>
      <rPr>
        <sz val="10"/>
        <rFont val="Arial"/>
        <family val="2"/>
      </rPr>
      <t>Fire Extinguishers ( 7x 9kgs and 3x 5kgs)</t>
    </r>
  </si>
  <si>
    <t>Water Flushing Toilets ( 1 per 15 people, each toilet per gender)</t>
  </si>
  <si>
    <r>
      <rPr>
        <b/>
        <u/>
        <sz val="10"/>
        <rFont val="Arial"/>
        <family val="2"/>
      </rPr>
      <t>Inductions, Toolbox talks, Checklists, Registers and Risk asessments</t>
    </r>
  </si>
  <si>
    <t xml:space="preserve">(k) Welding </t>
  </si>
  <si>
    <t>Hard hats</t>
  </si>
  <si>
    <t>Competent SHE rep with a SHE certificate</t>
  </si>
  <si>
    <t>Site Security (Security Officer)</t>
  </si>
  <si>
    <t>b)     4G Mobile Internet</t>
  </si>
  <si>
    <t>Waste Management around the plant and site during construction</t>
  </si>
  <si>
    <t>Dust suppression around the plant and site ( twice a day) during construction</t>
  </si>
  <si>
    <t>Registered construction health and safety officer</t>
  </si>
  <si>
    <t>Environmental Complience during construction in terms of the project</t>
  </si>
  <si>
    <t>Health and Safety File inline with Costruction Regulation 2014</t>
  </si>
  <si>
    <t>Medical Vaccination for all Labourers working on site, specific for Waste Water Treatment Works</t>
  </si>
  <si>
    <t>BURGERSFORT WWTW UPGRADE - INLET WORKS</t>
  </si>
  <si>
    <t>2,1,4</t>
  </si>
  <si>
    <t>2,1,5</t>
  </si>
  <si>
    <t>2,1,6</t>
  </si>
  <si>
    <t>2,1,1</t>
  </si>
  <si>
    <t>ARCHIMEDEAN SCREW PUMPS</t>
  </si>
  <si>
    <t>2,1,7</t>
  </si>
  <si>
    <t>2,1,8</t>
  </si>
  <si>
    <t>2,2,1</t>
  </si>
  <si>
    <t>2,2,3</t>
  </si>
  <si>
    <t>2,2,4</t>
  </si>
  <si>
    <t>2,2,5</t>
  </si>
  <si>
    <t>2,1,9</t>
  </si>
  <si>
    <t>DIVISION BOX 1</t>
  </si>
  <si>
    <t>2,3,5</t>
  </si>
  <si>
    <t>2,3,6</t>
  </si>
  <si>
    <t>2,3,7</t>
  </si>
  <si>
    <t>2,3,8</t>
  </si>
  <si>
    <t>DIVISION BOX 2</t>
  </si>
  <si>
    <t>2,4,3</t>
  </si>
  <si>
    <t>2,4,4</t>
  </si>
  <si>
    <t>2,4,5</t>
  </si>
  <si>
    <t>2,4,6</t>
  </si>
  <si>
    <t>2,4,7</t>
  </si>
  <si>
    <t>2,4,8</t>
  </si>
  <si>
    <t xml:space="preserve">POWER AND CONTROL </t>
  </si>
  <si>
    <t>2,5,3</t>
  </si>
  <si>
    <t>BURGERSFORT WWTW UPGRADE - BIOLOGICAL WASTEWATER SYSTEM</t>
  </si>
  <si>
    <t>REACTOR TANKS</t>
  </si>
  <si>
    <t>3,1,6</t>
  </si>
  <si>
    <t>3,1,7</t>
  </si>
  <si>
    <t>3,1,8</t>
  </si>
  <si>
    <t xml:space="preserve">BURGERSFORT WWTW UPGRADE - BLOWER CONTAINERS </t>
  </si>
  <si>
    <t>BLOWER SYSTEM DESIGN</t>
  </si>
  <si>
    <t>BLOWER CONTRAINER UNITS</t>
  </si>
  <si>
    <t>PIPES, FITTINGS AND VALVES</t>
  </si>
  <si>
    <t xml:space="preserve">Sum </t>
  </si>
  <si>
    <t>5,3,5</t>
  </si>
  <si>
    <t>BURGERSFORT WWTW UPGRADE - CLARIFIERS</t>
  </si>
  <si>
    <t>CLARIFIER UNIT</t>
  </si>
  <si>
    <t>6,2,3</t>
  </si>
  <si>
    <t>PUMP AND COMPRESSOR</t>
  </si>
  <si>
    <t>6,3,3</t>
  </si>
  <si>
    <t>SUMP</t>
  </si>
  <si>
    <t>6,3,2</t>
  </si>
  <si>
    <t>6,3,4</t>
  </si>
  <si>
    <t>6,3,5</t>
  </si>
  <si>
    <t>6,3,6</t>
  </si>
  <si>
    <t>6,3,7</t>
  </si>
  <si>
    <t>6,3,8</t>
  </si>
  <si>
    <t>6,3,9</t>
  </si>
  <si>
    <t>6,3,10</t>
  </si>
  <si>
    <t>6,3,11</t>
  </si>
  <si>
    <t>6,4,2</t>
  </si>
  <si>
    <t>6,5,1</t>
  </si>
  <si>
    <t>BURGERSFORT WWTW UPGRADE - SLUDGE HANDLING AND DEWATERING</t>
  </si>
  <si>
    <t>SLUDGE DEWATERING SYSTEM DESIGN &amp; CONSTRUCTION</t>
  </si>
  <si>
    <t>Notes :</t>
  </si>
  <si>
    <t>SLUDGE DEWATERING  AND HANDILING BUILDING</t>
  </si>
  <si>
    <t>REFUBISHMENT OF MIXER AND RECYCLING PUMPS OF OLD PLANT</t>
  </si>
  <si>
    <t>BURGERSFORT WWTW UPGRADE - DISINFECTION SYSTEM</t>
  </si>
  <si>
    <t>DISINFECTION SYSTEM</t>
  </si>
  <si>
    <t>DISINFECTION SYSTEM BUILDING</t>
  </si>
  <si>
    <t>11,1,1</t>
  </si>
  <si>
    <t>11,1,2</t>
  </si>
  <si>
    <t>11,1,3</t>
  </si>
  <si>
    <t>11,1,4</t>
  </si>
  <si>
    <t>11,1,5</t>
  </si>
  <si>
    <t>11,2,1</t>
  </si>
  <si>
    <t>11,3,1</t>
  </si>
  <si>
    <t xml:space="preserve">The professional Services offer shall be used for the renumiration of the Profesisonal Engineers on the project, as they manage and develop designs, drawings and general Professional Engineering Services on the project. </t>
  </si>
  <si>
    <t xml:space="preserve">Original Manufacturer's Equipment Testing on Completion for the Entire Installation - New Plant </t>
  </si>
  <si>
    <t xml:space="preserve">Profit and Handling Costs  </t>
  </si>
  <si>
    <t>POWER SUPPLY</t>
  </si>
  <si>
    <t>Application for Eskom/ Municipal Connection and required Logistics</t>
  </si>
  <si>
    <t>9,1,1</t>
  </si>
  <si>
    <t>9,1,2</t>
  </si>
  <si>
    <t>9,2,1</t>
  </si>
  <si>
    <t>Note : Upon commencement of works, the bidder shall be required to give a detailed breakdown of the figures indicated above.</t>
  </si>
  <si>
    <t>2,4,9</t>
  </si>
  <si>
    <t>Labelling of the structures, mixers, structures, insturments, units</t>
  </si>
  <si>
    <t>TEST AND COMMISSIOING</t>
  </si>
  <si>
    <t>BURGERSFORT WWTW UPGRADE - OPERATION AND MAINTENANCE</t>
  </si>
  <si>
    <t>OPERATION AND MAINTENANCE</t>
  </si>
  <si>
    <t>10,1,1</t>
  </si>
  <si>
    <t>10,1,2</t>
  </si>
  <si>
    <t>10,1,3</t>
  </si>
  <si>
    <t>9,2,2</t>
  </si>
  <si>
    <t>11,1,6</t>
  </si>
  <si>
    <t>3,4,4</t>
  </si>
  <si>
    <t>New plant operation for a period of 3 months after project completion</t>
  </si>
  <si>
    <t>10,1,4</t>
  </si>
  <si>
    <r>
      <t xml:space="preserve">Local semi-skilled labour  </t>
    </r>
    <r>
      <rPr>
        <b/>
        <sz val="10"/>
        <rFont val="Arial"/>
        <family val="2"/>
      </rPr>
      <t xml:space="preserve">- Provision </t>
    </r>
  </si>
  <si>
    <r>
      <t xml:space="preserve">Local unskilled Labour </t>
    </r>
    <r>
      <rPr>
        <b/>
        <sz val="10"/>
        <rFont val="Arial"/>
        <family val="2"/>
      </rPr>
      <t xml:space="preserve">- Provision </t>
    </r>
  </si>
  <si>
    <t>a)   Furnished Office, Meeting Boardroom and Faciliaties for Engineer</t>
  </si>
  <si>
    <t>The Tenderer must read the specifications when pricing this Bill and Conduct their own site assesment considering all materials provided by LNW.</t>
  </si>
  <si>
    <t>The Tenderer must read the specifications when pricing this Bill and Conduct their own site assesment while considering all materials provided by LNW.</t>
  </si>
  <si>
    <t>Tenderers are expected to bring the entire sludge dewatering and handling system to full functionality and operation. The items required in the specification need to be fully covered/ accounted and any proposed as per the technical designs offered at tender stage. The items listed above particularly in this section shall need to be broken down during project implementation. The proposed design needs to be well accounted for in terms of pricing.</t>
  </si>
  <si>
    <t>9,2,3</t>
  </si>
  <si>
    <t>9,2,4</t>
  </si>
  <si>
    <t xml:space="preserve">New plant full service and maintenance for a period of eighteen (18) months after project completion or reaching project practical completion. Contractor to manage the Reliability Centered Maintenance of the Plant in consultation with the LNW Maintenance Engineer and Planning Maintenance Technician.  Payment Terms shall be agreed upon by both LNW and the Contractor upon appointment </t>
  </si>
  <si>
    <t>Allowance for training in both operation and maintenance of LNW staff. ( Process, Production Officers, Controllers and Maintenance staff.)</t>
  </si>
  <si>
    <t>Maintenance of all the items, units and process sections within the scope of the project on the Old Plant. (Mixers, Pumps, motors, settling unit and disinfection unit)</t>
  </si>
  <si>
    <t>Provision of operation and maintenance manuals. All testing data and as-built drawings to be provided upon project close out</t>
  </si>
  <si>
    <t>Environmental Compliance Consultant</t>
  </si>
  <si>
    <t>Specialist Process Audit</t>
  </si>
  <si>
    <t>SUMMARY OF SECTIONS- PROJECT PRICING SCHEDULE</t>
  </si>
  <si>
    <t>BIOLOGICAL WASTEWATER SYSTEM</t>
  </si>
  <si>
    <t>BUILDINGS AND GENERAL WORKS</t>
  </si>
  <si>
    <t>3,5,1</t>
  </si>
  <si>
    <t>3,5,2</t>
  </si>
  <si>
    <t>3,5,3</t>
  </si>
  <si>
    <t>Painting and making good of the entire building.</t>
  </si>
  <si>
    <t xml:space="preserve">Design, Refurbishment, Completion and finalization of the exiting containerized offices, laboratory, and equipment store-room, ablution facilities, tearoom and control room. Complete with walking platforms, heat insulators, glazing, power supply, plumbing, electrification, Air conditioning, joinery and general furniture in each room. </t>
  </si>
  <si>
    <t>Design and construction storm water management and all the civil works around the building and plant. Including basic horticulture, road and pavement using materials provided by the client and new material as per the proposal.</t>
  </si>
  <si>
    <t>12,5% CONTINGENCIES ( Including Contract Price Adjustment)</t>
  </si>
  <si>
    <t>3,1,9</t>
  </si>
  <si>
    <t>3,1,10</t>
  </si>
  <si>
    <t>3,2,4</t>
  </si>
  <si>
    <t>3,2,5</t>
  </si>
  <si>
    <t>3,2,6</t>
  </si>
  <si>
    <t>3,1,11</t>
  </si>
  <si>
    <t>72 Hour - Testing of the Entire Plant - New Only</t>
  </si>
  <si>
    <t>DESIGN COSTS AND SERVICES</t>
  </si>
  <si>
    <t xml:space="preserve">Full design costs including accomodation, reporting, traveling and </t>
  </si>
  <si>
    <t>11.4.1</t>
  </si>
  <si>
    <t>PROVISSIONAL SUM FOR MATERIALS STORED AT WATER SKILLS FACILITIES ON BEHALF OF LNW.</t>
  </si>
  <si>
    <r>
      <rPr>
        <b/>
        <sz val="10"/>
        <rFont val="Arial"/>
        <family val="2"/>
      </rPr>
      <t xml:space="preserve">NOTE : </t>
    </r>
    <r>
      <rPr>
        <sz val="10"/>
        <rFont val="Arial"/>
        <family val="2"/>
      </rPr>
      <t xml:space="preserve">Payment to this amounts shall be subject to normal certtification by LNWEngineering servcies  inclduing all the supporting documentation prior to conditions of contract shall apply. </t>
    </r>
  </si>
  <si>
    <t>BURGERSFORT WWTW UPGRADE - DESIGN, QUALITY ASSURANCE ENGINEERING FEES AND PROVISIONAL SUMS</t>
  </si>
  <si>
    <t>3,5,4</t>
  </si>
  <si>
    <t xml:space="preserve">Sampling boreholes </t>
  </si>
  <si>
    <t>g)     Community Project Steerign Committee</t>
  </si>
  <si>
    <t>h)     Overhead, charges and profit on item 1.3.1(g)</t>
  </si>
  <si>
    <t>(e) WasteWater (sluge) pump including all necessary hoses</t>
  </si>
  <si>
    <t>Testing and reconditioning/refurbishment of all existing MCC</t>
  </si>
  <si>
    <t>9.3.1</t>
  </si>
  <si>
    <t>9.3.2</t>
  </si>
  <si>
    <t>9.3.3</t>
  </si>
  <si>
    <t>MCC, CABLES AND INSTUMENTATION WORKS</t>
  </si>
  <si>
    <t>3.6</t>
  </si>
  <si>
    <t>BIDDERS RECCOMENDATIONS FOR COMMISSIONING AND OPERATION OF THE PLANT</t>
  </si>
  <si>
    <t xml:space="preserve">Cost implecations for all items as per the reccomendations by the bidder for the funcionality of the plant with a general limits operations. Costs to include design proposal implementation, due diligence, repairs, refurbshments and new items required. </t>
  </si>
  <si>
    <t>6,5,2</t>
  </si>
  <si>
    <t>Repair and recondition all the HDPE lining and tank structure for all 6 tanks currently on site in each tank. Inspect, test and issue report for each tank HDPE lining.</t>
  </si>
  <si>
    <t>Inspect and repair reactor tank structures</t>
  </si>
  <si>
    <t>Replacement of all the HDPE lining and tank structure for all 6 tanks currently on site in each tank.</t>
  </si>
  <si>
    <r>
      <rPr>
        <b/>
        <i/>
        <sz val="10"/>
        <rFont val="Arial"/>
        <family val="2"/>
      </rPr>
      <t>NOTE</t>
    </r>
    <r>
      <rPr>
        <i/>
        <sz val="10"/>
        <rFont val="Arial"/>
        <family val="2"/>
      </rPr>
      <t xml:space="preserve"> : The bidder shall be deemed to have fully priced for the complete functionality of the plant including but not limited to all the items listed in the scope of works document. All exclusions are to be listed in the deviation schedules on the form of offer.</t>
    </r>
  </si>
  <si>
    <t>DESIGN, QUALITY ASSURANCE ENGINEERING FEES AND PROVISIONAL SUMS</t>
  </si>
  <si>
    <t>72 Hour - Commissioing of the Entire Plant - New Plant Only</t>
  </si>
  <si>
    <t>BURGERSFORT WWTW UPGRADE - ELECTRICAL AND CONTROL &amp; INSTRUMENTATION WORKS</t>
  </si>
  <si>
    <t>ENVIRONMENTAL, OCCUPATION HEALTH AND SAFETY</t>
  </si>
  <si>
    <t>Environmental Safety &amp; Officer</t>
  </si>
  <si>
    <t>Prov - Sum</t>
  </si>
  <si>
    <t>Environmental  Compliance to the EMP</t>
  </si>
  <si>
    <t>Remove existing partitioning structures and replace with corrosion resistant stainless steel type in terms of material. The existing structures may have weaken over the years and the new design should be of adequate design and stiffness so as to handle the differential pressure exercised by the different water levels in the different compartments.</t>
  </si>
  <si>
    <t>MIXERS AND PUMPS</t>
  </si>
  <si>
    <t>3,1,12</t>
  </si>
  <si>
    <t>3,1,13</t>
  </si>
  <si>
    <t xml:space="preserve">CLARIFIER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</si>
</sst>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quot;R&quot;#,##0;\-&quot;R&quot;#,##0"/>
    <numFmt numFmtId="165" formatCode="_-&quot;R&quot;* #,##0.00_-;\-&quot;R&quot;* #,##0.00_-;_-&quot;R&quot;* &quot;-&quot;??_-;_-@_-"/>
    <numFmt numFmtId="166" formatCode="_-* #,##0.00_-;\-* #,##0.00_-;_-* &quot;-&quot;??_-;_-@_-"/>
    <numFmt numFmtId="167" formatCode="_ * #,##0_ ;_ * \-#,##0_ ;_ * &quot;-&quot;_ ;_ @_ "/>
    <numFmt numFmtId="168" formatCode="_ &quot;R&quot;\ * #,##0.00_ ;_ &quot;R&quot;\ * \-#,##0.00_ ;_ &quot;R&quot;\ * &quot;-&quot;??_ ;_ @_ "/>
    <numFmt numFmtId="169" formatCode="_ * #,##0.00_ ;_ * \-#,##0.00_ ;_ * &quot;-&quot;??_ ;_ @_ "/>
    <numFmt numFmtId="170" formatCode="&quot;R&quot;\ #,##0.00_);\(&quot;R&quot;\ #,##0.00\)"/>
    <numFmt numFmtId="171" formatCode="0.00000000000000"/>
    <numFmt numFmtId="172" formatCode="0.0"/>
    <numFmt numFmtId="173" formatCode="_(* #,##0.000000000_);_(* \(#,##0.000000000\);_(* &quot;-&quot;??_);_(@_)"/>
    <numFmt numFmtId="174" formatCode="[$-1C09]dd\ mmmm\ yyyy;@"/>
    <numFmt numFmtId="175" formatCode="General_)"/>
    <numFmt numFmtId="176" formatCode="&quot;R&quot;\ #,##0.00"/>
    <numFmt numFmtId="177" formatCode="&quot;R&quot;\ #,##0"/>
    <numFmt numFmtId="178" formatCode="#,##0.0"/>
    <numFmt numFmtId="179" formatCode="#,##0.000"/>
    <numFmt numFmtId="180" formatCode="_ [$R-1C09]\ * #,##0.00_ ;_ [$R-1C09]\ * \-#,##0.00_ ;_ [$R-1C09]\ * &quot;-&quot;??_ ;_ @_ "/>
    <numFmt numFmtId="181" formatCode="_ * #,##0_ ;_ * \-#,##0_ ;_ * &quot;-&quot;??_ ;_ @_ "/>
    <numFmt numFmtId="182" formatCode="_ * #,##0.000_ ;_ * \-#,##0.000_ ;_ * &quot;-&quot;???_ ;_ @_ "/>
    <numFmt numFmtId="183" formatCode="#\ ##0.00"/>
    <numFmt numFmtId="184" formatCode="&quot;R&quot;\ #,##0.0"/>
  </numFmts>
  <fonts count="73">
    <font>
      <sz val="11"/>
      <color theme="1"/>
      <name val="Calibri"/>
      <family val="2"/>
      <scheme val="minor"/>
    </font>
    <font>
      <sz val="12"/>
      <color indexed="8"/>
      <name val="Verdana"/>
      <family val="2"/>
    </font>
    <font>
      <u/>
      <sz val="12"/>
      <color theme="10"/>
      <name val="Calibri"/>
      <family val="2"/>
      <scheme val="minor"/>
    </font>
    <font>
      <u/>
      <sz val="12"/>
      <color theme="11"/>
      <name val="Calibri"/>
      <family val="2"/>
      <scheme val="minor"/>
    </font>
    <font>
      <b/>
      <sz val="10"/>
      <name val="Arial"/>
      <family val="2"/>
    </font>
    <font>
      <sz val="10"/>
      <name val="Arial"/>
      <family val="2"/>
    </font>
    <font>
      <sz val="10"/>
      <color theme="1"/>
      <name val="Arial"/>
      <family val="2"/>
    </font>
    <font>
      <sz val="10"/>
      <color rgb="FFFF0000"/>
      <name val="Arial"/>
      <family val="2"/>
    </font>
    <font>
      <b/>
      <sz val="10"/>
      <color theme="1"/>
      <name val="Arial"/>
      <family val="2"/>
    </font>
    <font>
      <vertAlign val="superscript"/>
      <sz val="10"/>
      <color theme="1"/>
      <name val="Arial"/>
      <family val="2"/>
    </font>
    <font>
      <u/>
      <sz val="11"/>
      <color theme="10"/>
      <name val="Calibri"/>
      <family val="2"/>
      <scheme val="minor"/>
    </font>
    <font>
      <u/>
      <sz val="11"/>
      <color theme="11"/>
      <name val="Calibri"/>
      <family val="2"/>
      <scheme val="minor"/>
    </font>
    <font>
      <sz val="10"/>
      <color theme="0"/>
      <name val="Arial"/>
      <family val="2"/>
    </font>
    <font>
      <sz val="11"/>
      <color theme="1"/>
      <name val="Calibri"/>
      <family val="2"/>
      <scheme val="minor"/>
    </font>
    <font>
      <b/>
      <i/>
      <sz val="10"/>
      <color theme="1"/>
      <name val="Arial"/>
      <family val="2"/>
    </font>
    <font>
      <b/>
      <vertAlign val="superscript"/>
      <sz val="10"/>
      <name val="Arial"/>
      <family val="2"/>
    </font>
    <font>
      <i/>
      <sz val="10"/>
      <color theme="1"/>
      <name val="Arial"/>
      <family val="2"/>
    </font>
    <font>
      <vertAlign val="superscript"/>
      <sz val="10"/>
      <name val="Arial"/>
      <family val="2"/>
    </font>
    <font>
      <b/>
      <sz val="10"/>
      <color rgb="FFFF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0"/>
      <name val="Times New Roman"/>
      <family val="1"/>
    </font>
    <font>
      <b/>
      <sz val="18"/>
      <name val="Arial"/>
      <family val="2"/>
    </font>
    <font>
      <b/>
      <sz val="12"/>
      <name val="Arial"/>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Courier"/>
      <family val="3"/>
    </font>
    <font>
      <b/>
      <u/>
      <sz val="10"/>
      <name val="Times New Roman"/>
      <family val="1"/>
    </font>
    <font>
      <u/>
      <sz val="10"/>
      <name val="Times New Roman"/>
      <family val="1"/>
    </font>
    <font>
      <b/>
      <sz val="11"/>
      <color indexed="63"/>
      <name val="Calibri"/>
      <family val="2"/>
    </font>
    <font>
      <b/>
      <sz val="18"/>
      <color indexed="56"/>
      <name val="Cambria"/>
      <family val="2"/>
    </font>
    <font>
      <sz val="11"/>
      <color indexed="10"/>
      <name val="Calibri"/>
      <family val="2"/>
    </font>
    <font>
      <sz val="8"/>
      <name val="Calibri"/>
      <family val="2"/>
      <scheme val="minor"/>
    </font>
    <font>
      <sz val="9"/>
      <name val="Arial"/>
      <family val="2"/>
    </font>
    <font>
      <b/>
      <i/>
      <sz val="10"/>
      <name val="Arial"/>
      <family val="2"/>
    </font>
    <font>
      <sz val="9"/>
      <color indexed="81"/>
      <name val="Tahoma"/>
      <family val="2"/>
    </font>
    <font>
      <b/>
      <sz val="9"/>
      <color indexed="81"/>
      <name val="Tahoma"/>
      <family val="2"/>
    </font>
    <font>
      <sz val="10"/>
      <name val="Calibri"/>
      <family val="2"/>
    </font>
    <font>
      <sz val="12.5"/>
      <name val="Arial"/>
      <family val="2"/>
    </font>
    <font>
      <b/>
      <u/>
      <sz val="10"/>
      <name val="Arial"/>
      <family val="2"/>
    </font>
    <font>
      <sz val="10"/>
      <name val="MS Sans Serif"/>
      <family val="2"/>
    </font>
    <font>
      <sz val="10"/>
      <name val="Times New Roman"/>
      <family val="1"/>
    </font>
    <font>
      <sz val="8"/>
      <name val="Times New Roman"/>
      <family val="1"/>
    </font>
    <font>
      <b/>
      <u/>
      <sz val="12"/>
      <name val="Arial"/>
      <family val="2"/>
    </font>
    <font>
      <b/>
      <sz val="6"/>
      <name val="Arial"/>
      <family val="2"/>
    </font>
    <font>
      <sz val="12"/>
      <name val="Arial"/>
      <family val="2"/>
    </font>
    <font>
      <i/>
      <u/>
      <sz val="10"/>
      <name val="Times New Roman"/>
      <family val="1"/>
    </font>
    <font>
      <b/>
      <sz val="10"/>
      <color indexed="8"/>
      <name val="Arial"/>
      <family val="2"/>
    </font>
    <font>
      <sz val="10"/>
      <color indexed="8"/>
      <name val="Arial"/>
      <family val="2"/>
    </font>
    <font>
      <sz val="11"/>
      <name val="Arial"/>
      <family val="2"/>
    </font>
    <font>
      <sz val="11"/>
      <color theme="1"/>
      <name val="Arial"/>
      <family val="2"/>
    </font>
    <font>
      <vertAlign val="superscript"/>
      <sz val="10"/>
      <color theme="0"/>
      <name val="Helvetica Neue"/>
      <family val="2"/>
    </font>
    <font>
      <vertAlign val="superscript"/>
      <sz val="10"/>
      <color theme="0"/>
      <name val="Arial"/>
      <family val="2"/>
    </font>
    <font>
      <b/>
      <sz val="9"/>
      <name val="Arial"/>
      <family val="2"/>
    </font>
    <font>
      <b/>
      <sz val="9"/>
      <color indexed="8"/>
      <name val="Arial"/>
      <family val="2"/>
    </font>
    <font>
      <sz val="10"/>
      <name val="MS Sans Serif"/>
    </font>
    <font>
      <b/>
      <sz val="8"/>
      <name val="Arial"/>
      <family val="2"/>
    </font>
    <font>
      <i/>
      <u/>
      <sz val="9"/>
      <name val="Arial"/>
      <family val="2"/>
    </font>
    <font>
      <b/>
      <u/>
      <sz val="9"/>
      <name val="Arial"/>
      <family val="2"/>
    </font>
    <font>
      <u/>
      <sz val="9"/>
      <name val="Arial"/>
      <family val="2"/>
    </font>
    <font>
      <sz val="9"/>
      <color rgb="FFFF0000"/>
      <name val="Arial"/>
      <family val="2"/>
    </font>
    <font>
      <sz val="9"/>
      <color indexed="10"/>
      <name val="Arial"/>
      <family val="2"/>
    </font>
    <font>
      <u/>
      <sz val="10"/>
      <name val="Arial"/>
      <family val="2"/>
    </font>
    <font>
      <sz val="10"/>
      <color indexed="10"/>
      <name val="Arial"/>
      <family val="2"/>
    </font>
    <font>
      <b/>
      <i/>
      <sz val="9"/>
      <name val="Arial"/>
      <family val="2"/>
    </font>
    <font>
      <i/>
      <sz val="10"/>
      <name val="Arial"/>
      <family val="2"/>
    </font>
  </fonts>
  <fills count="28">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4"/>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theme="0"/>
        <bgColor indexed="64"/>
      </patternFill>
    </fill>
    <fill>
      <patternFill patternType="solid">
        <fgColor rgb="FFFF0000"/>
        <bgColor indexed="64"/>
      </patternFill>
    </fill>
  </fills>
  <borders count="77">
    <border>
      <left/>
      <right/>
      <top/>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auto="1"/>
      </left>
      <right/>
      <top/>
      <bottom/>
      <diagonal/>
    </border>
    <border>
      <left style="thick">
        <color auto="1"/>
      </left>
      <right style="thin">
        <color auto="1"/>
      </right>
      <top style="thick">
        <color auto="1"/>
      </top>
      <bottom style="thin">
        <color auto="1"/>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8"/>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auto="1"/>
      </left>
      <right style="thick">
        <color auto="1"/>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diagonal/>
    </border>
    <border>
      <left/>
      <right style="thin">
        <color auto="1"/>
      </right>
      <top/>
      <bottom/>
      <diagonal/>
    </border>
    <border>
      <left style="thin">
        <color auto="1"/>
      </left>
      <right style="medium">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indexed="64"/>
      </left>
      <right style="thin">
        <color indexed="64"/>
      </right>
      <top/>
      <bottom/>
      <diagonal/>
    </border>
    <border>
      <left/>
      <right style="thin">
        <color indexed="64"/>
      </right>
      <top/>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auto="1"/>
      </right>
      <top style="thin">
        <color indexed="64"/>
      </top>
      <bottom style="thin">
        <color indexed="8"/>
      </bottom>
      <diagonal/>
    </border>
    <border>
      <left style="thin">
        <color indexed="8"/>
      </left>
      <right style="thin">
        <color auto="1"/>
      </right>
      <top style="thin">
        <color indexed="64"/>
      </top>
      <bottom style="thin">
        <color indexed="8"/>
      </bottom>
      <diagonal/>
    </border>
    <border>
      <left style="thin">
        <color auto="1"/>
      </left>
      <right style="thin">
        <color auto="1"/>
      </right>
      <top style="thin">
        <color indexed="64"/>
      </top>
      <bottom style="thin">
        <color indexed="8"/>
      </bottom>
      <diagonal/>
    </border>
    <border>
      <left style="thin">
        <color auto="1"/>
      </left>
      <right style="thin">
        <color auto="1"/>
      </right>
      <top/>
      <bottom/>
      <diagonal/>
    </border>
    <border>
      <left style="thin">
        <color indexed="8"/>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dotted">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bottom/>
      <diagonal/>
    </border>
    <border>
      <left style="thin">
        <color indexed="8"/>
      </left>
      <right style="thin">
        <color indexed="64"/>
      </right>
      <top/>
      <bottom/>
      <diagonal/>
    </border>
  </borders>
  <cellStyleXfs count="306">
    <xf numFmtId="0" fontId="0" fillId="0" borderId="0"/>
    <xf numFmtId="0" fontId="1" fillId="0" borderId="0" applyNumberFormat="0" applyFill="0" applyBorder="0" applyProtection="0">
      <alignment vertical="top"/>
    </xf>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3" fillId="0" borderId="0"/>
    <xf numFmtId="0" fontId="13" fillId="0" borderId="0"/>
    <xf numFmtId="0" fontId="5" fillId="0" borderId="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6"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5"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11"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6"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3" borderId="0" applyNumberFormat="0" applyBorder="0" applyAlignment="0" applyProtection="0"/>
    <xf numFmtId="0" fontId="21" fillId="5" borderId="0" applyNumberFormat="0" applyBorder="0" applyAlignment="0" applyProtection="0"/>
    <xf numFmtId="0" fontId="22" fillId="24" borderId="13" applyNumberFormat="0" applyAlignment="0" applyProtection="0"/>
    <xf numFmtId="0" fontId="23" fillId="25" borderId="14" applyNumberFormat="0" applyAlignment="0" applyProtection="0"/>
    <xf numFmtId="0" fontId="5" fillId="0" borderId="0" applyFont="0" applyFill="0" applyBorder="0" applyAlignment="0" applyProtection="0"/>
    <xf numFmtId="0"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9" fontId="13" fillId="0" borderId="0" applyFont="0" applyFill="0" applyBorder="0" applyAlignment="0" applyProtection="0"/>
    <xf numFmtId="0" fontId="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69"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166" fontId="5" fillId="0" borderId="0" applyFont="0" applyFill="0" applyBorder="0" applyAlignment="0" applyProtection="0"/>
    <xf numFmtId="169"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3" fontId="5" fillId="0" borderId="0" applyFont="0" applyFill="0" applyBorder="0" applyAlignment="0" applyProtection="0"/>
    <xf numFmtId="3" fontId="5" fillId="0" borderId="15" applyProtection="0"/>
    <xf numFmtId="168" fontId="5" fillId="0" borderId="0" applyFont="0" applyFill="0" applyBorder="0" applyAlignment="0" applyProtection="0"/>
    <xf numFmtId="168" fontId="5"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24" fillId="0" borderId="0" applyNumberFormat="0" applyFill="0" applyBorder="0" applyAlignment="0" applyProtection="0"/>
    <xf numFmtId="2" fontId="5" fillId="0" borderId="0" applyFont="0" applyFill="0" applyBorder="0" applyAlignment="0" applyProtection="0"/>
    <xf numFmtId="0" fontId="25" fillId="7" borderId="0" applyNumberFormat="0" applyBorder="0" applyAlignment="0" applyProtection="0"/>
    <xf numFmtId="175" fontId="26" fillId="0" borderId="16" applyBorder="0"/>
    <xf numFmtId="0" fontId="27" fillId="0" borderId="0" applyNumberFormat="0" applyFill="0" applyBorder="0" applyAlignment="0" applyProtection="0"/>
    <xf numFmtId="0" fontId="28" fillId="0" borderId="0" applyNumberFormat="0" applyFill="0" applyBorder="0" applyAlignment="0" applyProtection="0"/>
    <xf numFmtId="0" fontId="29" fillId="0" borderId="17" applyNumberFormat="0" applyFill="0" applyAlignment="0" applyProtection="0"/>
    <xf numFmtId="0" fontId="29" fillId="0" borderId="0" applyNumberFormat="0" applyFill="0" applyBorder="0" applyAlignment="0" applyProtection="0"/>
    <xf numFmtId="0" fontId="30" fillId="10" borderId="13" applyNumberFormat="0" applyAlignment="0" applyProtection="0"/>
    <xf numFmtId="0" fontId="31" fillId="0" borderId="18" applyNumberFormat="0" applyFill="0" applyAlignment="0" applyProtection="0"/>
    <xf numFmtId="0" fontId="32" fillId="14" borderId="0" applyNumberFormat="0" applyBorder="0" applyAlignment="0" applyProtection="0"/>
    <xf numFmtId="0" fontId="33" fillId="0" borderId="0"/>
    <xf numFmtId="0" fontId="13" fillId="0" borderId="0"/>
    <xf numFmtId="0" fontId="13" fillId="0" borderId="0"/>
    <xf numFmtId="0" fontId="19" fillId="0" borderId="0"/>
    <xf numFmtId="0" fontId="33" fillId="0" borderId="0"/>
    <xf numFmtId="0" fontId="5" fillId="0" borderId="0"/>
    <xf numFmtId="0" fontId="13" fillId="0" borderId="0"/>
    <xf numFmtId="0" fontId="13" fillId="0" borderId="0"/>
    <xf numFmtId="0" fontId="13" fillId="0" borderId="0"/>
    <xf numFmtId="0" fontId="5" fillId="0" borderId="0"/>
    <xf numFmtId="0" fontId="13" fillId="0" borderId="0"/>
    <xf numFmtId="0" fontId="19" fillId="8" borderId="19" applyNumberFormat="0" applyFont="0" applyAlignment="0" applyProtection="0"/>
    <xf numFmtId="0" fontId="19" fillId="8" borderId="19" applyNumberFormat="0" applyFont="0" applyAlignment="0" applyProtection="0"/>
    <xf numFmtId="0" fontId="34" fillId="0" borderId="0"/>
    <xf numFmtId="0" fontId="35" fillId="0" borderId="0"/>
    <xf numFmtId="0" fontId="36" fillId="24"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0" fontId="37" fillId="0" borderId="0" applyNumberFormat="0" applyFill="0" applyBorder="0" applyAlignment="0" applyProtection="0"/>
    <xf numFmtId="0" fontId="5" fillId="0" borderId="21" applyNumberFormat="0" applyFont="0" applyFill="0" applyAlignment="0" applyProtection="0"/>
    <xf numFmtId="0" fontId="38"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3" fillId="0" borderId="0"/>
    <xf numFmtId="4" fontId="5" fillId="0" borderId="32" applyProtection="0"/>
    <xf numFmtId="169" fontId="47" fillId="0" borderId="0" applyFont="0" applyFill="0" applyBorder="0" applyAlignment="0" applyProtection="0"/>
    <xf numFmtId="178" fontId="5" fillId="0" borderId="32" applyProtection="0"/>
    <xf numFmtId="4" fontId="48" fillId="0" borderId="32" applyProtection="0"/>
    <xf numFmtId="179" fontId="5" fillId="0" borderId="32" applyProtection="0"/>
    <xf numFmtId="168" fontId="47" fillId="0" borderId="0" applyFont="0" applyFill="0" applyBorder="0" applyAlignment="0" applyProtection="0"/>
    <xf numFmtId="0" fontId="49" fillId="0" borderId="0" applyProtection="0"/>
    <xf numFmtId="0" fontId="50" fillId="0" borderId="0" applyProtection="0"/>
    <xf numFmtId="0" fontId="51" fillId="0" borderId="0" applyProtection="0"/>
    <xf numFmtId="0" fontId="48" fillId="0" borderId="0" applyNumberFormat="0" applyFont="0" applyFill="0" applyBorder="0" applyAlignment="0" applyProtection="0">
      <protection locked="0"/>
    </xf>
    <xf numFmtId="0" fontId="28" fillId="0" borderId="0" applyProtection="0"/>
    <xf numFmtId="0" fontId="52" fillId="0" borderId="0"/>
    <xf numFmtId="0" fontId="47" fillId="0" borderId="0">
      <alignment wrapText="1"/>
    </xf>
    <xf numFmtId="0" fontId="13" fillId="0" borderId="0"/>
    <xf numFmtId="0" fontId="13" fillId="0" borderId="0"/>
    <xf numFmtId="0" fontId="13" fillId="0" borderId="0"/>
    <xf numFmtId="180" fontId="19" fillId="0" borderId="0"/>
    <xf numFmtId="0" fontId="13" fillId="0" borderId="0"/>
    <xf numFmtId="0" fontId="13" fillId="0" borderId="0"/>
    <xf numFmtId="0" fontId="13" fillId="0" borderId="0"/>
    <xf numFmtId="0" fontId="53" fillId="0" borderId="15"/>
    <xf numFmtId="0" fontId="52" fillId="0" borderId="0"/>
    <xf numFmtId="0" fontId="62" fillId="0" borderId="0">
      <alignment wrapText="1"/>
    </xf>
    <xf numFmtId="169" fontId="47" fillId="0" borderId="0" applyFont="0" applyFill="0" applyBorder="0" applyAlignment="0" applyProtection="0"/>
    <xf numFmtId="168" fontId="47" fillId="0" borderId="0" applyFont="0" applyFill="0" applyBorder="0" applyAlignment="0" applyProtection="0"/>
  </cellStyleXfs>
  <cellXfs count="560">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pplyAlignment="1">
      <alignment horizontal="center" vertical="center" wrapText="1"/>
    </xf>
    <xf numFmtId="4" fontId="5" fillId="0" borderId="3" xfId="0" applyNumberFormat="1" applyFont="1" applyBorder="1" applyAlignment="1">
      <alignment vertical="center" wrapText="1"/>
    </xf>
    <xf numFmtId="0" fontId="5" fillId="0" borderId="3" xfId="0" applyFont="1" applyBorder="1" applyAlignment="1">
      <alignment horizontal="center" vertical="center"/>
    </xf>
    <xf numFmtId="0" fontId="4" fillId="0" borderId="0" xfId="0" applyFont="1" applyAlignment="1">
      <alignment horizontal="center" vertical="center"/>
    </xf>
    <xf numFmtId="0" fontId="5" fillId="0" borderId="3" xfId="0" applyFont="1" applyBorder="1" applyAlignment="1">
      <alignment horizontal="left" vertical="center" wrapText="1"/>
    </xf>
    <xf numFmtId="4" fontId="5" fillId="0" borderId="5" xfId="0" applyNumberFormat="1" applyFont="1" applyBorder="1" applyAlignment="1">
      <alignment vertical="center" wrapText="1"/>
    </xf>
    <xf numFmtId="0" fontId="5" fillId="0" borderId="0" xfId="0" quotePrefix="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3" xfId="0" applyFont="1" applyBorder="1" applyAlignment="1">
      <alignment horizontal="left" vertical="center" wrapText="1" shrinkToFit="1"/>
    </xf>
    <xf numFmtId="170" fontId="4" fillId="0" borderId="9" xfId="0" applyNumberFormat="1" applyFont="1" applyBorder="1" applyAlignment="1">
      <alignment vertical="center" wrapText="1"/>
    </xf>
    <xf numFmtId="0" fontId="4" fillId="0" borderId="3" xfId="0" applyFont="1" applyBorder="1" applyAlignment="1">
      <alignment horizontal="left" vertical="center" wrapText="1" shrinkToFit="1"/>
    </xf>
    <xf numFmtId="0" fontId="6" fillId="0" borderId="3" xfId="0" applyFont="1" applyBorder="1" applyAlignment="1">
      <alignment horizontal="left" vertical="center" wrapText="1"/>
    </xf>
    <xf numFmtId="0" fontId="5" fillId="0" borderId="0" xfId="0" applyFont="1"/>
    <xf numFmtId="0" fontId="6" fillId="0" borderId="0" xfId="0" applyFont="1"/>
    <xf numFmtId="4" fontId="6" fillId="0" borderId="5" xfId="0" applyNumberFormat="1" applyFont="1" applyBorder="1" applyAlignment="1">
      <alignment vertical="center" wrapText="1"/>
    </xf>
    <xf numFmtId="4" fontId="7" fillId="0" borderId="5" xfId="0" applyNumberFormat="1" applyFont="1" applyBorder="1" applyAlignment="1">
      <alignment vertical="center" wrapText="1"/>
    </xf>
    <xf numFmtId="171" fontId="6" fillId="0" borderId="0" xfId="0" applyNumberFormat="1" applyFont="1"/>
    <xf numFmtId="0" fontId="7" fillId="0" borderId="0" xfId="0" applyFont="1" applyAlignment="1">
      <alignment horizontal="center" vertical="center" wrapText="1"/>
    </xf>
    <xf numFmtId="4" fontId="5" fillId="0" borderId="5" xfId="0" applyNumberFormat="1" applyFont="1" applyBorder="1" applyAlignment="1">
      <alignment horizontal="right" vertical="center" wrapText="1"/>
    </xf>
    <xf numFmtId="4" fontId="5" fillId="2" borderId="5" xfId="0" applyNumberFormat="1" applyFont="1" applyFill="1" applyBorder="1" applyAlignment="1">
      <alignment vertical="center" wrapText="1"/>
    </xf>
    <xf numFmtId="2" fontId="5" fillId="0" borderId="3" xfId="0" applyNumberFormat="1" applyFont="1" applyBorder="1" applyAlignment="1">
      <alignment horizontal="center" vertical="center"/>
    </xf>
    <xf numFmtId="172" fontId="5" fillId="0" borderId="3" xfId="0" applyNumberFormat="1" applyFont="1" applyBorder="1" applyAlignment="1">
      <alignment horizontal="center" vertical="center"/>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4" fontId="12" fillId="0" borderId="5" xfId="0" applyNumberFormat="1" applyFont="1" applyBorder="1" applyAlignment="1">
      <alignment vertical="center" wrapText="1"/>
    </xf>
    <xf numFmtId="4" fontId="12" fillId="0" borderId="3" xfId="0" applyNumberFormat="1" applyFont="1" applyBorder="1" applyAlignment="1">
      <alignment vertical="center" wrapText="1"/>
    </xf>
    <xf numFmtId="0" fontId="12" fillId="0" borderId="0" xfId="0" applyFont="1" applyAlignment="1">
      <alignment horizontal="center" vertical="center" wrapText="1"/>
    </xf>
    <xf numFmtId="0" fontId="5" fillId="0" borderId="0" xfId="118" applyFont="1" applyAlignment="1">
      <alignment horizontal="center" vertical="center"/>
    </xf>
    <xf numFmtId="0" fontId="5" fillId="0" borderId="0" xfId="118" applyFont="1"/>
    <xf numFmtId="0" fontId="6" fillId="0" borderId="0" xfId="118" applyFont="1"/>
    <xf numFmtId="0" fontId="8" fillId="0" borderId="1" xfId="118" applyFont="1" applyBorder="1" applyAlignment="1">
      <alignment horizontal="center" vertical="center" wrapText="1"/>
    </xf>
    <xf numFmtId="0" fontId="8" fillId="0" borderId="2" xfId="118" applyFont="1" applyBorder="1" applyAlignment="1">
      <alignment horizontal="center" vertical="center" wrapText="1"/>
    </xf>
    <xf numFmtId="0" fontId="8" fillId="0" borderId="3" xfId="118" applyFont="1" applyBorder="1" applyAlignment="1">
      <alignment horizontal="center" vertical="center" wrapText="1"/>
    </xf>
    <xf numFmtId="0" fontId="14" fillId="0" borderId="3" xfId="118" applyFont="1" applyBorder="1" applyAlignment="1">
      <alignment horizontal="left" vertical="center" wrapText="1"/>
    </xf>
    <xf numFmtId="0" fontId="8" fillId="0" borderId="3" xfId="118" applyFont="1" applyBorder="1" applyAlignment="1">
      <alignment horizontal="left" vertical="center" wrapText="1"/>
    </xf>
    <xf numFmtId="0" fontId="8" fillId="0" borderId="3" xfId="118" applyFont="1" applyBorder="1" applyAlignment="1">
      <alignment horizontal="center" vertical="center"/>
    </xf>
    <xf numFmtId="0" fontId="6" fillId="0" borderId="3" xfId="118" applyFont="1" applyBorder="1" applyAlignment="1">
      <alignment horizontal="center" vertical="center" wrapText="1"/>
    </xf>
    <xf numFmtId="4" fontId="6" fillId="0" borderId="3" xfId="118" applyNumberFormat="1" applyFont="1" applyBorder="1" applyAlignment="1">
      <alignment vertical="center" wrapText="1"/>
    </xf>
    <xf numFmtId="0" fontId="6" fillId="0" borderId="3" xfId="118" applyFont="1" applyBorder="1" applyAlignment="1">
      <alignment horizontal="center" vertical="center"/>
    </xf>
    <xf numFmtId="0" fontId="6" fillId="0" borderId="0" xfId="118" quotePrefix="1" applyFont="1" applyAlignment="1">
      <alignment horizontal="center" vertical="center"/>
    </xf>
    <xf numFmtId="0" fontId="5" fillId="0" borderId="3" xfId="118" applyFont="1" applyBorder="1" applyAlignment="1">
      <alignment horizontal="left" vertical="center" wrapText="1"/>
    </xf>
    <xf numFmtId="0" fontId="5" fillId="0" borderId="3" xfId="118" applyFont="1" applyBorder="1" applyAlignment="1">
      <alignment horizontal="center" vertical="center"/>
    </xf>
    <xf numFmtId="0" fontId="5" fillId="0" borderId="0" xfId="118" applyFont="1" applyAlignment="1">
      <alignment horizontal="center" vertical="center" wrapText="1"/>
    </xf>
    <xf numFmtId="4" fontId="5" fillId="0" borderId="5" xfId="118" applyNumberFormat="1" applyFont="1" applyBorder="1" applyAlignment="1">
      <alignment horizontal="right" vertical="center" wrapText="1"/>
    </xf>
    <xf numFmtId="4" fontId="5" fillId="0" borderId="3" xfId="118" applyNumberFormat="1" applyFont="1" applyBorder="1" applyAlignment="1">
      <alignment vertical="center" wrapText="1"/>
    </xf>
    <xf numFmtId="4" fontId="5" fillId="0" borderId="3" xfId="118" applyNumberFormat="1" applyFont="1" applyBorder="1" applyAlignment="1">
      <alignment horizontal="center" vertical="center" wrapText="1"/>
    </xf>
    <xf numFmtId="0" fontId="5" fillId="0" borderId="3" xfId="118" applyFont="1" applyBorder="1" applyAlignment="1">
      <alignment horizontal="left" vertical="center" wrapText="1" shrinkToFit="1"/>
    </xf>
    <xf numFmtId="0" fontId="5" fillId="0" borderId="3" xfId="118" applyFont="1" applyBorder="1" applyAlignment="1">
      <alignment horizontal="center" vertical="center" wrapText="1"/>
    </xf>
    <xf numFmtId="4" fontId="5" fillId="0" borderId="5" xfId="119" applyNumberFormat="1" applyFont="1" applyBorder="1" applyAlignment="1">
      <alignment vertical="center" wrapText="1"/>
    </xf>
    <xf numFmtId="4" fontId="6" fillId="0" borderId="5" xfId="119" applyNumberFormat="1" applyFont="1" applyBorder="1" applyAlignment="1">
      <alignment vertical="center" wrapText="1"/>
    </xf>
    <xf numFmtId="0" fontId="6" fillId="0" borderId="3" xfId="118" applyFont="1" applyBorder="1" applyAlignment="1">
      <alignment horizontal="left" vertical="center" wrapText="1"/>
    </xf>
    <xf numFmtId="0" fontId="6" fillId="0" borderId="0" xfId="118" applyFont="1" applyAlignment="1">
      <alignment horizontal="center" vertical="center" wrapText="1"/>
    </xf>
    <xf numFmtId="4" fontId="6" fillId="0" borderId="5" xfId="118" applyNumberFormat="1" applyFont="1" applyBorder="1" applyAlignment="1">
      <alignment vertical="center" wrapText="1"/>
    </xf>
    <xf numFmtId="4" fontId="5" fillId="0" borderId="3" xfId="118" applyNumberFormat="1" applyFont="1" applyBorder="1" applyAlignment="1">
      <alignment horizontal="right" vertical="center" wrapText="1"/>
    </xf>
    <xf numFmtId="0" fontId="8" fillId="0" borderId="0" xfId="118" quotePrefix="1" applyFont="1" applyAlignment="1">
      <alignment horizontal="center" vertical="center"/>
    </xf>
    <xf numFmtId="0" fontId="4" fillId="0" borderId="3" xfId="118" applyFont="1" applyBorder="1" applyAlignment="1">
      <alignment horizontal="left" vertical="center" wrapText="1" shrinkToFit="1"/>
    </xf>
    <xf numFmtId="0" fontId="16" fillId="0" borderId="0" xfId="118" applyFont="1"/>
    <xf numFmtId="0" fontId="5" fillId="0" borderId="0" xfId="118" quotePrefix="1" applyFont="1" applyAlignment="1">
      <alignment horizontal="center" vertical="center"/>
    </xf>
    <xf numFmtId="170" fontId="8" fillId="0" borderId="9" xfId="118" applyNumberFormat="1" applyFont="1" applyBorder="1" applyAlignment="1">
      <alignment vertical="center" wrapText="1"/>
    </xf>
    <xf numFmtId="0" fontId="5" fillId="0" borderId="3" xfId="118" quotePrefix="1" applyFont="1" applyBorder="1" applyAlignment="1">
      <alignment horizontal="center" vertical="center"/>
    </xf>
    <xf numFmtId="0" fontId="4" fillId="0" borderId="3" xfId="118" applyFont="1" applyBorder="1" applyAlignment="1">
      <alignment horizontal="left" vertical="center" wrapText="1"/>
    </xf>
    <xf numFmtId="0" fontId="4" fillId="0" borderId="3" xfId="118" applyFont="1" applyBorder="1" applyAlignment="1">
      <alignment horizontal="center" vertical="center"/>
    </xf>
    <xf numFmtId="0" fontId="4" fillId="0" borderId="0" xfId="118" applyFont="1" applyAlignment="1">
      <alignment horizontal="center" vertical="center" wrapText="1"/>
    </xf>
    <xf numFmtId="4" fontId="4" fillId="0" borderId="5" xfId="118" applyNumberFormat="1" applyFont="1" applyBorder="1" applyAlignment="1">
      <alignment horizontal="right" vertical="center" wrapText="1"/>
    </xf>
    <xf numFmtId="4" fontId="4" fillId="0" borderId="3" xfId="118" applyNumberFormat="1" applyFont="1" applyBorder="1" applyAlignment="1">
      <alignment vertical="center" wrapText="1"/>
    </xf>
    <xf numFmtId="0" fontId="7" fillId="0" borderId="0" xfId="118" quotePrefix="1" applyFont="1" applyAlignment="1">
      <alignment horizontal="center" vertical="center"/>
    </xf>
    <xf numFmtId="0" fontId="5" fillId="0" borderId="0" xfId="119" applyFont="1" applyAlignment="1">
      <alignment horizontal="center" vertical="center" wrapText="1"/>
    </xf>
    <xf numFmtId="4" fontId="5" fillId="0" borderId="5" xfId="119" applyNumberFormat="1" applyFont="1" applyBorder="1" applyAlignment="1">
      <alignment horizontal="right" vertical="center" wrapText="1"/>
    </xf>
    <xf numFmtId="0" fontId="6" fillId="0" borderId="0" xfId="118" applyFont="1" applyAlignment="1">
      <alignment horizontal="center" vertical="center"/>
    </xf>
    <xf numFmtId="0" fontId="6" fillId="0" borderId="3" xfId="118" applyFont="1" applyBorder="1" applyAlignment="1">
      <alignment horizontal="left" vertical="center" wrapText="1" shrinkToFit="1"/>
    </xf>
    <xf numFmtId="4" fontId="6" fillId="0" borderId="5" xfId="118" applyNumberFormat="1" applyFont="1" applyBorder="1" applyAlignment="1">
      <alignment horizontal="right" vertical="center" wrapText="1"/>
    </xf>
    <xf numFmtId="172" fontId="4" fillId="0" borderId="3" xfId="118" applyNumberFormat="1" applyFont="1" applyBorder="1" applyAlignment="1">
      <alignment horizontal="center" vertical="center"/>
    </xf>
    <xf numFmtId="0" fontId="4" fillId="0" borderId="3" xfId="120" applyFont="1" applyBorder="1" applyAlignment="1">
      <alignment horizontal="center" vertical="center"/>
    </xf>
    <xf numFmtId="0" fontId="5" fillId="0" borderId="3" xfId="120" applyBorder="1" applyAlignment="1">
      <alignment horizontal="left" vertical="center" wrapText="1"/>
    </xf>
    <xf numFmtId="0" fontId="5" fillId="0" borderId="3" xfId="120" applyBorder="1" applyAlignment="1">
      <alignment horizontal="center" vertical="center"/>
    </xf>
    <xf numFmtId="0" fontId="5" fillId="0" borderId="3" xfId="120" applyBorder="1" applyAlignment="1">
      <alignment horizontal="center" vertical="center" wrapText="1"/>
    </xf>
    <xf numFmtId="4" fontId="5" fillId="0" borderId="3" xfId="120" applyNumberFormat="1" applyBorder="1" applyAlignment="1">
      <alignment horizontal="right" vertical="center" wrapText="1"/>
    </xf>
    <xf numFmtId="0" fontId="18" fillId="0" borderId="3" xfId="118" applyFont="1" applyBorder="1" applyAlignment="1">
      <alignment horizontal="left" vertical="center" wrapText="1"/>
    </xf>
    <xf numFmtId="0" fontId="18" fillId="0" borderId="3" xfId="118" applyFont="1" applyBorder="1" applyAlignment="1">
      <alignment horizontal="center" vertical="center"/>
    </xf>
    <xf numFmtId="0" fontId="18" fillId="0" borderId="3" xfId="118" applyFont="1" applyBorder="1" applyAlignment="1">
      <alignment horizontal="center" vertical="center" wrapText="1"/>
    </xf>
    <xf numFmtId="4" fontId="18" fillId="0" borderId="3" xfId="118" applyNumberFormat="1" applyFont="1" applyBorder="1" applyAlignment="1">
      <alignment vertical="center" wrapText="1"/>
    </xf>
    <xf numFmtId="0" fontId="7" fillId="0" borderId="3" xfId="118" applyFont="1" applyBorder="1" applyAlignment="1">
      <alignment horizontal="left" vertical="center" wrapText="1"/>
    </xf>
    <xf numFmtId="0" fontId="7" fillId="0" borderId="3" xfId="118" applyFont="1" applyBorder="1" applyAlignment="1">
      <alignment horizontal="center" vertical="center"/>
    </xf>
    <xf numFmtId="0" fontId="7" fillId="0" borderId="3" xfId="118" applyFont="1" applyBorder="1" applyAlignment="1">
      <alignment horizontal="center" vertical="center" wrapText="1"/>
    </xf>
    <xf numFmtId="4" fontId="7" fillId="0" borderId="3" xfId="118" applyNumberFormat="1" applyFont="1" applyBorder="1" applyAlignment="1">
      <alignment horizontal="right" vertical="center" wrapText="1"/>
    </xf>
    <xf numFmtId="0" fontId="7" fillId="0" borderId="0" xfId="118" applyFont="1" applyAlignment="1">
      <alignment horizontal="center" vertical="center" wrapText="1"/>
    </xf>
    <xf numFmtId="4" fontId="7" fillId="0" borderId="5" xfId="119" applyNumberFormat="1" applyFont="1" applyBorder="1" applyAlignment="1">
      <alignment vertical="center" wrapText="1"/>
    </xf>
    <xf numFmtId="4" fontId="7" fillId="0" borderId="3" xfId="118" applyNumberFormat="1" applyFont="1" applyBorder="1" applyAlignment="1">
      <alignment vertical="center" wrapText="1"/>
    </xf>
    <xf numFmtId="4" fontId="7" fillId="0" borderId="3" xfId="119" applyNumberFormat="1" applyFont="1" applyBorder="1" applyAlignment="1">
      <alignment vertical="center" wrapText="1"/>
    </xf>
    <xf numFmtId="0" fontId="7" fillId="0" borderId="3" xfId="118" applyFont="1" applyBorder="1" applyAlignment="1">
      <alignment horizontal="left" vertical="center" wrapText="1" shrinkToFit="1"/>
    </xf>
    <xf numFmtId="172" fontId="18" fillId="0" borderId="3" xfId="118" applyNumberFormat="1" applyFont="1" applyBorder="1" applyAlignment="1">
      <alignment horizontal="center" vertical="center"/>
    </xf>
    <xf numFmtId="4" fontId="6" fillId="0" borderId="0" xfId="118" applyNumberFormat="1" applyFont="1"/>
    <xf numFmtId="0" fontId="6" fillId="0" borderId="0" xfId="0" applyFont="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center" vertical="center"/>
    </xf>
    <xf numFmtId="0" fontId="6" fillId="0" borderId="3" xfId="0" applyFont="1" applyBorder="1" applyAlignment="1">
      <alignment horizontal="center" vertical="center" wrapText="1"/>
    </xf>
    <xf numFmtId="0" fontId="8" fillId="0" borderId="3" xfId="0" applyFont="1" applyBorder="1" applyAlignment="1">
      <alignment horizontal="center" vertical="center" wrapText="1"/>
    </xf>
    <xf numFmtId="4" fontId="6" fillId="0" borderId="3" xfId="0" applyNumberFormat="1" applyFont="1" applyBorder="1" applyAlignment="1">
      <alignment vertical="center" wrapText="1"/>
    </xf>
    <xf numFmtId="4" fontId="7" fillId="0" borderId="5" xfId="0" applyNumberFormat="1" applyFont="1" applyBorder="1" applyAlignment="1">
      <alignment horizontal="right" vertical="center" wrapText="1"/>
    </xf>
    <xf numFmtId="4" fontId="7" fillId="0" borderId="3" xfId="0" applyNumberFormat="1" applyFont="1" applyBorder="1" applyAlignment="1">
      <alignment vertical="center" wrapText="1"/>
    </xf>
    <xf numFmtId="4" fontId="5" fillId="0" borderId="5" xfId="0" applyNumberFormat="1" applyFont="1" applyBorder="1" applyAlignment="1">
      <alignment vertical="top" wrapText="1"/>
    </xf>
    <xf numFmtId="0" fontId="41" fillId="0" borderId="3" xfId="0" applyFont="1" applyBorder="1" applyAlignment="1">
      <alignment horizontal="left" vertical="center" wrapText="1"/>
    </xf>
    <xf numFmtId="4" fontId="5" fillId="0" borderId="24" xfId="0" applyNumberFormat="1" applyFont="1" applyBorder="1" applyAlignment="1">
      <alignment vertical="center" wrapText="1"/>
    </xf>
    <xf numFmtId="4" fontId="5" fillId="0" borderId="22" xfId="0" applyNumberFormat="1" applyFont="1" applyBorder="1" applyAlignment="1">
      <alignment vertical="center" wrapText="1"/>
    </xf>
    <xf numFmtId="0" fontId="40" fillId="0" borderId="3" xfId="118" applyFont="1" applyBorder="1" applyAlignment="1">
      <alignment horizontal="left" vertical="center" wrapText="1" shrinkToFit="1"/>
    </xf>
    <xf numFmtId="4" fontId="6" fillId="0" borderId="3" xfId="118" applyNumberFormat="1" applyFont="1" applyBorder="1" applyAlignment="1">
      <alignment horizontal="right" vertical="center" wrapText="1"/>
    </xf>
    <xf numFmtId="0" fontId="5" fillId="0" borderId="28" xfId="120" applyBorder="1"/>
    <xf numFmtId="0" fontId="4" fillId="0" borderId="28" xfId="120" applyFont="1" applyBorder="1" applyAlignment="1">
      <alignment horizontal="center"/>
    </xf>
    <xf numFmtId="0" fontId="5" fillId="0" borderId="28" xfId="120" applyBorder="1" applyAlignment="1">
      <alignment horizontal="center"/>
    </xf>
    <xf numFmtId="176" fontId="5" fillId="0" borderId="28" xfId="120" applyNumberFormat="1" applyBorder="1"/>
    <xf numFmtId="0" fontId="5" fillId="0" borderId="0" xfId="120"/>
    <xf numFmtId="0" fontId="4" fillId="0" borderId="29" xfId="120" applyFont="1" applyBorder="1" applyAlignment="1">
      <alignment horizontal="center"/>
    </xf>
    <xf numFmtId="176" fontId="4" fillId="0" borderId="29" xfId="120" applyNumberFormat="1" applyFont="1" applyBorder="1" applyAlignment="1">
      <alignment horizontal="center"/>
    </xf>
    <xf numFmtId="0" fontId="4" fillId="0" borderId="30" xfId="120" applyFont="1" applyBorder="1" applyAlignment="1">
      <alignment horizontal="center"/>
    </xf>
    <xf numFmtId="176" fontId="4" fillId="0" borderId="30" xfId="120" applyNumberFormat="1" applyFont="1" applyBorder="1" applyAlignment="1">
      <alignment horizontal="center"/>
    </xf>
    <xf numFmtId="0" fontId="4" fillId="0" borderId="31" xfId="120" applyFont="1" applyBorder="1" applyAlignment="1">
      <alignment horizontal="center"/>
    </xf>
    <xf numFmtId="176" fontId="4" fillId="0" borderId="31" xfId="120" applyNumberFormat="1" applyFont="1" applyBorder="1" applyAlignment="1">
      <alignment horizontal="center"/>
    </xf>
    <xf numFmtId="0" fontId="4" fillId="0" borderId="30" xfId="120" applyFont="1" applyBorder="1" applyAlignment="1">
      <alignment horizontal="left" vertical="top"/>
    </xf>
    <xf numFmtId="0" fontId="46" fillId="0" borderId="30" xfId="120" applyFont="1" applyBorder="1" applyAlignment="1">
      <alignment vertical="top" wrapText="1"/>
    </xf>
    <xf numFmtId="0" fontId="41" fillId="0" borderId="30" xfId="120" applyFont="1" applyBorder="1" applyAlignment="1">
      <alignment horizontal="center"/>
    </xf>
    <xf numFmtId="0" fontId="4" fillId="0" borderId="30" xfId="120" applyFont="1" applyBorder="1" applyAlignment="1">
      <alignment horizontal="center" vertical="top"/>
    </xf>
    <xf numFmtId="176" fontId="4" fillId="0" borderId="30" xfId="120" applyNumberFormat="1" applyFont="1" applyBorder="1" applyAlignment="1">
      <alignment vertical="top"/>
    </xf>
    <xf numFmtId="0" fontId="4" fillId="0" borderId="30" xfId="120" applyFont="1" applyBorder="1" applyAlignment="1">
      <alignment vertical="top" wrapText="1"/>
    </xf>
    <xf numFmtId="0" fontId="5" fillId="0" borderId="30" xfId="120" applyBorder="1" applyAlignment="1">
      <alignment vertical="top" wrapText="1"/>
    </xf>
    <xf numFmtId="0" fontId="5" fillId="0" borderId="30" xfId="120" applyBorder="1" applyAlignment="1">
      <alignment horizontal="center" vertical="top"/>
    </xf>
    <xf numFmtId="176" fontId="5" fillId="0" borderId="30" xfId="120" applyNumberFormat="1" applyBorder="1" applyAlignment="1">
      <alignment vertical="top"/>
    </xf>
    <xf numFmtId="0" fontId="6" fillId="0" borderId="30" xfId="120" applyFont="1" applyBorder="1" applyAlignment="1">
      <alignment vertical="top" wrapText="1"/>
    </xf>
    <xf numFmtId="0" fontId="6" fillId="0" borderId="30" xfId="120" applyFont="1" applyBorder="1" applyAlignment="1">
      <alignment horizontal="center" vertical="top"/>
    </xf>
    <xf numFmtId="176" fontId="6" fillId="0" borderId="30" xfId="120" applyNumberFormat="1" applyFont="1" applyBorder="1" applyAlignment="1">
      <alignment vertical="top"/>
    </xf>
    <xf numFmtId="176" fontId="7" fillId="0" borderId="30" xfId="120" applyNumberFormat="1" applyFont="1" applyBorder="1" applyAlignment="1">
      <alignment vertical="top"/>
    </xf>
    <xf numFmtId="0" fontId="7" fillId="0" borderId="30" xfId="120" applyFont="1" applyBorder="1" applyAlignment="1">
      <alignment vertical="top" wrapText="1"/>
    </xf>
    <xf numFmtId="0" fontId="7" fillId="0" borderId="30" xfId="120" applyFont="1" applyBorder="1" applyAlignment="1">
      <alignment horizontal="center" vertical="top"/>
    </xf>
    <xf numFmtId="0" fontId="5" fillId="26" borderId="30" xfId="120" applyFill="1" applyBorder="1" applyAlignment="1">
      <alignment vertical="top" wrapText="1"/>
    </xf>
    <xf numFmtId="0" fontId="5" fillId="26" borderId="30" xfId="120" applyFill="1" applyBorder="1" applyAlignment="1">
      <alignment horizontal="center" vertical="top"/>
    </xf>
    <xf numFmtId="0" fontId="5" fillId="26" borderId="0" xfId="120" applyFill="1"/>
    <xf numFmtId="177" fontId="5" fillId="0" borderId="30" xfId="120" applyNumberFormat="1" applyBorder="1" applyAlignment="1">
      <alignment vertical="top"/>
    </xf>
    <xf numFmtId="0" fontId="5" fillId="0" borderId="30" xfId="120" applyBorder="1"/>
    <xf numFmtId="0" fontId="5" fillId="0" borderId="30" xfId="120" applyBorder="1" applyAlignment="1">
      <alignment horizontal="center"/>
    </xf>
    <xf numFmtId="176" fontId="5" fillId="0" borderId="30" xfId="120" applyNumberFormat="1" applyBorder="1"/>
    <xf numFmtId="0" fontId="5" fillId="0" borderId="31" xfId="120" applyBorder="1" applyAlignment="1">
      <alignment vertical="top" wrapText="1"/>
    </xf>
    <xf numFmtId="0" fontId="5" fillId="0" borderId="31" xfId="120" applyBorder="1" applyAlignment="1">
      <alignment horizontal="center" vertical="top"/>
    </xf>
    <xf numFmtId="177" fontId="5" fillId="0" borderId="31" xfId="120" applyNumberFormat="1" applyBorder="1" applyAlignment="1">
      <alignment vertical="top"/>
    </xf>
    <xf numFmtId="176" fontId="5" fillId="0" borderId="31" xfId="120" applyNumberFormat="1" applyBorder="1" applyAlignment="1">
      <alignment vertical="top"/>
    </xf>
    <xf numFmtId="0" fontId="5" fillId="0" borderId="29" xfId="120" applyBorder="1" applyAlignment="1">
      <alignment horizontal="center"/>
    </xf>
    <xf numFmtId="0" fontId="5" fillId="0" borderId="29" xfId="120" applyBorder="1"/>
    <xf numFmtId="177" fontId="5" fillId="0" borderId="29" xfId="120" applyNumberFormat="1" applyBorder="1"/>
    <xf numFmtId="176" fontId="5" fillId="0" borderId="29" xfId="120" applyNumberFormat="1" applyBorder="1"/>
    <xf numFmtId="0" fontId="4" fillId="0" borderId="30" xfId="120" applyFont="1" applyBorder="1"/>
    <xf numFmtId="177" fontId="5" fillId="0" borderId="30" xfId="120" applyNumberFormat="1" applyBorder="1"/>
    <xf numFmtId="176" fontId="4" fillId="0" borderId="30" xfId="120" applyNumberFormat="1" applyFont="1" applyBorder="1"/>
    <xf numFmtId="0" fontId="5" fillId="0" borderId="31" xfId="120" applyBorder="1" applyAlignment="1">
      <alignment horizontal="center"/>
    </xf>
    <xf numFmtId="0" fontId="4" fillId="0" borderId="31" xfId="120" applyFont="1" applyBorder="1"/>
    <xf numFmtId="177" fontId="5" fillId="0" borderId="31" xfId="120" applyNumberFormat="1" applyBorder="1"/>
    <xf numFmtId="176" fontId="5" fillId="0" borderId="31" xfId="120" applyNumberFormat="1" applyBorder="1"/>
    <xf numFmtId="0" fontId="5" fillId="0" borderId="31" xfId="120" applyBorder="1"/>
    <xf numFmtId="176" fontId="5" fillId="0" borderId="30" xfId="120" applyNumberFormat="1" applyBorder="1" applyAlignment="1">
      <alignment horizontal="center" vertical="top"/>
    </xf>
    <xf numFmtId="9" fontId="5" fillId="0" borderId="30" xfId="258" applyFont="1" applyBorder="1" applyAlignment="1">
      <alignment vertical="top"/>
    </xf>
    <xf numFmtId="177" fontId="5" fillId="26" borderId="30" xfId="120" applyNumberFormat="1" applyFill="1" applyBorder="1" applyAlignment="1">
      <alignment vertical="top"/>
    </xf>
    <xf numFmtId="0" fontId="5" fillId="0" borderId="30" xfId="120" applyBorder="1" applyAlignment="1">
      <alignment horizontal="center" vertical="top" wrapText="1"/>
    </xf>
    <xf numFmtId="177" fontId="5" fillId="0" borderId="30" xfId="120" applyNumberFormat="1" applyBorder="1" applyAlignment="1">
      <alignment vertical="top" wrapText="1"/>
    </xf>
    <xf numFmtId="0" fontId="5" fillId="0" borderId="0" xfId="120" applyAlignment="1">
      <alignment horizontal="center"/>
    </xf>
    <xf numFmtId="176" fontId="5" fillId="0" borderId="0" xfId="120" applyNumberFormat="1"/>
    <xf numFmtId="0" fontId="5" fillId="0" borderId="0" xfId="120" applyAlignment="1">
      <alignment horizontal="left"/>
    </xf>
    <xf numFmtId="168" fontId="4" fillId="0" borderId="0" xfId="120" applyNumberFormat="1" applyFont="1"/>
    <xf numFmtId="0" fontId="5" fillId="0" borderId="0" xfId="120" applyAlignment="1">
      <alignment horizontal="center" wrapText="1"/>
    </xf>
    <xf numFmtId="0" fontId="5" fillId="0" borderId="0" xfId="120" applyAlignment="1">
      <alignment wrapText="1"/>
    </xf>
    <xf numFmtId="0" fontId="4" fillId="0" borderId="0" xfId="120" applyFont="1" applyAlignment="1">
      <alignment horizontal="center" vertical="center" wrapText="1"/>
    </xf>
    <xf numFmtId="167" fontId="5" fillId="0" borderId="0" xfId="120" applyNumberFormat="1"/>
    <xf numFmtId="169" fontId="5" fillId="0" borderId="0" xfId="120" applyNumberFormat="1"/>
    <xf numFmtId="168" fontId="5" fillId="0" borderId="0" xfId="120" applyNumberFormat="1"/>
    <xf numFmtId="4" fontId="6" fillId="0" borderId="0" xfId="0" applyNumberFormat="1" applyFont="1"/>
    <xf numFmtId="181" fontId="6" fillId="0" borderId="0" xfId="192" applyNumberFormat="1" applyFont="1" applyBorder="1" applyAlignment="1">
      <alignment horizontal="center" vertical="center" wrapText="1"/>
    </xf>
    <xf numFmtId="181" fontId="6" fillId="0" borderId="3" xfId="192" applyNumberFormat="1" applyFont="1" applyBorder="1" applyAlignment="1">
      <alignment horizontal="center" vertical="center" wrapText="1"/>
    </xf>
    <xf numFmtId="0" fontId="6" fillId="0" borderId="0" xfId="0" applyFont="1" applyAlignment="1">
      <alignment horizontal="center"/>
    </xf>
    <xf numFmtId="181" fontId="5" fillId="0" borderId="3" xfId="192" applyNumberFormat="1" applyFont="1" applyBorder="1" applyAlignment="1">
      <alignment horizontal="center" vertical="center" wrapText="1"/>
    </xf>
    <xf numFmtId="0" fontId="6" fillId="0" borderId="0" xfId="0" quotePrefix="1" applyFont="1" applyAlignment="1">
      <alignment horizontal="center" vertical="center"/>
    </xf>
    <xf numFmtId="0" fontId="5" fillId="0" borderId="34" xfId="0" applyFont="1" applyBorder="1" applyAlignment="1">
      <alignment horizontal="left" vertical="center" wrapText="1"/>
    </xf>
    <xf numFmtId="0" fontId="5" fillId="0" borderId="34" xfId="0" applyFont="1" applyBorder="1" applyAlignment="1">
      <alignment horizontal="center" vertical="center"/>
    </xf>
    <xf numFmtId="4" fontId="5" fillId="0" borderId="35" xfId="0" applyNumberFormat="1" applyFont="1" applyBorder="1" applyAlignment="1">
      <alignment vertical="center" wrapText="1"/>
    </xf>
    <xf numFmtId="4" fontId="5" fillId="0" borderId="34" xfId="0" applyNumberFormat="1" applyFont="1" applyBorder="1" applyAlignment="1">
      <alignment vertical="center" wrapText="1"/>
    </xf>
    <xf numFmtId="165" fontId="5" fillId="0" borderId="0" xfId="120" applyNumberFormat="1"/>
    <xf numFmtId="0" fontId="7" fillId="0" borderId="30" xfId="120" applyFont="1" applyBorder="1" applyAlignment="1">
      <alignment horizontal="center" vertical="top" wrapText="1"/>
    </xf>
    <xf numFmtId="4" fontId="4" fillId="0" borderId="35" xfId="0" applyNumberFormat="1" applyFont="1" applyBorder="1" applyAlignment="1">
      <alignment horizontal="right" vertical="center" wrapText="1"/>
    </xf>
    <xf numFmtId="4" fontId="4" fillId="0" borderId="35" xfId="0" applyNumberFormat="1" applyFont="1" applyBorder="1" applyAlignment="1">
      <alignment vertical="center" wrapText="1"/>
    </xf>
    <xf numFmtId="0" fontId="4" fillId="0" borderId="0" xfId="292" applyFont="1" applyProtection="1">
      <protection locked="0"/>
    </xf>
    <xf numFmtId="0" fontId="5" fillId="0" borderId="0" xfId="292" applyFont="1" applyProtection="1">
      <protection locked="0"/>
    </xf>
    <xf numFmtId="0" fontId="52" fillId="0" borderId="0" xfId="292" applyProtection="1">
      <protection locked="0"/>
    </xf>
    <xf numFmtId="0" fontId="4" fillId="0" borderId="36" xfId="292" applyFont="1" applyBorder="1" applyAlignment="1" applyProtection="1">
      <alignment horizontal="center" vertical="center" wrapText="1"/>
      <protection locked="0"/>
    </xf>
    <xf numFmtId="0" fontId="4" fillId="0" borderId="37" xfId="292" applyFont="1" applyBorder="1" applyAlignment="1" applyProtection="1">
      <alignment horizontal="center" vertical="center"/>
      <protection locked="0"/>
    </xf>
    <xf numFmtId="0" fontId="4" fillId="0" borderId="31" xfId="292" applyFont="1" applyBorder="1" applyAlignment="1" applyProtection="1">
      <alignment horizontal="center" vertical="center"/>
      <protection locked="0"/>
    </xf>
    <xf numFmtId="0" fontId="4" fillId="0" borderId="38" xfId="292" applyFont="1" applyBorder="1" applyAlignment="1" applyProtection="1">
      <alignment horizontal="center" vertical="center"/>
      <protection locked="0"/>
    </xf>
    <xf numFmtId="0" fontId="5" fillId="0" borderId="37" xfId="292" applyFont="1" applyBorder="1" applyAlignment="1" applyProtection="1">
      <alignment horizontal="center" vertical="center"/>
      <protection locked="0"/>
    </xf>
    <xf numFmtId="0" fontId="54" fillId="0" borderId="0" xfId="297" applyNumberFormat="1" applyFont="1" applyAlignment="1" applyProtection="1">
      <alignment vertical="center" wrapText="1"/>
      <protection locked="0"/>
    </xf>
    <xf numFmtId="178" fontId="5" fillId="0" borderId="37" xfId="226" applyNumberFormat="1" applyBorder="1" applyAlignment="1" applyProtection="1">
      <alignment horizontal="right" vertical="center"/>
      <protection locked="0"/>
    </xf>
    <xf numFmtId="43" fontId="5" fillId="0" borderId="39" xfId="281" applyNumberFormat="1" applyBorder="1" applyAlignment="1" applyProtection="1">
      <alignment horizontal="center" vertical="center"/>
      <protection locked="0"/>
    </xf>
    <xf numFmtId="43" fontId="5" fillId="0" borderId="40" xfId="226" applyNumberFormat="1" applyBorder="1" applyAlignment="1">
      <alignment horizontal="center" vertical="center"/>
    </xf>
    <xf numFmtId="0" fontId="55" fillId="0" borderId="0" xfId="297" applyNumberFormat="1" applyFont="1" applyAlignment="1" applyProtection="1">
      <alignment vertical="center" wrapText="1"/>
      <protection locked="0"/>
    </xf>
    <xf numFmtId="0" fontId="5" fillId="0" borderId="41" xfId="292" applyFont="1" applyBorder="1" applyAlignment="1" applyProtection="1">
      <alignment horizontal="center" vertical="center"/>
      <protection locked="0"/>
    </xf>
    <xf numFmtId="0" fontId="5" fillId="0" borderId="41" xfId="297" applyNumberFormat="1" applyFont="1" applyBorder="1" applyAlignment="1" applyProtection="1">
      <alignment vertical="center" wrapText="1"/>
      <protection locked="0"/>
    </xf>
    <xf numFmtId="169" fontId="5" fillId="0" borderId="39" xfId="292" applyNumberFormat="1" applyFont="1" applyBorder="1" applyAlignment="1" applyProtection="1">
      <alignment horizontal="right" vertical="center"/>
      <protection locked="0"/>
    </xf>
    <xf numFmtId="3" fontId="5" fillId="0" borderId="37" xfId="226" applyBorder="1" applyAlignment="1" applyProtection="1">
      <alignment horizontal="right" vertical="center"/>
      <protection locked="0"/>
    </xf>
    <xf numFmtId="0" fontId="5" fillId="0" borderId="41" xfId="302" applyFont="1" applyBorder="1" applyAlignment="1" applyProtection="1">
      <alignment vertical="center" wrapText="1"/>
      <protection locked="0"/>
    </xf>
    <xf numFmtId="3" fontId="5" fillId="0" borderId="37" xfId="292" applyNumberFormat="1" applyFont="1" applyBorder="1" applyAlignment="1" applyProtection="1">
      <alignment horizontal="right" vertical="center"/>
      <protection locked="0"/>
    </xf>
    <xf numFmtId="0" fontId="5" fillId="0" borderId="45" xfId="292" applyFont="1" applyBorder="1" applyAlignment="1" applyProtection="1">
      <alignment horizontal="center" vertical="center"/>
      <protection locked="0"/>
    </xf>
    <xf numFmtId="0" fontId="5" fillId="0" borderId="0" xfId="292" applyFont="1" applyAlignment="1" applyProtection="1">
      <alignment horizontal="center" vertical="center"/>
      <protection locked="0"/>
    </xf>
    <xf numFmtId="178" fontId="5" fillId="0" borderId="39" xfId="226" applyNumberFormat="1" applyBorder="1" applyAlignment="1" applyProtection="1">
      <alignment horizontal="right" vertical="center"/>
      <protection locked="0"/>
    </xf>
    <xf numFmtId="43" fontId="4" fillId="0" borderId="44" xfId="226" applyNumberFormat="1" applyFont="1" applyBorder="1" applyAlignment="1">
      <alignment horizontal="center" vertical="center"/>
    </xf>
    <xf numFmtId="169" fontId="5" fillId="0" borderId="0" xfId="292" applyNumberFormat="1" applyFont="1" applyProtection="1">
      <protection locked="0"/>
    </xf>
    <xf numFmtId="0" fontId="56" fillId="0" borderId="0" xfId="292" applyFont="1" applyProtection="1">
      <protection locked="0"/>
    </xf>
    <xf numFmtId="169" fontId="56" fillId="0" borderId="0" xfId="292" applyNumberFormat="1" applyFont="1" applyProtection="1">
      <protection locked="0"/>
    </xf>
    <xf numFmtId="0" fontId="57" fillId="0" borderId="33" xfId="0" applyFont="1" applyBorder="1" applyAlignment="1">
      <alignment horizontal="center"/>
    </xf>
    <xf numFmtId="0" fontId="57" fillId="0" borderId="0" xfId="0" applyFont="1" applyAlignment="1">
      <alignment horizontal="center" wrapText="1"/>
    </xf>
    <xf numFmtId="182" fontId="5" fillId="0" borderId="0" xfId="120" applyNumberFormat="1"/>
    <xf numFmtId="0" fontId="5" fillId="0" borderId="34" xfId="0" applyFont="1" applyBorder="1" applyAlignment="1">
      <alignment horizontal="center" vertical="center" wrapText="1"/>
    </xf>
    <xf numFmtId="4" fontId="6" fillId="0" borderId="35" xfId="0" applyNumberFormat="1" applyFont="1" applyBorder="1" applyAlignment="1">
      <alignment vertical="center" wrapText="1"/>
    </xf>
    <xf numFmtId="2" fontId="4" fillId="0" borderId="3" xfId="0" applyNumberFormat="1" applyFont="1" applyBorder="1" applyAlignment="1">
      <alignment horizontal="center" vertical="center"/>
    </xf>
    <xf numFmtId="4" fontId="4" fillId="0" borderId="5" xfId="0" applyNumberFormat="1" applyFont="1" applyBorder="1" applyAlignment="1">
      <alignment vertical="center" wrapText="1"/>
    </xf>
    <xf numFmtId="0" fontId="4" fillId="0" borderId="37" xfId="120" applyFont="1" applyBorder="1" applyAlignment="1">
      <alignment horizontal="center" vertical="top"/>
    </xf>
    <xf numFmtId="0" fontId="5" fillId="0" borderId="37" xfId="120" applyBorder="1" applyAlignment="1">
      <alignment horizontal="center" vertical="top" wrapText="1"/>
    </xf>
    <xf numFmtId="0" fontId="5" fillId="0" borderId="37" xfId="120" applyBorder="1" applyAlignment="1">
      <alignment vertical="top" wrapText="1"/>
    </xf>
    <xf numFmtId="177" fontId="5" fillId="0" borderId="37" xfId="120" applyNumberFormat="1" applyBorder="1" applyAlignment="1">
      <alignment vertical="top"/>
    </xf>
    <xf numFmtId="176" fontId="5" fillId="0" borderId="37" xfId="120" applyNumberFormat="1" applyBorder="1" applyAlignment="1">
      <alignment vertical="top"/>
    </xf>
    <xf numFmtId="0" fontId="5" fillId="0" borderId="37" xfId="120" applyBorder="1" applyAlignment="1">
      <alignment horizontal="center" vertical="top"/>
    </xf>
    <xf numFmtId="0" fontId="6" fillId="0" borderId="34" xfId="118" applyFont="1" applyBorder="1" applyAlignment="1">
      <alignment horizontal="center" vertical="center" wrapText="1"/>
    </xf>
    <xf numFmtId="0" fontId="4" fillId="0" borderId="0" xfId="0" applyFont="1" applyAlignment="1">
      <alignment horizontal="center" vertical="center" wrapText="1"/>
    </xf>
    <xf numFmtId="0" fontId="8" fillId="0" borderId="34" xfId="298" applyFont="1" applyBorder="1" applyAlignment="1">
      <alignment horizontal="left" vertical="center" wrapText="1"/>
    </xf>
    <xf numFmtId="0" fontId="5" fillId="0" borderId="34" xfId="298" applyFont="1" applyBorder="1" applyAlignment="1">
      <alignment horizontal="center" vertical="center"/>
    </xf>
    <xf numFmtId="0" fontId="5" fillId="0" borderId="0" xfId="298" applyFont="1" applyAlignment="1">
      <alignment horizontal="center" vertical="center" wrapText="1"/>
    </xf>
    <xf numFmtId="4" fontId="6" fillId="0" borderId="35" xfId="298" applyNumberFormat="1" applyFont="1" applyBorder="1" applyAlignment="1">
      <alignment vertical="center" wrapText="1"/>
    </xf>
    <xf numFmtId="4" fontId="6" fillId="0" borderId="34" xfId="298" applyNumberFormat="1" applyFont="1" applyBorder="1" applyAlignment="1">
      <alignment vertical="center" wrapText="1"/>
    </xf>
    <xf numFmtId="0" fontId="4" fillId="0" borderId="34" xfId="0" applyFont="1" applyBorder="1" applyAlignment="1">
      <alignment horizontal="center" vertical="center" wrapText="1"/>
    </xf>
    <xf numFmtId="0" fontId="14" fillId="0" borderId="34" xfId="118" applyFont="1" applyBorder="1" applyAlignment="1">
      <alignment horizontal="left" vertical="center" wrapText="1"/>
    </xf>
    <xf numFmtId="0" fontId="16" fillId="0" borderId="0" xfId="298" quotePrefix="1" applyFont="1" applyAlignment="1">
      <alignment horizontal="center" vertical="center"/>
    </xf>
    <xf numFmtId="0" fontId="5" fillId="0" borderId="37" xfId="293" applyFont="1" applyBorder="1" applyAlignment="1">
      <alignment horizontal="left" vertical="center" wrapText="1"/>
    </xf>
    <xf numFmtId="0" fontId="5" fillId="0" borderId="37" xfId="293" applyFont="1" applyBorder="1" applyAlignment="1">
      <alignment horizontal="center" vertical="center"/>
    </xf>
    <xf numFmtId="1" fontId="5" fillId="0" borderId="37" xfId="286" applyNumberFormat="1" applyFont="1" applyFill="1" applyBorder="1" applyAlignment="1">
      <alignment horizontal="center" vertical="center"/>
    </xf>
    <xf numFmtId="0" fontId="5" fillId="0" borderId="37" xfId="293" applyFont="1" applyBorder="1" applyAlignment="1">
      <alignment vertical="center" wrapText="1"/>
    </xf>
    <xf numFmtId="49" fontId="5" fillId="0" borderId="37" xfId="293" applyNumberFormat="1" applyFont="1" applyBorder="1" applyAlignment="1">
      <alignment horizontal="center" vertical="center"/>
    </xf>
    <xf numFmtId="4" fontId="5" fillId="0" borderId="41" xfId="286" applyNumberFormat="1" applyFont="1" applyFill="1" applyBorder="1" applyAlignment="1">
      <alignment horizontal="right" vertical="center"/>
    </xf>
    <xf numFmtId="4" fontId="5" fillId="0" borderId="34" xfId="225" applyNumberFormat="1" applyFont="1" applyBorder="1" applyAlignment="1">
      <alignment vertical="center"/>
    </xf>
    <xf numFmtId="4" fontId="5" fillId="0" borderId="37" xfId="286" applyNumberFormat="1" applyFont="1" applyFill="1" applyBorder="1" applyAlignment="1">
      <alignment horizontal="right" vertical="center"/>
    </xf>
    <xf numFmtId="4" fontId="5" fillId="0" borderId="37" xfId="225" applyNumberFormat="1" applyFont="1" applyBorder="1" applyAlignment="1">
      <alignment vertical="center"/>
    </xf>
    <xf numFmtId="0" fontId="8" fillId="0" borderId="34" xfId="118" applyFont="1" applyBorder="1" applyAlignment="1">
      <alignment horizontal="center" vertical="center" wrapText="1"/>
    </xf>
    <xf numFmtId="4" fontId="55" fillId="0" borderId="35" xfId="0" applyNumberFormat="1" applyFont="1" applyBorder="1" applyAlignment="1">
      <alignment vertical="center" wrapText="1"/>
    </xf>
    <xf numFmtId="4" fontId="55" fillId="0" borderId="34" xfId="0" applyNumberFormat="1" applyFont="1" applyBorder="1" applyAlignment="1">
      <alignment vertical="center" wrapText="1"/>
    </xf>
    <xf numFmtId="0" fontId="12" fillId="0" borderId="0" xfId="0" applyFont="1"/>
    <xf numFmtId="4" fontId="12" fillId="0" borderId="0" xfId="0" applyNumberFormat="1" applyFont="1"/>
    <xf numFmtId="0" fontId="12" fillId="0" borderId="34" xfId="0" applyFont="1" applyBorder="1" applyAlignment="1">
      <alignment horizontal="left" vertical="center" wrapText="1"/>
    </xf>
    <xf numFmtId="0" fontId="12" fillId="0" borderId="34" xfId="0" applyFont="1" applyBorder="1" applyAlignment="1">
      <alignment horizontal="center" vertical="center" wrapText="1"/>
    </xf>
    <xf numFmtId="0" fontId="60" fillId="0" borderId="39" xfId="0" applyFont="1" applyBorder="1" applyAlignment="1">
      <alignment horizontal="center" vertical="center"/>
    </xf>
    <xf numFmtId="0" fontId="40" fillId="0" borderId="46" xfId="0" applyFont="1" applyBorder="1"/>
    <xf numFmtId="183" fontId="40" fillId="0" borderId="46" xfId="0" applyNumberFormat="1" applyFont="1" applyBorder="1"/>
    <xf numFmtId="0" fontId="40" fillId="0" borderId="47" xfId="0" applyFont="1" applyBorder="1"/>
    <xf numFmtId="0" fontId="40" fillId="0" borderId="47" xfId="0" applyFont="1" applyBorder="1" applyAlignment="1">
      <alignment wrapText="1"/>
    </xf>
    <xf numFmtId="0" fontId="40" fillId="0" borderId="47" xfId="0" applyFont="1" applyBorder="1" applyAlignment="1">
      <alignment horizontal="center"/>
    </xf>
    <xf numFmtId="3" fontId="40" fillId="0" borderId="0" xfId="0" applyNumberFormat="1" applyFont="1" applyAlignment="1">
      <alignment horizontal="center"/>
    </xf>
    <xf numFmtId="0" fontId="60" fillId="0" borderId="47" xfId="0" applyFont="1" applyBorder="1" applyAlignment="1">
      <alignment horizontal="center" vertical="center"/>
    </xf>
    <xf numFmtId="0" fontId="41" fillId="0" borderId="0" xfId="0" applyFont="1" applyAlignment="1">
      <alignment horizontal="left" vertical="center" wrapText="1"/>
    </xf>
    <xf numFmtId="0" fontId="40" fillId="0" borderId="47" xfId="0" applyFont="1" applyBorder="1" applyAlignment="1">
      <alignment vertical="center" wrapText="1"/>
    </xf>
    <xf numFmtId="0" fontId="40" fillId="0" borderId="47" xfId="0" applyFont="1" applyBorder="1" applyAlignment="1">
      <alignment horizontal="center" vertical="center"/>
    </xf>
    <xf numFmtId="0" fontId="40" fillId="0" borderId="46" xfId="0" applyFont="1" applyBorder="1" applyAlignment="1">
      <alignment horizontal="center"/>
    </xf>
    <xf numFmtId="0" fontId="40" fillId="0" borderId="46" xfId="0" applyFont="1" applyBorder="1" applyAlignment="1">
      <alignment horizontal="center" vertical="center"/>
    </xf>
    <xf numFmtId="0" fontId="60" fillId="0" borderId="46" xfId="0" applyFont="1" applyBorder="1" applyAlignment="1">
      <alignment horizontal="center" vertical="center"/>
    </xf>
    <xf numFmtId="0" fontId="61" fillId="0" borderId="48" xfId="0" applyFont="1" applyBorder="1" applyAlignment="1">
      <alignment horizontal="center" vertical="center"/>
    </xf>
    <xf numFmtId="0" fontId="5" fillId="0" borderId="48" xfId="0" applyFont="1" applyBorder="1" applyAlignment="1">
      <alignment horizontal="center" vertical="center" wrapText="1"/>
    </xf>
    <xf numFmtId="0" fontId="57" fillId="0" borderId="47" xfId="0" applyFont="1" applyBorder="1" applyAlignment="1">
      <alignment horizontal="center"/>
    </xf>
    <xf numFmtId="0" fontId="5" fillId="0" borderId="48" xfId="0" applyFont="1" applyBorder="1" applyAlignment="1">
      <alignment horizontal="left" vertical="center" wrapText="1"/>
    </xf>
    <xf numFmtId="0" fontId="5" fillId="0" borderId="48" xfId="0" applyFont="1" applyBorder="1" applyAlignment="1">
      <alignment horizontal="left" vertical="center" wrapText="1" shrinkToFit="1"/>
    </xf>
    <xf numFmtId="0" fontId="5" fillId="0" borderId="48" xfId="0" applyFont="1" applyBorder="1" applyAlignment="1">
      <alignment horizontal="center" vertical="center"/>
    </xf>
    <xf numFmtId="0" fontId="7" fillId="0" borderId="0" xfId="120" applyFont="1"/>
    <xf numFmtId="0" fontId="60" fillId="0" borderId="0" xfId="303" applyFont="1" applyAlignment="1">
      <alignment horizontal="left" vertical="center"/>
    </xf>
    <xf numFmtId="0" fontId="40" fillId="0" borderId="0" xfId="303" applyFont="1" applyAlignment="1">
      <alignment horizontal="center" vertical="center"/>
    </xf>
    <xf numFmtId="1" fontId="40" fillId="0" borderId="0" xfId="303" applyNumberFormat="1" applyFont="1" applyAlignment="1">
      <alignment horizontal="center" vertical="center"/>
    </xf>
    <xf numFmtId="168" fontId="40" fillId="0" borderId="0" xfId="303" applyNumberFormat="1" applyFont="1" applyAlignment="1">
      <alignment horizontal="center" vertical="center"/>
    </xf>
    <xf numFmtId="0" fontId="62" fillId="0" borderId="0" xfId="303">
      <alignment wrapText="1"/>
    </xf>
    <xf numFmtId="0" fontId="60" fillId="0" borderId="0" xfId="303" applyFont="1" applyAlignment="1">
      <alignment horizontal="center" vertical="center" wrapText="1"/>
    </xf>
    <xf numFmtId="0" fontId="60" fillId="0" borderId="0" xfId="303" applyFont="1">
      <alignment wrapText="1"/>
    </xf>
    <xf numFmtId="0" fontId="60" fillId="0" borderId="28" xfId="303" applyFont="1" applyBorder="1" applyAlignment="1">
      <alignment horizontal="left"/>
    </xf>
    <xf numFmtId="0" fontId="60" fillId="0" borderId="28" xfId="303" applyFont="1" applyBorder="1" applyAlignment="1"/>
    <xf numFmtId="1" fontId="60" fillId="0" borderId="28" xfId="303" applyNumberFormat="1" applyFont="1" applyBorder="1" applyAlignment="1"/>
    <xf numFmtId="1" fontId="60" fillId="0" borderId="52" xfId="304" applyNumberFormat="1" applyFont="1" applyFill="1" applyBorder="1" applyAlignment="1">
      <alignment horizontal="center" vertical="center" wrapText="1"/>
    </xf>
    <xf numFmtId="168" fontId="60" fillId="0" borderId="52" xfId="304" applyNumberFormat="1" applyFont="1" applyFill="1" applyBorder="1" applyAlignment="1">
      <alignment horizontal="center" vertical="center" wrapText="1"/>
    </xf>
    <xf numFmtId="0" fontId="40" fillId="0" borderId="46" xfId="303" applyFont="1" applyBorder="1" applyAlignment="1">
      <alignment horizontal="center" vertical="center"/>
    </xf>
    <xf numFmtId="0" fontId="40" fillId="0" borderId="46" xfId="303" applyFont="1" applyBorder="1" applyAlignment="1">
      <alignment horizontal="center" vertical="center" wrapText="1"/>
    </xf>
    <xf numFmtId="0" fontId="64" fillId="0" borderId="46" xfId="303" quotePrefix="1" applyFont="1" applyBorder="1">
      <alignment wrapText="1"/>
    </xf>
    <xf numFmtId="1" fontId="40" fillId="0" borderId="46" xfId="303" applyNumberFormat="1" applyFont="1" applyBorder="1" applyAlignment="1">
      <alignment horizontal="center" vertical="center"/>
    </xf>
    <xf numFmtId="168" fontId="40" fillId="0" borderId="46" xfId="305" applyFont="1" applyFill="1" applyBorder="1" applyAlignment="1">
      <alignment horizontal="center" vertical="center"/>
    </xf>
    <xf numFmtId="0" fontId="60" fillId="0" borderId="46" xfId="303" applyFont="1" applyBorder="1" applyAlignment="1">
      <alignment horizontal="center" vertical="center" wrapText="1"/>
    </xf>
    <xf numFmtId="0" fontId="65" fillId="0" borderId="46" xfId="303" applyFont="1" applyBorder="1">
      <alignment wrapText="1"/>
    </xf>
    <xf numFmtId="0" fontId="40" fillId="0" borderId="46" xfId="303" quotePrefix="1" applyFont="1" applyBorder="1" applyAlignment="1">
      <alignment horizontal="center" vertical="center" wrapText="1"/>
    </xf>
    <xf numFmtId="0" fontId="40" fillId="0" borderId="46" xfId="303" quotePrefix="1" applyFont="1" applyBorder="1" applyAlignment="1">
      <alignment horizontal="left" wrapText="1"/>
    </xf>
    <xf numFmtId="0" fontId="40" fillId="0" borderId="46" xfId="303" quotePrefix="1" applyFont="1" applyBorder="1" applyAlignment="1">
      <alignment horizontal="center" vertical="center"/>
    </xf>
    <xf numFmtId="1" fontId="40" fillId="0" borderId="46" xfId="305" applyNumberFormat="1" applyFont="1" applyFill="1" applyBorder="1" applyAlignment="1">
      <alignment horizontal="center" vertical="center"/>
    </xf>
    <xf numFmtId="0" fontId="40" fillId="0" borderId="46" xfId="303" applyFont="1" applyBorder="1">
      <alignment wrapText="1"/>
    </xf>
    <xf numFmtId="168" fontId="40" fillId="0" borderId="46" xfId="303" applyNumberFormat="1" applyFont="1" applyBorder="1" applyAlignment="1">
      <alignment horizontal="center" vertical="center" wrapText="1"/>
    </xf>
    <xf numFmtId="0" fontId="66" fillId="0" borderId="46" xfId="303" quotePrefix="1" applyFont="1" applyBorder="1" applyAlignment="1">
      <alignment horizontal="left" wrapText="1"/>
    </xf>
    <xf numFmtId="1" fontId="40" fillId="0" borderId="46" xfId="305" quotePrefix="1" applyNumberFormat="1" applyFont="1" applyFill="1" applyBorder="1" applyAlignment="1">
      <alignment horizontal="center" vertical="center"/>
    </xf>
    <xf numFmtId="168" fontId="40" fillId="0" borderId="53" xfId="225" applyNumberFormat="1" applyFont="1" applyFill="1" applyBorder="1" applyAlignment="1">
      <alignment horizontal="center" vertical="center"/>
    </xf>
    <xf numFmtId="0" fontId="65" fillId="0" borderId="46" xfId="303" quotePrefix="1" applyFont="1" applyBorder="1" applyAlignment="1">
      <alignment horizontal="left" wrapText="1"/>
    </xf>
    <xf numFmtId="0" fontId="40" fillId="0" borderId="0" xfId="303" applyFont="1" applyAlignment="1">
      <alignment horizontal="center" vertical="center" wrapText="1"/>
    </xf>
    <xf numFmtId="0" fontId="40" fillId="0" borderId="31" xfId="303" applyFont="1" applyBorder="1">
      <alignment wrapText="1"/>
    </xf>
    <xf numFmtId="168" fontId="40" fillId="0" borderId="46" xfId="303" applyNumberFormat="1" applyFont="1" applyBorder="1" applyAlignment="1">
      <alignment horizontal="center" vertical="center"/>
    </xf>
    <xf numFmtId="168" fontId="40" fillId="0" borderId="31" xfId="305" applyFont="1" applyFill="1" applyBorder="1" applyAlignment="1">
      <alignment horizontal="center" vertical="center"/>
    </xf>
    <xf numFmtId="0" fontId="40" fillId="0" borderId="52" xfId="303" applyFont="1" applyBorder="1" applyAlignment="1">
      <alignment horizontal="center" vertical="center"/>
    </xf>
    <xf numFmtId="0" fontId="40" fillId="0" borderId="52" xfId="303" applyFont="1" applyBorder="1" applyAlignment="1">
      <alignment horizontal="center" vertical="center" wrapText="1"/>
    </xf>
    <xf numFmtId="0" fontId="60" fillId="0" borderId="46" xfId="303" applyFont="1" applyBorder="1">
      <alignment wrapText="1"/>
    </xf>
    <xf numFmtId="0" fontId="40" fillId="0" borderId="52" xfId="303" applyFont="1" applyBorder="1">
      <alignment wrapText="1"/>
    </xf>
    <xf numFmtId="1" fontId="40" fillId="0" borderId="52" xfId="305" applyNumberFormat="1" applyFont="1" applyFill="1" applyBorder="1" applyAlignment="1">
      <alignment horizontal="center" vertical="center"/>
    </xf>
    <xf numFmtId="168" fontId="40" fillId="0" borderId="52" xfId="303" applyNumberFormat="1" applyFont="1" applyBorder="1" applyAlignment="1">
      <alignment horizontal="center" vertical="center" wrapText="1"/>
    </xf>
    <xf numFmtId="168" fontId="60" fillId="0" borderId="31" xfId="305" applyFont="1" applyFill="1" applyBorder="1" applyAlignment="1">
      <alignment horizontal="center" vertical="center"/>
    </xf>
    <xf numFmtId="0" fontId="60" fillId="0" borderId="52" xfId="303" applyFont="1" applyBorder="1" applyAlignment="1">
      <alignment horizontal="left" vertical="center" wrapText="1"/>
    </xf>
    <xf numFmtId="1" fontId="40" fillId="0" borderId="46" xfId="305" applyNumberFormat="1" applyFont="1" applyFill="1" applyBorder="1" applyAlignment="1">
      <alignment horizontal="center"/>
    </xf>
    <xf numFmtId="168" fontId="40" fillId="0" borderId="53" xfId="225" applyNumberFormat="1" applyFont="1" applyFill="1" applyBorder="1" applyAlignment="1">
      <alignment horizontal="center"/>
    </xf>
    <xf numFmtId="0" fontId="40" fillId="0" borderId="0" xfId="303" quotePrefix="1" applyFont="1" applyAlignment="1">
      <alignment horizontal="center" vertical="center" wrapText="1"/>
    </xf>
    <xf numFmtId="168" fontId="60" fillId="0" borderId="52" xfId="305" applyFont="1" applyFill="1" applyBorder="1" applyAlignment="1">
      <alignment horizontal="center" vertical="center"/>
    </xf>
    <xf numFmtId="0" fontId="67" fillId="0" borderId="46" xfId="303" quotePrefix="1" applyFont="1" applyBorder="1" applyAlignment="1">
      <alignment horizontal="left" wrapText="1"/>
    </xf>
    <xf numFmtId="1" fontId="40" fillId="0" borderId="47" xfId="303" applyNumberFormat="1" applyFont="1" applyBorder="1" applyAlignment="1">
      <alignment horizontal="center" vertical="center"/>
    </xf>
    <xf numFmtId="0" fontId="40" fillId="0" borderId="0" xfId="303" quotePrefix="1" applyFont="1" applyAlignment="1">
      <alignment horizontal="center" vertical="center"/>
    </xf>
    <xf numFmtId="0" fontId="60" fillId="0" borderId="46" xfId="303" quotePrefix="1" applyFont="1" applyBorder="1" applyAlignment="1">
      <alignment horizontal="left" wrapText="1"/>
    </xf>
    <xf numFmtId="0" fontId="40" fillId="0" borderId="47" xfId="303" applyFont="1" applyBorder="1" applyAlignment="1">
      <alignment horizontal="center" vertical="center"/>
    </xf>
    <xf numFmtId="0" fontId="40" fillId="0" borderId="46" xfId="303" applyFont="1" applyBorder="1" applyAlignment="1">
      <alignment horizontal="center" wrapText="1"/>
    </xf>
    <xf numFmtId="1" fontId="40" fillId="0" borderId="53" xfId="305" applyNumberFormat="1" applyFont="1" applyFill="1" applyBorder="1" applyAlignment="1">
      <alignment horizontal="center" vertical="center"/>
    </xf>
    <xf numFmtId="1" fontId="40" fillId="0" borderId="46" xfId="303" quotePrefix="1" applyNumberFormat="1" applyFont="1" applyBorder="1" applyAlignment="1">
      <alignment horizontal="center" vertical="center"/>
    </xf>
    <xf numFmtId="168" fontId="40" fillId="0" borderId="46" xfId="305" quotePrefix="1" applyFont="1" applyFill="1" applyBorder="1" applyAlignment="1">
      <alignment horizontal="center" vertical="center"/>
    </xf>
    <xf numFmtId="0" fontId="66" fillId="0" borderId="46" xfId="303" applyFont="1" applyBorder="1">
      <alignment wrapText="1"/>
    </xf>
    <xf numFmtId="0" fontId="68" fillId="0" borderId="53" xfId="303" applyFont="1" applyBorder="1" applyAlignment="1">
      <alignment horizontal="center" vertical="center" wrapText="1"/>
    </xf>
    <xf numFmtId="0" fontId="60" fillId="0" borderId="52" xfId="303" applyFont="1" applyBorder="1">
      <alignment wrapText="1"/>
    </xf>
    <xf numFmtId="168" fontId="60" fillId="0" borderId="52" xfId="303" applyNumberFormat="1" applyFont="1" applyBorder="1" applyAlignment="1">
      <alignment horizontal="center" vertical="center"/>
    </xf>
    <xf numFmtId="0" fontId="40" fillId="0" borderId="0" xfId="303" applyFont="1">
      <alignment wrapText="1"/>
    </xf>
    <xf numFmtId="0" fontId="4" fillId="0" borderId="48" xfId="0" applyFont="1" applyBorder="1" applyAlignment="1">
      <alignment horizontal="center" vertical="center" wrapText="1"/>
    </xf>
    <xf numFmtId="0" fontId="60" fillId="0" borderId="0" xfId="0" applyFont="1" applyAlignment="1">
      <alignment horizontal="center" vertical="center"/>
    </xf>
    <xf numFmtId="0" fontId="4" fillId="0" borderId="48" xfId="0" applyFont="1" applyBorder="1" applyAlignment="1">
      <alignment horizontal="left" vertical="center" wrapText="1"/>
    </xf>
    <xf numFmtId="0" fontId="6" fillId="0" borderId="48" xfId="0" applyFont="1" applyBorder="1" applyAlignment="1">
      <alignment horizontal="center" vertical="center" wrapText="1"/>
    </xf>
    <xf numFmtId="0" fontId="8" fillId="0" borderId="48" xfId="0" applyFont="1" applyBorder="1" applyAlignment="1">
      <alignment horizontal="center" vertical="center" wrapText="1"/>
    </xf>
    <xf numFmtId="4" fontId="6" fillId="0" borderId="48" xfId="0" applyNumberFormat="1" applyFont="1" applyBorder="1" applyAlignment="1">
      <alignment vertical="center" wrapText="1"/>
    </xf>
    <xf numFmtId="0" fontId="4" fillId="0" borderId="54" xfId="0" applyFont="1" applyBorder="1" applyAlignment="1">
      <alignment horizontal="center" vertical="center" wrapText="1"/>
    </xf>
    <xf numFmtId="0" fontId="5" fillId="0" borderId="54" xfId="0" applyFont="1" applyBorder="1" applyAlignment="1">
      <alignment horizontal="center" vertical="center"/>
    </xf>
    <xf numFmtId="0" fontId="5" fillId="0" borderId="54" xfId="0" applyFont="1" applyBorder="1" applyAlignment="1">
      <alignment horizontal="center" vertical="center" wrapText="1"/>
    </xf>
    <xf numFmtId="181" fontId="6" fillId="0" borderId="48" xfId="192" applyNumberFormat="1" applyFont="1" applyBorder="1" applyAlignment="1">
      <alignment horizontal="center" vertical="center" wrapText="1"/>
    </xf>
    <xf numFmtId="0" fontId="4" fillId="0" borderId="54" xfId="0" applyFont="1" applyBorder="1" applyAlignment="1">
      <alignment horizontal="center" vertical="center"/>
    </xf>
    <xf numFmtId="0" fontId="4" fillId="0" borderId="48" xfId="0" applyFont="1" applyBorder="1" applyAlignment="1">
      <alignment horizontal="left" vertical="center" wrapText="1" shrinkToFit="1"/>
    </xf>
    <xf numFmtId="1" fontId="5" fillId="0" borderId="46" xfId="305" applyNumberFormat="1" applyFont="1" applyFill="1" applyBorder="1" applyAlignment="1">
      <alignment horizontal="center" vertical="center"/>
    </xf>
    <xf numFmtId="0" fontId="6" fillId="0" borderId="30" xfId="120" applyFont="1" applyBorder="1" applyAlignment="1">
      <alignment horizontal="center" vertical="center"/>
    </xf>
    <xf numFmtId="0" fontId="5" fillId="0" borderId="46" xfId="303" applyFont="1" applyBorder="1" applyAlignment="1">
      <alignment horizontal="center" vertical="center" wrapText="1"/>
    </xf>
    <xf numFmtId="0" fontId="69" fillId="0" borderId="46" xfId="303" quotePrefix="1" applyFont="1" applyBorder="1" applyAlignment="1">
      <alignment horizontal="left" wrapText="1"/>
    </xf>
    <xf numFmtId="0" fontId="5" fillId="0" borderId="46" xfId="303" applyFont="1" applyBorder="1" applyAlignment="1">
      <alignment horizontal="center" vertical="center"/>
    </xf>
    <xf numFmtId="0" fontId="46" fillId="0" borderId="46" xfId="303" applyFont="1" applyBorder="1">
      <alignment wrapText="1"/>
    </xf>
    <xf numFmtId="0" fontId="4" fillId="0" borderId="46" xfId="303" applyFont="1" applyBorder="1" applyAlignment="1">
      <alignment horizontal="center" vertical="center" wrapText="1"/>
    </xf>
    <xf numFmtId="0" fontId="5" fillId="0" borderId="46" xfId="303" quotePrefix="1" applyFont="1" applyBorder="1" applyAlignment="1">
      <alignment horizontal="left" wrapText="1"/>
    </xf>
    <xf numFmtId="0" fontId="5" fillId="0" borderId="46" xfId="303" applyFont="1" applyBorder="1">
      <alignment wrapText="1"/>
    </xf>
    <xf numFmtId="1" fontId="5" fillId="0" borderId="46" xfId="303" applyNumberFormat="1" applyFont="1" applyBorder="1" applyAlignment="1">
      <alignment horizontal="center" vertical="center"/>
    </xf>
    <xf numFmtId="0" fontId="5" fillId="0" borderId="46" xfId="303" quotePrefix="1" applyFont="1" applyBorder="1" applyAlignment="1">
      <alignment horizontal="center" vertical="center" wrapText="1"/>
    </xf>
    <xf numFmtId="1" fontId="5" fillId="0" borderId="46" xfId="305" quotePrefix="1" applyNumberFormat="1" applyFont="1" applyFill="1" applyBorder="1" applyAlignment="1">
      <alignment horizontal="center" vertical="center"/>
    </xf>
    <xf numFmtId="0" fontId="46" fillId="0" borderId="46" xfId="303" quotePrefix="1" applyFont="1" applyBorder="1" applyAlignment="1">
      <alignment horizontal="left" wrapText="1"/>
    </xf>
    <xf numFmtId="0" fontId="5" fillId="0" borderId="0" xfId="303" applyFont="1" applyAlignment="1">
      <alignment horizontal="center" vertical="center" wrapText="1"/>
    </xf>
    <xf numFmtId="0" fontId="5" fillId="0" borderId="46" xfId="120" applyBorder="1" applyAlignment="1">
      <alignment horizontal="center" vertical="top"/>
    </xf>
    <xf numFmtId="0" fontId="5" fillId="0" borderId="46" xfId="120" applyBorder="1" applyAlignment="1">
      <alignment vertical="top" wrapText="1"/>
    </xf>
    <xf numFmtId="176" fontId="5" fillId="0" borderId="46" xfId="120" applyNumberFormat="1" applyBorder="1" applyAlignment="1">
      <alignment vertical="top"/>
    </xf>
    <xf numFmtId="0" fontId="4" fillId="0" borderId="46" xfId="303" applyFont="1" applyBorder="1">
      <alignment wrapText="1"/>
    </xf>
    <xf numFmtId="0" fontId="4" fillId="0" borderId="46" xfId="303" quotePrefix="1" applyFont="1" applyBorder="1" applyAlignment="1">
      <alignment horizontal="center" vertical="center" wrapText="1"/>
    </xf>
    <xf numFmtId="0" fontId="4" fillId="0" borderId="46" xfId="303" applyFont="1" applyBorder="1" applyAlignment="1">
      <alignment horizontal="center" vertical="center"/>
    </xf>
    <xf numFmtId="1" fontId="4" fillId="0" borderId="46" xfId="305" applyNumberFormat="1" applyFont="1" applyFill="1" applyBorder="1" applyAlignment="1">
      <alignment horizontal="center" vertical="center"/>
    </xf>
    <xf numFmtId="1" fontId="5" fillId="0" borderId="46" xfId="305" applyNumberFormat="1" applyFont="1" applyFill="1" applyBorder="1" applyAlignment="1">
      <alignment horizontal="center"/>
    </xf>
    <xf numFmtId="0" fontId="5" fillId="0" borderId="46" xfId="303" quotePrefix="1" applyFont="1" applyBorder="1" applyAlignment="1">
      <alignment horizontal="center" vertical="center"/>
    </xf>
    <xf numFmtId="0" fontId="5" fillId="0" borderId="0" xfId="303" quotePrefix="1" applyFont="1" applyAlignment="1">
      <alignment horizontal="center" vertical="center" wrapText="1"/>
    </xf>
    <xf numFmtId="0" fontId="5" fillId="0" borderId="0" xfId="303" applyFont="1" applyAlignment="1">
      <alignment horizontal="center" vertical="center"/>
    </xf>
    <xf numFmtId="0" fontId="4" fillId="0" borderId="46" xfId="303" quotePrefix="1" applyFont="1" applyBorder="1" applyAlignment="1">
      <alignment horizontal="left" wrapText="1"/>
    </xf>
    <xf numFmtId="0" fontId="5" fillId="0" borderId="47" xfId="303" applyFont="1" applyBorder="1" applyAlignment="1">
      <alignment horizontal="center" vertical="center"/>
    </xf>
    <xf numFmtId="0" fontId="5" fillId="0" borderId="46" xfId="303" applyFont="1" applyBorder="1" applyAlignment="1">
      <alignment horizontal="center" wrapText="1"/>
    </xf>
    <xf numFmtId="1" fontId="5" fillId="0" borderId="46" xfId="303" quotePrefix="1" applyNumberFormat="1" applyFont="1" applyBorder="1" applyAlignment="1">
      <alignment horizontal="center" vertical="center"/>
    </xf>
    <xf numFmtId="0" fontId="4" fillId="0" borderId="46" xfId="120" applyFont="1" applyBorder="1" applyAlignment="1">
      <alignment horizontal="center" vertical="top"/>
    </xf>
    <xf numFmtId="0" fontId="5" fillId="0" borderId="46" xfId="120" applyBorder="1" applyAlignment="1">
      <alignment horizontal="center" vertical="top" wrapText="1"/>
    </xf>
    <xf numFmtId="177" fontId="5" fillId="0" borderId="46" xfId="120" applyNumberFormat="1" applyBorder="1" applyAlignment="1">
      <alignment vertical="top"/>
    </xf>
    <xf numFmtId="0" fontId="70" fillId="0" borderId="53" xfId="303" applyFont="1" applyBorder="1" applyAlignment="1">
      <alignment horizontal="center" vertical="center" wrapText="1"/>
    </xf>
    <xf numFmtId="0" fontId="5" fillId="0" borderId="46" xfId="303" applyFont="1" applyBorder="1" applyAlignment="1">
      <alignment horizontal="center"/>
    </xf>
    <xf numFmtId="1" fontId="5" fillId="0" borderId="46" xfId="303" applyNumberFormat="1" applyFont="1" applyBorder="1" applyAlignment="1">
      <alignment horizontal="center"/>
    </xf>
    <xf numFmtId="0" fontId="5" fillId="0" borderId="46" xfId="303" quotePrefix="1" applyFont="1" applyBorder="1" applyAlignment="1">
      <alignment horizontal="center" wrapText="1"/>
    </xf>
    <xf numFmtId="1" fontId="5" fillId="0" borderId="46" xfId="305" quotePrefix="1" applyNumberFormat="1" applyFont="1" applyFill="1" applyBorder="1" applyAlignment="1">
      <alignment horizontal="center"/>
    </xf>
    <xf numFmtId="0" fontId="5" fillId="0" borderId="46" xfId="120" applyBorder="1" applyAlignment="1">
      <alignment horizontal="center" wrapText="1"/>
    </xf>
    <xf numFmtId="0" fontId="5" fillId="0" borderId="46" xfId="120" applyBorder="1" applyAlignment="1">
      <alignment wrapText="1"/>
    </xf>
    <xf numFmtId="0" fontId="5" fillId="0" borderId="46" xfId="303" applyFont="1" applyBorder="1" applyAlignment="1">
      <alignment vertical="center" wrapText="1"/>
    </xf>
    <xf numFmtId="176" fontId="5" fillId="0" borderId="46" xfId="120" applyNumberFormat="1" applyBorder="1" applyAlignment="1">
      <alignment vertical="center"/>
    </xf>
    <xf numFmtId="176" fontId="5" fillId="0" borderId="30" xfId="120" applyNumberFormat="1" applyBorder="1" applyAlignment="1">
      <alignment vertical="center"/>
    </xf>
    <xf numFmtId="0" fontId="6" fillId="0" borderId="30" xfId="120" applyFont="1" applyBorder="1" applyAlignment="1">
      <alignment horizontal="center" vertical="top" wrapText="1"/>
    </xf>
    <xf numFmtId="177" fontId="6" fillId="0" borderId="30" xfId="120" applyNumberFormat="1" applyFont="1" applyBorder="1" applyAlignment="1">
      <alignment vertical="top"/>
    </xf>
    <xf numFmtId="0" fontId="8" fillId="0" borderId="30" xfId="120" applyFont="1" applyBorder="1" applyAlignment="1">
      <alignment horizontal="center" vertical="top"/>
    </xf>
    <xf numFmtId="0" fontId="8" fillId="0" borderId="30" xfId="120" applyFont="1" applyBorder="1" applyAlignment="1">
      <alignment vertical="top" wrapText="1"/>
    </xf>
    <xf numFmtId="176" fontId="8" fillId="0" borderId="30" xfId="120" applyNumberFormat="1" applyFont="1" applyBorder="1" applyAlignment="1">
      <alignment vertical="top"/>
    </xf>
    <xf numFmtId="176" fontId="6" fillId="0" borderId="30" xfId="120" applyNumberFormat="1" applyFont="1" applyBorder="1" applyAlignment="1">
      <alignment horizontal="center" vertical="top"/>
    </xf>
    <xf numFmtId="9" fontId="6" fillId="0" borderId="30" xfId="258" applyFont="1" applyBorder="1" applyAlignment="1">
      <alignment vertical="top"/>
    </xf>
    <xf numFmtId="0" fontId="6" fillId="26" borderId="30" xfId="120" applyFont="1" applyFill="1" applyBorder="1" applyAlignment="1">
      <alignment horizontal="center" vertical="top"/>
    </xf>
    <xf numFmtId="0" fontId="6" fillId="26" borderId="30" xfId="120" applyFont="1" applyFill="1" applyBorder="1" applyAlignment="1">
      <alignment vertical="top" wrapText="1"/>
    </xf>
    <xf numFmtId="177" fontId="6" fillId="26" borderId="30" xfId="120" applyNumberFormat="1" applyFont="1" applyFill="1" applyBorder="1" applyAlignment="1">
      <alignment vertical="top"/>
    </xf>
    <xf numFmtId="4" fontId="5" fillId="0" borderId="56" xfId="0" applyNumberFormat="1" applyFont="1" applyBorder="1" applyAlignment="1">
      <alignment vertical="center" wrapText="1"/>
    </xf>
    <xf numFmtId="2" fontId="5" fillId="0" borderId="46" xfId="303" applyNumberFormat="1" applyFont="1" applyBorder="1" applyAlignment="1">
      <alignment horizontal="center" vertical="center"/>
    </xf>
    <xf numFmtId="0" fontId="5" fillId="0" borderId="56" xfId="0" applyFont="1" applyBorder="1" applyAlignment="1">
      <alignment horizontal="center" vertical="center"/>
    </xf>
    <xf numFmtId="0" fontId="6" fillId="0" borderId="56" xfId="0" applyFont="1" applyBorder="1" applyAlignment="1">
      <alignment horizontal="left" vertical="center" wrapText="1"/>
    </xf>
    <xf numFmtId="0" fontId="5" fillId="0" borderId="56" xfId="0" applyFont="1" applyBorder="1" applyAlignment="1">
      <alignment horizontal="center" vertical="center" wrapText="1"/>
    </xf>
    <xf numFmtId="4" fontId="7" fillId="0" borderId="55" xfId="0" applyNumberFormat="1" applyFont="1" applyBorder="1" applyAlignment="1">
      <alignment horizontal="right" vertical="center" wrapText="1"/>
    </xf>
    <xf numFmtId="0" fontId="5" fillId="0" borderId="56" xfId="118" applyFont="1" applyBorder="1" applyAlignment="1">
      <alignment horizontal="left" vertical="center" wrapText="1" shrinkToFit="1"/>
    </xf>
    <xf numFmtId="0" fontId="5" fillId="0" borderId="56" xfId="118" applyFont="1" applyBorder="1" applyAlignment="1">
      <alignment horizontal="center" vertical="center" wrapText="1"/>
    </xf>
    <xf numFmtId="4" fontId="5" fillId="0" borderId="55" xfId="119" applyNumberFormat="1" applyFont="1" applyBorder="1" applyAlignment="1">
      <alignment vertical="center" wrapText="1"/>
    </xf>
    <xf numFmtId="4" fontId="5" fillId="0" borderId="56" xfId="118" applyNumberFormat="1" applyFont="1" applyBorder="1" applyAlignment="1">
      <alignment vertical="center" wrapText="1"/>
    </xf>
    <xf numFmtId="0" fontId="4" fillId="0" borderId="56" xfId="0" applyFont="1" applyBorder="1" applyAlignment="1">
      <alignment horizontal="center" vertical="center" wrapText="1"/>
    </xf>
    <xf numFmtId="0" fontId="4" fillId="0" borderId="56" xfId="0" applyFont="1" applyBorder="1" applyAlignment="1">
      <alignment horizontal="left" vertical="center" wrapText="1"/>
    </xf>
    <xf numFmtId="0" fontId="5" fillId="0" borderId="56" xfId="0" applyFont="1" applyBorder="1" applyAlignment="1">
      <alignment horizontal="left" vertical="center" wrapText="1"/>
    </xf>
    <xf numFmtId="4" fontId="5" fillId="0" borderId="55" xfId="0" applyNumberFormat="1" applyFont="1" applyBorder="1" applyAlignment="1">
      <alignment vertical="center" wrapText="1"/>
    </xf>
    <xf numFmtId="0" fontId="5" fillId="0" borderId="56" xfId="0" applyFont="1" applyBorder="1" applyAlignment="1">
      <alignment horizontal="left" vertical="center" wrapText="1" shrinkToFit="1"/>
    </xf>
    <xf numFmtId="0" fontId="4" fillId="0" borderId="56" xfId="0" applyFont="1" applyBorder="1" applyAlignment="1">
      <alignment horizontal="center" vertical="center"/>
    </xf>
    <xf numFmtId="0" fontId="16" fillId="0" borderId="56" xfId="298" applyFont="1" applyBorder="1" applyAlignment="1">
      <alignment horizontal="left" vertical="center" wrapText="1"/>
    </xf>
    <xf numFmtId="4" fontId="5" fillId="0" borderId="55" xfId="0" applyNumberFormat="1" applyFont="1" applyBorder="1" applyAlignment="1">
      <alignment horizontal="right" vertical="center" wrapText="1"/>
    </xf>
    <xf numFmtId="0" fontId="6" fillId="0" borderId="56" xfId="298" applyFont="1" applyBorder="1" applyAlignment="1">
      <alignment horizontal="left" vertical="center" wrapText="1"/>
    </xf>
    <xf numFmtId="0" fontId="14" fillId="0" borderId="56" xfId="118" applyFont="1" applyBorder="1" applyAlignment="1">
      <alignment horizontal="left" vertical="center" wrapText="1"/>
    </xf>
    <xf numFmtId="0" fontId="4" fillId="0" borderId="3" xfId="118" applyFont="1" applyBorder="1" applyAlignment="1">
      <alignment horizontal="center" vertical="center" wrapText="1"/>
    </xf>
    <xf numFmtId="49" fontId="4" fillId="0" borderId="37" xfId="293" applyNumberFormat="1" applyFont="1" applyBorder="1" applyAlignment="1">
      <alignment horizontal="center" vertical="center"/>
    </xf>
    <xf numFmtId="4" fontId="4" fillId="0" borderId="37" xfId="286" applyNumberFormat="1" applyFont="1" applyFill="1" applyBorder="1" applyAlignment="1">
      <alignment horizontal="right" vertical="center"/>
    </xf>
    <xf numFmtId="0" fontId="6" fillId="0" borderId="56" xfId="118" applyFont="1" applyBorder="1" applyAlignment="1">
      <alignment horizontal="center" vertical="center" wrapText="1"/>
    </xf>
    <xf numFmtId="0" fontId="8" fillId="0" borderId="56" xfId="118" applyFont="1" applyBorder="1" applyAlignment="1">
      <alignment horizontal="center" vertical="center" wrapText="1"/>
    </xf>
    <xf numFmtId="0" fontId="12" fillId="0" borderId="56" xfId="0" applyFont="1" applyBorder="1" applyAlignment="1">
      <alignment horizontal="left" vertical="center" wrapText="1"/>
    </xf>
    <xf numFmtId="0" fontId="12" fillId="0" borderId="56" xfId="0" applyFont="1" applyBorder="1" applyAlignment="1">
      <alignment horizontal="center" vertical="center" wrapText="1"/>
    </xf>
    <xf numFmtId="0" fontId="71" fillId="0" borderId="47" xfId="0" applyFont="1" applyBorder="1" applyAlignment="1">
      <alignment vertical="center"/>
    </xf>
    <xf numFmtId="0" fontId="71" fillId="0" borderId="47" xfId="0" applyFont="1" applyBorder="1" applyAlignment="1">
      <alignment vertical="center" wrapText="1"/>
    </xf>
    <xf numFmtId="4" fontId="6" fillId="0" borderId="56" xfId="0" applyNumberFormat="1" applyFont="1" applyBorder="1" applyAlignment="1">
      <alignment vertical="center" wrapText="1"/>
    </xf>
    <xf numFmtId="0" fontId="6" fillId="0" borderId="56"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4" fontId="8" fillId="0" borderId="48" xfId="0" applyNumberFormat="1" applyFont="1" applyBorder="1" applyAlignment="1">
      <alignment vertical="center" wrapText="1"/>
    </xf>
    <xf numFmtId="0" fontId="41" fillId="0" borderId="56" xfId="0" applyFont="1" applyBorder="1" applyAlignment="1">
      <alignment horizontal="left" vertical="center" wrapText="1"/>
    </xf>
    <xf numFmtId="9" fontId="4" fillId="0" borderId="0" xfId="0" applyNumberFormat="1" applyFont="1" applyAlignment="1">
      <alignment horizontal="center" vertical="center" wrapText="1"/>
    </xf>
    <xf numFmtId="176" fontId="4" fillId="0" borderId="46" xfId="120" applyNumberFormat="1" applyFont="1" applyBorder="1" applyAlignment="1">
      <alignment vertical="top"/>
    </xf>
    <xf numFmtId="0" fontId="4" fillId="0" borderId="30" xfId="120" applyFont="1" applyBorder="1" applyAlignment="1">
      <alignment horizontal="center" vertical="top" wrapText="1"/>
    </xf>
    <xf numFmtId="177" fontId="4" fillId="0" borderId="30" xfId="120" applyNumberFormat="1" applyFont="1" applyBorder="1" applyAlignment="1">
      <alignment vertical="top"/>
    </xf>
    <xf numFmtId="0" fontId="18" fillId="0" borderId="30" xfId="120" applyFont="1" applyBorder="1" applyAlignment="1">
      <alignment horizontal="center" vertical="top" wrapText="1"/>
    </xf>
    <xf numFmtId="177" fontId="4" fillId="0" borderId="30" xfId="120" applyNumberFormat="1" applyFont="1" applyBorder="1" applyAlignment="1">
      <alignment vertical="top" wrapText="1"/>
    </xf>
    <xf numFmtId="4" fontId="4" fillId="0" borderId="37" xfId="225" applyNumberFormat="1" applyFont="1" applyBorder="1" applyAlignment="1">
      <alignment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4" fontId="6" fillId="0" borderId="57" xfId="0" applyNumberFormat="1" applyFont="1" applyBorder="1" applyAlignment="1">
      <alignment vertical="center" wrapText="1"/>
    </xf>
    <xf numFmtId="181" fontId="6" fillId="0" borderId="56" xfId="192" applyNumberFormat="1" applyFont="1" applyBorder="1" applyAlignment="1">
      <alignment horizontal="center" vertical="center" wrapText="1"/>
    </xf>
    <xf numFmtId="4" fontId="4" fillId="0" borderId="55" xfId="119" applyNumberFormat="1" applyFont="1" applyBorder="1" applyAlignment="1">
      <alignment vertical="center" wrapText="1"/>
    </xf>
    <xf numFmtId="4" fontId="4" fillId="0" borderId="57" xfId="0" applyNumberFormat="1" applyFont="1" applyBorder="1" applyAlignment="1">
      <alignment vertical="center" wrapText="1"/>
    </xf>
    <xf numFmtId="4" fontId="5" fillId="0" borderId="57" xfId="118" applyNumberFormat="1" applyFont="1" applyBorder="1" applyAlignment="1">
      <alignment vertical="center" wrapText="1"/>
    </xf>
    <xf numFmtId="0" fontId="57" fillId="0" borderId="61" xfId="0" applyFont="1" applyBorder="1" applyAlignment="1">
      <alignment horizontal="center"/>
    </xf>
    <xf numFmtId="4" fontId="5" fillId="0" borderId="62" xfId="119" applyNumberFormat="1" applyFont="1" applyBorder="1" applyAlignment="1">
      <alignment vertical="center" wrapText="1"/>
    </xf>
    <xf numFmtId="4" fontId="8" fillId="0" borderId="57" xfId="0" applyNumberFormat="1" applyFont="1" applyBorder="1" applyAlignment="1">
      <alignment vertical="center" wrapText="1"/>
    </xf>
    <xf numFmtId="4" fontId="5" fillId="0" borderId="57" xfId="0" applyNumberFormat="1" applyFont="1" applyBorder="1" applyAlignment="1">
      <alignment vertical="center" wrapText="1"/>
    </xf>
    <xf numFmtId="4" fontId="5" fillId="0" borderId="62" xfId="0" applyNumberFormat="1" applyFont="1" applyBorder="1" applyAlignment="1">
      <alignment vertical="center" wrapText="1"/>
    </xf>
    <xf numFmtId="4" fontId="6" fillId="0" borderId="62" xfId="0" applyNumberFormat="1" applyFont="1" applyBorder="1" applyAlignment="1">
      <alignment vertical="center" wrapText="1"/>
    </xf>
    <xf numFmtId="170" fontId="4" fillId="0" borderId="66" xfId="0" applyNumberFormat="1" applyFont="1" applyBorder="1" applyAlignment="1">
      <alignment vertical="center" wrapText="1"/>
    </xf>
    <xf numFmtId="0" fontId="41" fillId="0" borderId="48" xfId="0" applyFont="1" applyBorder="1" applyAlignment="1">
      <alignment horizontal="left" vertical="center" wrapText="1"/>
    </xf>
    <xf numFmtId="0" fontId="57" fillId="0" borderId="61" xfId="0" applyFont="1" applyBorder="1" applyAlignment="1">
      <alignment horizontal="center" vertical="center" wrapText="1"/>
    </xf>
    <xf numFmtId="4" fontId="4" fillId="0" borderId="57" xfId="118" applyNumberFormat="1" applyFont="1" applyBorder="1" applyAlignment="1">
      <alignment vertical="center" wrapText="1"/>
    </xf>
    <xf numFmtId="0" fontId="46" fillId="0" borderId="67" xfId="120" applyFont="1" applyBorder="1" applyAlignment="1">
      <alignment horizontal="left" vertical="center" indent="14"/>
    </xf>
    <xf numFmtId="0" fontId="5" fillId="0" borderId="68" xfId="120" applyBorder="1" applyAlignment="1">
      <alignment horizontal="center"/>
    </xf>
    <xf numFmtId="168" fontId="4" fillId="0" borderId="69" xfId="120" applyNumberFormat="1" applyFont="1" applyBorder="1"/>
    <xf numFmtId="0" fontId="5" fillId="0" borderId="38" xfId="120" applyBorder="1" applyAlignment="1">
      <alignment horizontal="center" wrapText="1"/>
    </xf>
    <xf numFmtId="168" fontId="4" fillId="0" borderId="70" xfId="120" applyNumberFormat="1" applyFont="1" applyBorder="1" applyAlignment="1">
      <alignment wrapText="1"/>
    </xf>
    <xf numFmtId="0" fontId="5" fillId="0" borderId="38" xfId="120" applyBorder="1" applyAlignment="1">
      <alignment horizontal="left"/>
    </xf>
    <xf numFmtId="168" fontId="4" fillId="0" borderId="71" xfId="120" applyNumberFormat="1" applyFont="1" applyBorder="1"/>
    <xf numFmtId="168" fontId="4" fillId="0" borderId="70" xfId="120" applyNumberFormat="1" applyFont="1" applyBorder="1" applyAlignment="1">
      <alignment horizontal="left"/>
    </xf>
    <xf numFmtId="168" fontId="4" fillId="0" borderId="70" xfId="120" applyNumberFormat="1" applyFont="1" applyBorder="1"/>
    <xf numFmtId="0" fontId="4" fillId="0" borderId="38" xfId="120" applyFont="1" applyBorder="1" applyAlignment="1">
      <alignment horizontal="left"/>
    </xf>
    <xf numFmtId="0" fontId="4" fillId="0" borderId="38" xfId="120" applyFont="1" applyBorder="1"/>
    <xf numFmtId="0" fontId="4" fillId="0" borderId="0" xfId="120" applyFont="1"/>
    <xf numFmtId="0" fontId="5" fillId="0" borderId="72" xfId="120" applyBorder="1"/>
    <xf numFmtId="0" fontId="5" fillId="0" borderId="73" xfId="120" applyBorder="1"/>
    <xf numFmtId="168" fontId="4" fillId="0" borderId="74" xfId="120" applyNumberFormat="1" applyFont="1" applyBorder="1"/>
    <xf numFmtId="0" fontId="5" fillId="0" borderId="67" xfId="120" applyBorder="1"/>
    <xf numFmtId="0" fontId="5" fillId="0" borderId="68" xfId="120" applyBorder="1"/>
    <xf numFmtId="0" fontId="5" fillId="0" borderId="38" xfId="120" applyBorder="1"/>
    <xf numFmtId="0" fontId="5" fillId="0" borderId="75" xfId="0" applyFont="1" applyBorder="1" applyAlignment="1">
      <alignment horizontal="center" vertical="center"/>
    </xf>
    <xf numFmtId="0" fontId="5" fillId="0" borderId="75" xfId="0" applyFont="1" applyBorder="1" applyAlignment="1">
      <alignment horizontal="left" vertical="center" wrapText="1"/>
    </xf>
    <xf numFmtId="0" fontId="5" fillId="0" borderId="75" xfId="0" applyFont="1" applyBorder="1" applyAlignment="1">
      <alignment horizontal="center" vertical="center" wrapText="1"/>
    </xf>
    <xf numFmtId="0" fontId="6" fillId="0" borderId="75" xfId="298" applyFont="1" applyBorder="1" applyAlignment="1">
      <alignment horizontal="left" vertical="center" wrapText="1"/>
    </xf>
    <xf numFmtId="4" fontId="5" fillId="0" borderId="62" xfId="0" applyNumberFormat="1" applyFont="1" applyBorder="1" applyAlignment="1">
      <alignment horizontal="right" vertical="center" wrapText="1"/>
    </xf>
    <xf numFmtId="4" fontId="5" fillId="0" borderId="75" xfId="118" applyNumberFormat="1" applyFont="1" applyBorder="1" applyAlignment="1">
      <alignment vertical="center" wrapText="1"/>
    </xf>
    <xf numFmtId="4" fontId="4" fillId="0" borderId="75" xfId="0" applyNumberFormat="1" applyFont="1" applyBorder="1" applyAlignment="1">
      <alignment vertical="center" wrapText="1"/>
    </xf>
    <xf numFmtId="4" fontId="4" fillId="0" borderId="3" xfId="0" applyNumberFormat="1" applyFont="1" applyBorder="1" applyAlignment="1">
      <alignment vertical="center" wrapText="1"/>
    </xf>
    <xf numFmtId="4" fontId="4" fillId="0" borderId="34" xfId="0" applyNumberFormat="1" applyFont="1" applyBorder="1" applyAlignment="1">
      <alignment vertical="center" wrapText="1"/>
    </xf>
    <xf numFmtId="0" fontId="5" fillId="0" borderId="75" xfId="118" applyFont="1" applyBorder="1" applyAlignment="1">
      <alignment horizontal="left" vertical="center" wrapText="1" shrinkToFit="1"/>
    </xf>
    <xf numFmtId="184" fontId="5" fillId="0" borderId="30" xfId="120" applyNumberFormat="1" applyBorder="1" applyAlignment="1">
      <alignment vertical="top"/>
    </xf>
    <xf numFmtId="184" fontId="5" fillId="0" borderId="30" xfId="120" applyNumberFormat="1" applyBorder="1" applyAlignment="1">
      <alignment vertical="top" wrapText="1"/>
    </xf>
    <xf numFmtId="176" fontId="5" fillId="0" borderId="30" xfId="120" applyNumberFormat="1" applyBorder="1" applyAlignment="1">
      <alignment vertical="top" wrapText="1"/>
    </xf>
    <xf numFmtId="176" fontId="5" fillId="26" borderId="30" xfId="120" applyNumberFormat="1" applyFill="1" applyBorder="1" applyAlignment="1">
      <alignment vertical="top"/>
    </xf>
    <xf numFmtId="176" fontId="5" fillId="0" borderId="46" xfId="120" applyNumberFormat="1" applyBorder="1" applyAlignment="1">
      <alignment horizontal="right" vertical="center"/>
    </xf>
    <xf numFmtId="176" fontId="6" fillId="0" borderId="30" xfId="120" applyNumberFormat="1" applyFont="1" applyBorder="1" applyAlignment="1">
      <alignment horizontal="right" vertical="center"/>
    </xf>
    <xf numFmtId="177" fontId="5" fillId="0" borderId="46" xfId="120" applyNumberFormat="1" applyBorder="1" applyAlignment="1">
      <alignment vertical="top" wrapText="1"/>
    </xf>
    <xf numFmtId="177" fontId="5" fillId="0" borderId="46" xfId="120" applyNumberFormat="1" applyBorder="1" applyAlignment="1">
      <alignment horizontal="center"/>
    </xf>
    <xf numFmtId="177" fontId="5" fillId="0" borderId="46" xfId="120" applyNumberFormat="1" applyBorder="1" applyAlignment="1">
      <alignment horizontal="center" wrapText="1"/>
    </xf>
    <xf numFmtId="165" fontId="5" fillId="0" borderId="5" xfId="0" applyNumberFormat="1" applyFont="1" applyBorder="1" applyAlignment="1">
      <alignment vertical="center" wrapText="1"/>
    </xf>
    <xf numFmtId="165" fontId="5" fillId="0" borderId="3" xfId="118" applyNumberFormat="1" applyFont="1" applyBorder="1" applyAlignment="1">
      <alignment vertical="center" wrapText="1"/>
    </xf>
    <xf numFmtId="165" fontId="5" fillId="0" borderId="5" xfId="119" applyNumberFormat="1" applyFont="1" applyBorder="1" applyAlignment="1">
      <alignment vertical="center" wrapText="1"/>
    </xf>
    <xf numFmtId="165" fontId="5" fillId="0" borderId="3" xfId="0" applyNumberFormat="1" applyFont="1" applyBorder="1" applyAlignment="1">
      <alignment vertical="center" wrapText="1"/>
    </xf>
    <xf numFmtId="165" fontId="5" fillId="0" borderId="55" xfId="0" applyNumberFormat="1" applyFont="1" applyBorder="1" applyAlignment="1">
      <alignment vertical="center" wrapText="1"/>
    </xf>
    <xf numFmtId="165" fontId="5" fillId="27" borderId="3" xfId="0" applyNumberFormat="1" applyFont="1" applyFill="1" applyBorder="1" applyAlignment="1">
      <alignment vertical="center" wrapText="1"/>
    </xf>
    <xf numFmtId="0" fontId="5" fillId="0" borderId="0" xfId="293" applyFont="1" applyAlignment="1">
      <alignment horizontal="center" vertical="center"/>
    </xf>
    <xf numFmtId="1" fontId="5" fillId="0" borderId="0" xfId="286" applyNumberFormat="1" applyFont="1" applyFill="1" applyBorder="1" applyAlignment="1">
      <alignment horizontal="center" vertical="center"/>
    </xf>
    <xf numFmtId="4" fontId="5" fillId="0" borderId="0" xfId="286" applyNumberFormat="1" applyFont="1" applyFill="1" applyBorder="1" applyAlignment="1">
      <alignment horizontal="right" vertical="center"/>
    </xf>
    <xf numFmtId="4" fontId="5" fillId="0" borderId="75" xfId="225" applyNumberFormat="1" applyFont="1" applyBorder="1" applyAlignment="1">
      <alignment vertical="center"/>
    </xf>
    <xf numFmtId="4" fontId="5" fillId="0" borderId="75" xfId="0" applyNumberFormat="1" applyFont="1" applyBorder="1" applyAlignment="1">
      <alignment vertical="center" wrapText="1"/>
    </xf>
    <xf numFmtId="0" fontId="5" fillId="0" borderId="61" xfId="120" applyBorder="1" applyAlignment="1">
      <alignment horizontal="center" vertical="top"/>
    </xf>
    <xf numFmtId="0" fontId="5" fillId="0" borderId="61" xfId="120" applyBorder="1" applyAlignment="1">
      <alignment vertical="top" wrapText="1"/>
    </xf>
    <xf numFmtId="176" fontId="5" fillId="0" borderId="61" xfId="120" applyNumberFormat="1" applyBorder="1" applyAlignment="1">
      <alignment horizontal="center" vertical="top"/>
    </xf>
    <xf numFmtId="9" fontId="5" fillId="0" borderId="61" xfId="258" applyFont="1" applyBorder="1" applyAlignment="1">
      <alignment vertical="top"/>
    </xf>
    <xf numFmtId="176" fontId="5" fillId="0" borderId="61" xfId="120" applyNumberFormat="1" applyBorder="1" applyAlignment="1">
      <alignment vertical="top"/>
    </xf>
    <xf numFmtId="0" fontId="5" fillId="0" borderId="75" xfId="0" applyFont="1" applyBorder="1" applyAlignment="1">
      <alignment horizontal="left" vertical="center" wrapText="1" shrinkToFit="1"/>
    </xf>
    <xf numFmtId="4" fontId="6" fillId="0" borderId="75" xfId="0" applyNumberFormat="1" applyFont="1" applyBorder="1" applyAlignment="1">
      <alignment vertical="center" wrapText="1"/>
    </xf>
    <xf numFmtId="4" fontId="5" fillId="0" borderId="76" xfId="0" applyNumberFormat="1" applyFont="1" applyBorder="1" applyAlignment="1">
      <alignment vertical="center" wrapText="1"/>
    </xf>
    <xf numFmtId="0" fontId="4" fillId="0" borderId="75" xfId="0" applyFont="1" applyBorder="1" applyAlignment="1">
      <alignment horizontal="center" vertical="center" wrapText="1"/>
    </xf>
    <xf numFmtId="4" fontId="8" fillId="0" borderId="62" xfId="0" applyNumberFormat="1" applyFont="1" applyBorder="1" applyAlignment="1">
      <alignment vertical="center" wrapText="1"/>
    </xf>
    <xf numFmtId="4" fontId="4" fillId="0" borderId="76" xfId="0" applyNumberFormat="1" applyFont="1" applyBorder="1" applyAlignment="1">
      <alignment vertical="center" wrapText="1"/>
    </xf>
    <xf numFmtId="0" fontId="5" fillId="0" borderId="0" xfId="120" applyAlignment="1">
      <alignment horizontal="left" wrapText="1"/>
    </xf>
    <xf numFmtId="0" fontId="72" fillId="0" borderId="0" xfId="120" applyFont="1" applyAlignment="1">
      <alignment horizontal="left" wrapText="1"/>
    </xf>
    <xf numFmtId="2" fontId="60" fillId="0" borderId="49" xfId="303" applyNumberFormat="1" applyFont="1" applyBorder="1" applyAlignment="1">
      <alignment horizontal="center" vertical="center"/>
    </xf>
    <xf numFmtId="2" fontId="60" fillId="0" borderId="50" xfId="303" applyNumberFormat="1" applyFont="1" applyBorder="1" applyAlignment="1">
      <alignment horizontal="center" vertical="center"/>
    </xf>
    <xf numFmtId="2" fontId="60" fillId="0" borderId="51" xfId="303" applyNumberFormat="1" applyFont="1" applyBorder="1" applyAlignment="1">
      <alignment horizontal="center" vertical="center"/>
    </xf>
    <xf numFmtId="0" fontId="60" fillId="0" borderId="49" xfId="303" applyFont="1" applyBorder="1" applyAlignment="1">
      <alignment horizontal="left" vertical="center" wrapText="1"/>
    </xf>
    <xf numFmtId="0" fontId="60" fillId="0" borderId="50" xfId="303" applyFont="1" applyBorder="1" applyAlignment="1">
      <alignment horizontal="left" vertical="center" wrapText="1"/>
    </xf>
    <xf numFmtId="0" fontId="60" fillId="0" borderId="51" xfId="303" applyFont="1" applyBorder="1" applyAlignment="1">
      <alignment horizontal="left" vertical="center" wrapText="1"/>
    </xf>
    <xf numFmtId="0" fontId="60" fillId="0" borderId="0" xfId="303" applyFont="1" applyAlignment="1">
      <alignment horizontal="left" vertical="center" wrapText="1"/>
    </xf>
    <xf numFmtId="0" fontId="60" fillId="0" borderId="28" xfId="303" applyFont="1" applyBorder="1" applyAlignment="1">
      <alignment horizontal="right"/>
    </xf>
    <xf numFmtId="0" fontId="60" fillId="0" borderId="36" xfId="303" applyFont="1" applyBorder="1" applyAlignment="1">
      <alignment horizontal="center" vertical="center" wrapText="1"/>
    </xf>
    <xf numFmtId="0" fontId="60" fillId="0" borderId="31" xfId="303" applyFont="1" applyBorder="1" applyAlignment="1">
      <alignment horizontal="center"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48" xfId="0" applyFont="1" applyBorder="1" applyAlignment="1">
      <alignment horizontal="left" vertical="center" wrapText="1"/>
    </xf>
    <xf numFmtId="0" fontId="5" fillId="0" borderId="48" xfId="0" applyFont="1" applyBorder="1" applyAlignment="1">
      <alignment horizontal="left" vertical="center" wrapText="1"/>
    </xf>
    <xf numFmtId="0" fontId="4" fillId="0" borderId="10" xfId="118" applyFont="1" applyBorder="1" applyAlignment="1">
      <alignment horizontal="left" vertical="center"/>
    </xf>
    <xf numFmtId="0" fontId="4" fillId="0" borderId="11" xfId="118" applyFont="1" applyBorder="1" applyAlignment="1">
      <alignment horizontal="left" vertical="center"/>
    </xf>
    <xf numFmtId="0" fontId="4" fillId="0" borderId="12" xfId="118" applyFont="1" applyBorder="1" applyAlignment="1">
      <alignment horizontal="left" vertical="center"/>
    </xf>
    <xf numFmtId="0" fontId="4" fillId="0" borderId="6" xfId="118" applyFont="1" applyBorder="1" applyAlignment="1">
      <alignment horizontal="left" vertical="center"/>
    </xf>
    <xf numFmtId="0" fontId="4" fillId="0" borderId="7" xfId="118" applyFont="1" applyBorder="1" applyAlignment="1">
      <alignment horizontal="left" vertical="center"/>
    </xf>
    <xf numFmtId="0" fontId="4" fillId="0" borderId="8" xfId="118" applyFont="1" applyBorder="1" applyAlignment="1">
      <alignment horizontal="left" vertical="center"/>
    </xf>
    <xf numFmtId="0" fontId="8" fillId="0" borderId="6" xfId="118" applyFont="1" applyBorder="1" applyAlignment="1">
      <alignment horizontal="left" vertical="center"/>
    </xf>
    <xf numFmtId="0" fontId="8" fillId="0" borderId="7" xfId="118" applyFont="1" applyBorder="1" applyAlignment="1">
      <alignment horizontal="left" vertical="center"/>
    </xf>
    <xf numFmtId="0" fontId="8" fillId="0" borderId="8" xfId="118" applyFont="1" applyBorder="1" applyAlignment="1">
      <alignment horizontal="left" vertical="center"/>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36" xfId="292" applyFont="1" applyBorder="1" applyAlignment="1" applyProtection="1">
      <alignment horizontal="center" vertical="center" wrapText="1"/>
      <protection locked="0"/>
    </xf>
    <xf numFmtId="0" fontId="4" fillId="0" borderId="37" xfId="292" applyFont="1" applyBorder="1" applyAlignment="1" applyProtection="1">
      <alignment horizontal="center" vertical="center" wrapText="1"/>
      <protection locked="0"/>
    </xf>
    <xf numFmtId="0" fontId="4" fillId="0" borderId="31" xfId="292" applyFont="1" applyBorder="1" applyAlignment="1" applyProtection="1">
      <alignment horizontal="center" vertical="center" wrapText="1"/>
      <protection locked="0"/>
    </xf>
    <xf numFmtId="0" fontId="4" fillId="0" borderId="36" xfId="292" applyFont="1" applyBorder="1" applyAlignment="1" applyProtection="1">
      <alignment horizontal="left" vertical="center" wrapText="1"/>
      <protection locked="0"/>
    </xf>
    <xf numFmtId="0" fontId="4" fillId="0" borderId="37" xfId="292" applyFont="1" applyBorder="1" applyAlignment="1" applyProtection="1">
      <alignment horizontal="left" vertical="center" wrapText="1"/>
      <protection locked="0"/>
    </xf>
    <xf numFmtId="0" fontId="4" fillId="0" borderId="31" xfId="292" applyFont="1" applyBorder="1" applyAlignment="1" applyProtection="1">
      <alignment horizontal="left" vertical="center" wrapText="1"/>
      <protection locked="0"/>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cellXfs>
  <cellStyles count="306">
    <cellStyle name="20% - Accent1 2" xfId="121" xr:uid="{00000000-0005-0000-0000-000000000000}"/>
    <cellStyle name="20% - Accent1 2 2" xfId="122" xr:uid="{00000000-0005-0000-0000-000001000000}"/>
    <cellStyle name="20% - Accent1 3" xfId="123" xr:uid="{00000000-0005-0000-0000-000002000000}"/>
    <cellStyle name="20% - Accent2 2" xfId="124" xr:uid="{00000000-0005-0000-0000-000003000000}"/>
    <cellStyle name="20% - Accent2 2 2" xfId="125" xr:uid="{00000000-0005-0000-0000-000004000000}"/>
    <cellStyle name="20% - Accent2 3" xfId="126" xr:uid="{00000000-0005-0000-0000-000005000000}"/>
    <cellStyle name="20% - Accent3 2" xfId="127" xr:uid="{00000000-0005-0000-0000-000006000000}"/>
    <cellStyle name="20% - Accent3 2 2" xfId="128" xr:uid="{00000000-0005-0000-0000-000007000000}"/>
    <cellStyle name="20% - Accent3 3" xfId="129" xr:uid="{00000000-0005-0000-0000-000008000000}"/>
    <cellStyle name="20% - Accent4 2" xfId="130" xr:uid="{00000000-0005-0000-0000-000009000000}"/>
    <cellStyle name="20% - Accent4 2 2" xfId="131" xr:uid="{00000000-0005-0000-0000-00000A000000}"/>
    <cellStyle name="20% - Accent4 3" xfId="132" xr:uid="{00000000-0005-0000-0000-00000B000000}"/>
    <cellStyle name="20% - Accent5 2" xfId="133" xr:uid="{00000000-0005-0000-0000-00000C000000}"/>
    <cellStyle name="20% - Accent5 2 2" xfId="134" xr:uid="{00000000-0005-0000-0000-00000D000000}"/>
    <cellStyle name="20% - Accent5 3" xfId="135" xr:uid="{00000000-0005-0000-0000-00000E000000}"/>
    <cellStyle name="20% - Accent6 2" xfId="136" xr:uid="{00000000-0005-0000-0000-00000F000000}"/>
    <cellStyle name="20% - Accent6 2 2" xfId="137" xr:uid="{00000000-0005-0000-0000-000010000000}"/>
    <cellStyle name="20% - Accent6 3" xfId="138" xr:uid="{00000000-0005-0000-0000-000011000000}"/>
    <cellStyle name="40% - Accent1 2" xfId="139" xr:uid="{00000000-0005-0000-0000-000012000000}"/>
    <cellStyle name="40% - Accent1 2 2" xfId="140" xr:uid="{00000000-0005-0000-0000-000013000000}"/>
    <cellStyle name="40% - Accent1 3" xfId="141" xr:uid="{00000000-0005-0000-0000-000014000000}"/>
    <cellStyle name="40% - Accent2 2" xfId="142" xr:uid="{00000000-0005-0000-0000-000015000000}"/>
    <cellStyle name="40% - Accent2 2 2" xfId="143" xr:uid="{00000000-0005-0000-0000-000016000000}"/>
    <cellStyle name="40% - Accent2 3" xfId="144" xr:uid="{00000000-0005-0000-0000-000017000000}"/>
    <cellStyle name="40% - Accent3 2" xfId="145" xr:uid="{00000000-0005-0000-0000-000018000000}"/>
    <cellStyle name="40% - Accent3 2 2" xfId="146" xr:uid="{00000000-0005-0000-0000-000019000000}"/>
    <cellStyle name="40% - Accent3 3" xfId="147" xr:uid="{00000000-0005-0000-0000-00001A000000}"/>
    <cellStyle name="40% - Accent4 2" xfId="148" xr:uid="{00000000-0005-0000-0000-00001B000000}"/>
    <cellStyle name="40% - Accent4 2 2" xfId="149" xr:uid="{00000000-0005-0000-0000-00001C000000}"/>
    <cellStyle name="40% - Accent4 3" xfId="150" xr:uid="{00000000-0005-0000-0000-00001D000000}"/>
    <cellStyle name="40% - Accent5 2" xfId="151" xr:uid="{00000000-0005-0000-0000-00001E000000}"/>
    <cellStyle name="40% - Accent5 2 2" xfId="152" xr:uid="{00000000-0005-0000-0000-00001F000000}"/>
    <cellStyle name="40% - Accent5 3" xfId="153" xr:uid="{00000000-0005-0000-0000-000020000000}"/>
    <cellStyle name="40% - Accent6 2" xfId="154" xr:uid="{00000000-0005-0000-0000-000021000000}"/>
    <cellStyle name="40% - Accent6 2 2" xfId="155" xr:uid="{00000000-0005-0000-0000-000022000000}"/>
    <cellStyle name="40% - Accent6 3" xfId="156" xr:uid="{00000000-0005-0000-0000-000023000000}"/>
    <cellStyle name="60% - Accent1 2" xfId="157" xr:uid="{00000000-0005-0000-0000-000024000000}"/>
    <cellStyle name="60% - Accent2 2" xfId="158" xr:uid="{00000000-0005-0000-0000-000025000000}"/>
    <cellStyle name="60% - Accent3 2" xfId="159" xr:uid="{00000000-0005-0000-0000-000026000000}"/>
    <cellStyle name="60% - Accent4 2" xfId="160" xr:uid="{00000000-0005-0000-0000-000027000000}"/>
    <cellStyle name="60% - Accent5 2" xfId="161" xr:uid="{00000000-0005-0000-0000-000028000000}"/>
    <cellStyle name="60% - Accent6 2" xfId="162" xr:uid="{00000000-0005-0000-0000-000029000000}"/>
    <cellStyle name="Accent1 2" xfId="163" xr:uid="{00000000-0005-0000-0000-00002A000000}"/>
    <cellStyle name="Accent2 2" xfId="164" xr:uid="{00000000-0005-0000-0000-00002B000000}"/>
    <cellStyle name="Accent3 2" xfId="165" xr:uid="{00000000-0005-0000-0000-00002C000000}"/>
    <cellStyle name="Accent4 2" xfId="166" xr:uid="{00000000-0005-0000-0000-00002D000000}"/>
    <cellStyle name="Accent5 2" xfId="167" xr:uid="{00000000-0005-0000-0000-00002E000000}"/>
    <cellStyle name="Accent6 2" xfId="168" xr:uid="{00000000-0005-0000-0000-00002F000000}"/>
    <cellStyle name="Bad 2" xfId="169" xr:uid="{00000000-0005-0000-0000-000030000000}"/>
    <cellStyle name="Calculation 2" xfId="170" xr:uid="{00000000-0005-0000-0000-000031000000}"/>
    <cellStyle name="Check Cell 2" xfId="171" xr:uid="{00000000-0005-0000-0000-000032000000}"/>
    <cellStyle name="Comma 10" xfId="172" xr:uid="{00000000-0005-0000-0000-000033000000}"/>
    <cellStyle name="Comma 10 2" xfId="173" xr:uid="{00000000-0005-0000-0000-000034000000}"/>
    <cellStyle name="Comma 11" xfId="174" xr:uid="{00000000-0005-0000-0000-000035000000}"/>
    <cellStyle name="Comma 11 2" xfId="175" xr:uid="{00000000-0005-0000-0000-000036000000}"/>
    <cellStyle name="Comma 12" xfId="176" xr:uid="{00000000-0005-0000-0000-000037000000}"/>
    <cellStyle name="Comma 12 2" xfId="177" xr:uid="{00000000-0005-0000-0000-000038000000}"/>
    <cellStyle name="Comma 13" xfId="178" xr:uid="{00000000-0005-0000-0000-000039000000}"/>
    <cellStyle name="Comma 13 2" xfId="179" xr:uid="{00000000-0005-0000-0000-00003A000000}"/>
    <cellStyle name="Comma 14" xfId="180" xr:uid="{00000000-0005-0000-0000-00003B000000}"/>
    <cellStyle name="Comma 14 2" xfId="181" xr:uid="{00000000-0005-0000-0000-00003C000000}"/>
    <cellStyle name="Comma 15" xfId="182" xr:uid="{00000000-0005-0000-0000-00003D000000}"/>
    <cellStyle name="Comma 15 2" xfId="183" xr:uid="{00000000-0005-0000-0000-00003E000000}"/>
    <cellStyle name="Comma 16" xfId="184" xr:uid="{00000000-0005-0000-0000-00003F000000}"/>
    <cellStyle name="Comma 16 2" xfId="185" xr:uid="{00000000-0005-0000-0000-000040000000}"/>
    <cellStyle name="Comma 17" xfId="186" xr:uid="{00000000-0005-0000-0000-000041000000}"/>
    <cellStyle name="Comma 17 2" xfId="187" xr:uid="{00000000-0005-0000-0000-000042000000}"/>
    <cellStyle name="Comma 18" xfId="188" xr:uid="{00000000-0005-0000-0000-000043000000}"/>
    <cellStyle name="Comma 18 2" xfId="189" xr:uid="{00000000-0005-0000-0000-000044000000}"/>
    <cellStyle name="Comma 19" xfId="190" xr:uid="{00000000-0005-0000-0000-000045000000}"/>
    <cellStyle name="Comma 19 2" xfId="191" xr:uid="{00000000-0005-0000-0000-000046000000}"/>
    <cellStyle name="Comma 2" xfId="192" xr:uid="{00000000-0005-0000-0000-000047000000}"/>
    <cellStyle name="Comma 2 2" xfId="193" xr:uid="{00000000-0005-0000-0000-000048000000}"/>
    <cellStyle name="Comma 2 3" xfId="194" xr:uid="{00000000-0005-0000-0000-000049000000}"/>
    <cellStyle name="Comma 2 4" xfId="195" xr:uid="{00000000-0005-0000-0000-00004A000000}"/>
    <cellStyle name="Comma 2 4 2" xfId="196" xr:uid="{00000000-0005-0000-0000-00004B000000}"/>
    <cellStyle name="Comma 20" xfId="197" xr:uid="{00000000-0005-0000-0000-00004C000000}"/>
    <cellStyle name="Comma 20 2" xfId="198" xr:uid="{00000000-0005-0000-0000-00004D000000}"/>
    <cellStyle name="Comma 21" xfId="199" xr:uid="{00000000-0005-0000-0000-00004E000000}"/>
    <cellStyle name="Comma 21 2" xfId="200" xr:uid="{00000000-0005-0000-0000-00004F000000}"/>
    <cellStyle name="Comma 22" xfId="201" xr:uid="{00000000-0005-0000-0000-000050000000}"/>
    <cellStyle name="Comma 22 2" xfId="202" xr:uid="{00000000-0005-0000-0000-000051000000}"/>
    <cellStyle name="Comma 23" xfId="203" xr:uid="{00000000-0005-0000-0000-000052000000}"/>
    <cellStyle name="Comma 23 2" xfId="204" xr:uid="{00000000-0005-0000-0000-000053000000}"/>
    <cellStyle name="Comma 23 2 2" xfId="205" xr:uid="{00000000-0005-0000-0000-000054000000}"/>
    <cellStyle name="Comma 23 3" xfId="206" xr:uid="{00000000-0005-0000-0000-000055000000}"/>
    <cellStyle name="Comma 24" xfId="207" xr:uid="{00000000-0005-0000-0000-000056000000}"/>
    <cellStyle name="Comma 24 2" xfId="208" xr:uid="{00000000-0005-0000-0000-000057000000}"/>
    <cellStyle name="Comma 25" xfId="209" xr:uid="{00000000-0005-0000-0000-000058000000}"/>
    <cellStyle name="Comma 26" xfId="210" xr:uid="{00000000-0005-0000-0000-000059000000}"/>
    <cellStyle name="Comma 27" xfId="281" xr:uid="{00000000-0005-0000-0000-00005A000000}"/>
    <cellStyle name="Comma 28" xfId="282" xr:uid="{00000000-0005-0000-0000-00005B000000}"/>
    <cellStyle name="Comma 3" xfId="211" xr:uid="{00000000-0005-0000-0000-00005C000000}"/>
    <cellStyle name="Comma 3 2" xfId="212" xr:uid="{00000000-0005-0000-0000-00005D000000}"/>
    <cellStyle name="Comma 4" xfId="213" xr:uid="{00000000-0005-0000-0000-00005E000000}"/>
    <cellStyle name="Comma 4 2" xfId="214" xr:uid="{00000000-0005-0000-0000-00005F000000}"/>
    <cellStyle name="Comma 5" xfId="215" xr:uid="{00000000-0005-0000-0000-000060000000}"/>
    <cellStyle name="Comma 5 2" xfId="216" xr:uid="{00000000-0005-0000-0000-000061000000}"/>
    <cellStyle name="Comma 5 3" xfId="304" xr:uid="{00000000-0005-0000-0000-000062000000}"/>
    <cellStyle name="Comma 6" xfId="217" xr:uid="{00000000-0005-0000-0000-000063000000}"/>
    <cellStyle name="Comma 6 2" xfId="218" xr:uid="{00000000-0005-0000-0000-000064000000}"/>
    <cellStyle name="Comma 7" xfId="219" xr:uid="{00000000-0005-0000-0000-000065000000}"/>
    <cellStyle name="Comma 7 2" xfId="220" xr:uid="{00000000-0005-0000-0000-000066000000}"/>
    <cellStyle name="Comma 8" xfId="221" xr:uid="{00000000-0005-0000-0000-000067000000}"/>
    <cellStyle name="Comma 8 2" xfId="222" xr:uid="{00000000-0005-0000-0000-000068000000}"/>
    <cellStyle name="Comma 9" xfId="223" xr:uid="{00000000-0005-0000-0000-000069000000}"/>
    <cellStyle name="Comma 9 2" xfId="224" xr:uid="{00000000-0005-0000-0000-00006A000000}"/>
    <cellStyle name="Comma0" xfId="225" xr:uid="{00000000-0005-0000-0000-00006B000000}"/>
    <cellStyle name="Comma0 2" xfId="226" xr:uid="{00000000-0005-0000-0000-00006C000000}"/>
    <cellStyle name="Comma1" xfId="283" xr:uid="{00000000-0005-0000-0000-00006D000000}"/>
    <cellStyle name="Comma2" xfId="284" xr:uid="{00000000-0005-0000-0000-00006E000000}"/>
    <cellStyle name="Comma3" xfId="285" xr:uid="{00000000-0005-0000-0000-00006F000000}"/>
    <cellStyle name="Currency 2" xfId="227" xr:uid="{00000000-0005-0000-0000-000070000000}"/>
    <cellStyle name="Currency 2 2" xfId="305" xr:uid="{00000000-0005-0000-0000-000071000000}"/>
    <cellStyle name="Currency 3" xfId="228" xr:uid="{00000000-0005-0000-0000-000072000000}"/>
    <cellStyle name="Currency 4" xfId="286" xr:uid="{00000000-0005-0000-0000-000073000000}"/>
    <cellStyle name="Currency0" xfId="229" xr:uid="{00000000-0005-0000-0000-000074000000}"/>
    <cellStyle name="Date" xfId="230" xr:uid="{00000000-0005-0000-0000-000075000000}"/>
    <cellStyle name="Explanatory Text 2" xfId="231" xr:uid="{00000000-0005-0000-0000-000076000000}"/>
    <cellStyle name="F3" xfId="287" xr:uid="{00000000-0005-0000-0000-000077000000}"/>
    <cellStyle name="F4" xfId="288" xr:uid="{00000000-0005-0000-0000-000078000000}"/>
    <cellStyle name="F7" xfId="289" xr:uid="{00000000-0005-0000-0000-000079000000}"/>
    <cellStyle name="Fixed" xfId="232" xr:uid="{00000000-0005-0000-0000-00007A00000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Good 2" xfId="233" xr:uid="{00000000-0005-0000-0000-0000BC000000}"/>
    <cellStyle name="header" xfId="234" xr:uid="{00000000-0005-0000-0000-0000BD000000}"/>
    <cellStyle name="Heading 1 2" xfId="235" xr:uid="{00000000-0005-0000-0000-0000BE000000}"/>
    <cellStyle name="Heading 2 2" xfId="236" xr:uid="{00000000-0005-0000-0000-0000BF000000}"/>
    <cellStyle name="Heading 3 2" xfId="237" xr:uid="{00000000-0005-0000-0000-0000C0000000}"/>
    <cellStyle name="Heading 4 2" xfId="238" xr:uid="{00000000-0005-0000-0000-0000C1000000}"/>
    <cellStyle name="HEADING1" xfId="290" xr:uid="{00000000-0005-0000-0000-0000C2000000}"/>
    <cellStyle name="HEADING2" xfId="291" xr:uid="{00000000-0005-0000-0000-0000C3000000}"/>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Input 2" xfId="239" xr:uid="{00000000-0005-0000-0000-000005010000}"/>
    <cellStyle name="Linked Cell 2" xfId="240" xr:uid="{00000000-0005-0000-0000-000006010000}"/>
    <cellStyle name="Neutral 2" xfId="241" xr:uid="{00000000-0005-0000-0000-000007010000}"/>
    <cellStyle name="Normal" xfId="0" builtinId="0"/>
    <cellStyle name="Normal 10" xfId="292" xr:uid="{00000000-0005-0000-0000-000009010000}"/>
    <cellStyle name="Normal 11" xfId="293" xr:uid="{00000000-0005-0000-0000-00000A010000}"/>
    <cellStyle name="Normal 12" xfId="280" xr:uid="{00000000-0005-0000-0000-00000B010000}"/>
    <cellStyle name="Normal 13" xfId="303" xr:uid="{00000000-0005-0000-0000-00000C010000}"/>
    <cellStyle name="Normal 2" xfId="1" xr:uid="{00000000-0005-0000-0000-00000D010000}"/>
    <cellStyle name="Normal 2 2" xfId="242" xr:uid="{00000000-0005-0000-0000-00000E010000}"/>
    <cellStyle name="Normal 2 3" xfId="119" xr:uid="{00000000-0005-0000-0000-00000F010000}"/>
    <cellStyle name="Normal 2 3 2" xfId="294" xr:uid="{00000000-0005-0000-0000-000010010000}"/>
    <cellStyle name="Normal 2 4" xfId="243" xr:uid="{00000000-0005-0000-0000-000011010000}"/>
    <cellStyle name="Normal 2 4 2" xfId="244" xr:uid="{00000000-0005-0000-0000-000012010000}"/>
    <cellStyle name="Normal 2 4 2 2" xfId="295" xr:uid="{00000000-0005-0000-0000-000013010000}"/>
    <cellStyle name="Normal 2 4 3" xfId="296" xr:uid="{00000000-0005-0000-0000-000014010000}"/>
    <cellStyle name="Normal 2 5" xfId="297" xr:uid="{00000000-0005-0000-0000-000015010000}"/>
    <cellStyle name="Normal 3" xfId="120" xr:uid="{00000000-0005-0000-0000-000016010000}"/>
    <cellStyle name="Normal 3 2" xfId="245" xr:uid="{00000000-0005-0000-0000-000017010000}"/>
    <cellStyle name="Normal 3 3" xfId="246" xr:uid="{00000000-0005-0000-0000-000018010000}"/>
    <cellStyle name="Normal 4" xfId="247" xr:uid="{00000000-0005-0000-0000-000019010000}"/>
    <cellStyle name="Normal 5" xfId="248" xr:uid="{00000000-0005-0000-0000-00001A010000}"/>
    <cellStyle name="Normal 6" xfId="249" xr:uid="{00000000-0005-0000-0000-00001B010000}"/>
    <cellStyle name="Normal 7" xfId="250" xr:uid="{00000000-0005-0000-0000-00001C010000}"/>
    <cellStyle name="Normal 8" xfId="251" xr:uid="{00000000-0005-0000-0000-00001D010000}"/>
    <cellStyle name="Normal 9" xfId="118" xr:uid="{00000000-0005-0000-0000-00001E010000}"/>
    <cellStyle name="Normal 9 2" xfId="252" xr:uid="{00000000-0005-0000-0000-00001F010000}"/>
    <cellStyle name="Normal 9 3" xfId="298" xr:uid="{00000000-0005-0000-0000-000020010000}"/>
    <cellStyle name="Normal 9 4" xfId="299" xr:uid="{00000000-0005-0000-0000-000021010000}"/>
    <cellStyle name="Normal 9 5" xfId="300" xr:uid="{00000000-0005-0000-0000-000022010000}"/>
    <cellStyle name="Normal_09  82164KD Revised SOQ" xfId="302" xr:uid="{00000000-0005-0000-0000-000023010000}"/>
    <cellStyle name="Note 2" xfId="253" xr:uid="{00000000-0005-0000-0000-000024010000}"/>
    <cellStyle name="Note 2 2" xfId="254" xr:uid="{00000000-0005-0000-0000-000025010000}"/>
    <cellStyle name="OPSKRIF" xfId="255" xr:uid="{00000000-0005-0000-0000-000026010000}"/>
    <cellStyle name="OPSKRIFTE" xfId="256" xr:uid="{00000000-0005-0000-0000-000027010000}"/>
    <cellStyle name="or" xfId="301" xr:uid="{00000000-0005-0000-0000-000028010000}"/>
    <cellStyle name="Output 2" xfId="257" xr:uid="{00000000-0005-0000-0000-000029010000}"/>
    <cellStyle name="Percent 2" xfId="258" xr:uid="{00000000-0005-0000-0000-00002A010000}"/>
    <cellStyle name="Percent 2 2" xfId="259" xr:uid="{00000000-0005-0000-0000-00002B010000}"/>
    <cellStyle name="Percent 3" xfId="260" xr:uid="{00000000-0005-0000-0000-00002C010000}"/>
    <cellStyle name="Percent 3 2" xfId="261" xr:uid="{00000000-0005-0000-0000-00002D010000}"/>
    <cellStyle name="Percent 4" xfId="262" xr:uid="{00000000-0005-0000-0000-00002E010000}"/>
    <cellStyle name="Title 2" xfId="263" xr:uid="{00000000-0005-0000-0000-00002F010000}"/>
    <cellStyle name="Total 2" xfId="264" xr:uid="{00000000-0005-0000-0000-000030010000}"/>
    <cellStyle name="Warning Text 2" xfId="265" xr:uid="{00000000-0005-0000-0000-000031010000}"/>
  </cellStyles>
  <dxfs count="0"/>
  <tableStyles count="0" defaultTableStyle="TableStyleMedium9" defaultPivotStyle="PivotStyleMedium4"/>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ngwani/Dropbox%20(Muteo)/Learning%20and%20Unlearning/Costing/D:/Documents%20and%20Settings/rtaljaard/Local%20Settings/Temporary%20Internet%20Files/OLK37/Cashflow%20S108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rver010/SHUMBA%20OD/Users/chris59/AppData/Local/Microsoft/Windows/INetCache/Content.Outlook/C5CKXYKG/Documents%20and%20Settings/Darius/Local%20Settings/Temporary%20Internet%20Files/Content.Outlook/KF7I0B2X/INVOICE%20THU%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6.10.148/documents/J00068%20-%20Ben%20Schoeman%20Capacity%20Upgrade/900%20CONSTRUCTION/960%20MEETING/961%20Monthly/Meeting%20No.%2030%20-%202011-04-20/APPENDICES/4.2%20Nonconformance%20register%2026.1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6.10.148/documents/J00068%20-%20Ben%20Schoeman%20Capacity%20Upgrade/900%20CONSTRUCTION/960%20MEETING/961%20Monthly/Meeting%20No.%209%20-%202009-03-16/4.2%20GLMB-C-Nonconformance%20register%204.3.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56.10.148/documents/J00068%20-%20Ben%20Schoeman%20Capacity%20Upgrade/900%20CONSTRUCTION/960%20MEETING/961%20Monthly/Meeting%20No.%2030%20-%202011-04-20/APPENDICES%2004%2011/4.2%20month%2020%20GLMB-C-Nonconformance%20register%2028.3.201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56.10.148/documents/J00068%20-%20Ben%20Schoeman%20Capacity%20Upgrade/900%20CONSTRUCTION/960%20MEETING/961%20Monthly/Meeting%20No.%2010%20-%202009-04-20/Appendices%20GLMB/4.2%20Nonconformance%20regist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56.10.148/documents/J00068%20-%20Ben%20Schoeman%20Capacity%20Upgrade/900%20CONSTRUCTION/960%20MEETING/961%20Monthly/Meeting%20No.%2030%20-%202011-04-20/APPENDICES/4.2%20month%2019%20GLMB-C-Nonconformance%20register%2022.2.201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0.56.10.148/documents/Users/thabor/Desktop/appendices/4.2%20month%2018%20GLMB-C-Nonconformance%20register%2027.1.201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INVOICE THU 01"/>
    </sheetNames>
    <sheetDataSet>
      <sheetData sheetId="0" refreshError="1"/>
      <sheetData sheetId="1">
        <row r="22">
          <cell r="G22" t="str">
            <v>Credit Card #1</v>
          </cell>
        </row>
        <row r="23">
          <cell r="G23" t="str">
            <v>Credit Card #2</v>
          </cell>
        </row>
        <row r="24">
          <cell r="G24" t="str">
            <v>Credit Card #3</v>
          </cell>
        </row>
        <row r="28">
          <cell r="D28" t="b">
            <v>0</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er"/>
      <sheetName val="Combined Graphs"/>
      <sheetName val="Person to action"/>
      <sheetName val="Number per month 2"/>
      <sheetName val="Division"/>
      <sheetName val="Remedial action"/>
      <sheetName val="Failures"/>
      <sheetName val="Causes"/>
      <sheetName val="Status"/>
      <sheetName val="Activity"/>
      <sheetName val="Notes"/>
    </sheetNames>
    <sheetDataSet>
      <sheetData sheetId="0"/>
      <sheetData sheetId="1"/>
      <sheetData sheetId="2"/>
      <sheetData sheetId="3"/>
      <sheetData sheetId="4"/>
      <sheetData sheetId="5"/>
      <sheetData sheetId="6"/>
      <sheetData sheetId="7"/>
      <sheetData sheetId="8"/>
      <sheetData sheetId="9"/>
      <sheetData sheetId="10">
        <row r="50">
          <cell r="B50" t="str">
            <v>Reject/Scrap</v>
          </cell>
        </row>
        <row r="51">
          <cell r="B51" t="str">
            <v>Rework / Repair</v>
          </cell>
        </row>
        <row r="52">
          <cell r="B52" t="str">
            <v>Use as is</v>
          </cell>
        </row>
        <row r="53">
          <cell r="B53" t="str">
            <v>System changes</v>
          </cell>
        </row>
        <row r="54">
          <cell r="B54" t="str">
            <v>No detail</v>
          </cell>
        </row>
        <row r="55">
          <cell r="B55" t="str">
            <v>Cancelled</v>
          </cell>
        </row>
        <row r="74">
          <cell r="B74" t="str">
            <v>Andile Sangweni</v>
          </cell>
        </row>
        <row r="75">
          <cell r="B75" t="str">
            <v>Bongani Manciya</v>
          </cell>
        </row>
        <row r="76">
          <cell r="B76" t="str">
            <v>Bongani Msimango</v>
          </cell>
        </row>
        <row r="77">
          <cell r="B77" t="str">
            <v>Brian Keogh</v>
          </cell>
        </row>
        <row r="78">
          <cell r="B78" t="str">
            <v>FBE</v>
          </cell>
        </row>
        <row r="79">
          <cell r="B79" t="str">
            <v>Fhumu</v>
          </cell>
        </row>
        <row r="80">
          <cell r="B80" t="str">
            <v>Goodman Sosibo</v>
          </cell>
        </row>
        <row r="81">
          <cell r="B81" t="str">
            <v>Joe Carter</v>
          </cell>
        </row>
        <row r="82">
          <cell r="B82" t="str">
            <v>John Anthony</v>
          </cell>
        </row>
        <row r="83">
          <cell r="B83" t="str">
            <v>John Tshabala</v>
          </cell>
        </row>
        <row r="84">
          <cell r="B84" t="str">
            <v>Justin Cross</v>
          </cell>
        </row>
        <row r="85">
          <cell r="B85" t="str">
            <v>Karl Finger</v>
          </cell>
        </row>
        <row r="86">
          <cell r="B86" t="str">
            <v>Ken Marsden</v>
          </cell>
        </row>
        <row r="87">
          <cell r="B87" t="str">
            <v>Louis de Hart</v>
          </cell>
        </row>
        <row r="88">
          <cell r="B88" t="str">
            <v>Lwazi Lutya</v>
          </cell>
        </row>
        <row r="89">
          <cell r="B89" t="str">
            <v>Marnus Botha</v>
          </cell>
        </row>
        <row r="90">
          <cell r="B90" t="str">
            <v>Reggie Motake</v>
          </cell>
        </row>
        <row r="91">
          <cell r="B91" t="str">
            <v>Richard Arkle</v>
          </cell>
        </row>
        <row r="92">
          <cell r="B92" t="str">
            <v>Ryan Alexander</v>
          </cell>
        </row>
        <row r="93">
          <cell r="B93" t="str">
            <v>Stefan Bothma</v>
          </cell>
        </row>
        <row r="94">
          <cell r="B94" t="str">
            <v>Steve Finch</v>
          </cell>
        </row>
        <row r="95">
          <cell r="B95" t="str">
            <v>Wayne Abrahamse</v>
          </cell>
        </row>
        <row r="96">
          <cell r="B96" t="str">
            <v>Eng (BKS)</v>
          </cell>
        </row>
        <row r="97">
          <cell r="B97" t="str">
            <v>Subco</v>
          </cell>
        </row>
        <row r="98">
          <cell r="B98" t="str">
            <v>None</v>
          </cell>
        </row>
        <row r="101">
          <cell r="B101" t="str">
            <v>Structures</v>
          </cell>
        </row>
        <row r="102">
          <cell r="B102" t="str">
            <v>Roadworks &amp; associated works</v>
          </cell>
        </row>
        <row r="103">
          <cell r="B103" t="str">
            <v>Surfacing</v>
          </cell>
        </row>
        <row r="104">
          <cell r="B104" t="str">
            <v>Traffic</v>
          </cell>
        </row>
        <row r="105">
          <cell r="B105" t="str">
            <v>Cancelled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er"/>
      <sheetName val="Graph - number per month"/>
      <sheetName val="Combined Graphs"/>
      <sheetName val="Number per month"/>
      <sheetName val="Remedial action"/>
      <sheetName val="Causes"/>
      <sheetName val="Status"/>
      <sheetName val="Activity"/>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GLMB/C</v>
          </cell>
        </row>
        <row r="6">
          <cell r="B6" t="str">
            <v>Earthworks &amp; Natural Gravel</v>
          </cell>
        </row>
        <row r="7">
          <cell r="B7" t="str">
            <v>Stabilised Layers</v>
          </cell>
        </row>
        <row r="8">
          <cell r="B8" t="str">
            <v>Surfacing</v>
          </cell>
        </row>
        <row r="9">
          <cell r="B9" t="str">
            <v>Drainage</v>
          </cell>
        </row>
        <row r="10">
          <cell r="B10" t="str">
            <v>Concrete Structures</v>
          </cell>
        </row>
        <row r="11">
          <cell r="B11" t="str">
            <v>Steel structures</v>
          </cell>
        </row>
        <row r="12">
          <cell r="B12" t="str">
            <v>Miscellaneous</v>
          </cell>
        </row>
        <row r="13">
          <cell r="B13" t="str">
            <v>Management System</v>
          </cell>
        </row>
        <row r="16">
          <cell r="B16" t="str">
            <v>Setting out</v>
          </cell>
        </row>
        <row r="17">
          <cell r="B17" t="str">
            <v>Founding</v>
          </cell>
        </row>
        <row r="18">
          <cell r="B18" t="str">
            <v>Density Failure</v>
          </cell>
        </row>
        <row r="19">
          <cell r="B19" t="str">
            <v>Visual</v>
          </cell>
        </row>
        <row r="20">
          <cell r="B20" t="str">
            <v>Formwork/Staging</v>
          </cell>
        </row>
        <row r="21">
          <cell r="B21" t="str">
            <v>Reinforcement</v>
          </cell>
        </row>
        <row r="22">
          <cell r="B22" t="str">
            <v>Slump</v>
          </cell>
        </row>
        <row r="23">
          <cell r="B23" t="str">
            <v>Concrete strength</v>
          </cell>
        </row>
        <row r="24">
          <cell r="B24" t="str">
            <v>Levels</v>
          </cell>
        </row>
        <row r="27">
          <cell r="B27" t="str">
            <v>Reject/Scrap</v>
          </cell>
        </row>
        <row r="28">
          <cell r="B28" t="str">
            <v>Rework</v>
          </cell>
        </row>
        <row r="29">
          <cell r="B29" t="str">
            <v>Repair</v>
          </cell>
        </row>
        <row r="30">
          <cell r="B30" t="str">
            <v>Use as is</v>
          </cell>
        </row>
        <row r="31">
          <cell r="B31" t="str">
            <v>System changes</v>
          </cell>
        </row>
        <row r="34">
          <cell r="B34" t="str">
            <v>Lack of training</v>
          </cell>
        </row>
        <row r="35">
          <cell r="B35" t="str">
            <v>Lack of communication</v>
          </cell>
        </row>
        <row r="36">
          <cell r="B36" t="str">
            <v>Lack of skill</v>
          </cell>
        </row>
        <row r="37">
          <cell r="B37" t="str">
            <v>Lack of means</v>
          </cell>
        </row>
        <row r="38">
          <cell r="B38" t="str">
            <v>Deficient means</v>
          </cell>
        </row>
        <row r="39">
          <cell r="B39" t="str">
            <v>Deficient process</v>
          </cell>
        </row>
        <row r="40">
          <cell r="B40" t="str">
            <v>Lack of clearness</v>
          </cell>
        </row>
        <row r="41">
          <cell r="B41" t="str">
            <v>Lack of discipline</v>
          </cell>
        </row>
        <row r="42">
          <cell r="B42" t="str">
            <v>Systematic lack of care</v>
          </cell>
        </row>
        <row r="45">
          <cell r="B45" t="str">
            <v>Under review</v>
          </cell>
        </row>
        <row r="46">
          <cell r="B46" t="str">
            <v>Reviewed, to be implemented</v>
          </cell>
        </row>
        <row r="47">
          <cell r="B47" t="str">
            <v>Cancelled</v>
          </cell>
        </row>
        <row r="48">
          <cell r="B48" t="str">
            <v>Closed</v>
          </cell>
        </row>
        <row r="51">
          <cell r="B51" t="str">
            <v>GLMB/C - JCR</v>
          </cell>
        </row>
        <row r="52">
          <cell r="B52" t="str">
            <v>GLMB/C - JOL</v>
          </cell>
        </row>
        <row r="53">
          <cell r="B53" t="str">
            <v>GLMB/C - ASM</v>
          </cell>
        </row>
        <row r="54">
          <cell r="B54" t="str">
            <v>GLMB/C - BKE</v>
          </cell>
        </row>
        <row r="55">
          <cell r="B55" t="str">
            <v>GLMB/C - JCA</v>
          </cell>
        </row>
        <row r="56">
          <cell r="B56" t="str">
            <v>GLMB/C - SFI</v>
          </cell>
        </row>
        <row r="57">
          <cell r="B57" t="str">
            <v>GLMB/C - FBE</v>
          </cell>
        </row>
        <row r="58">
          <cell r="B58" t="str">
            <v>Eng (BKS)</v>
          </cell>
        </row>
        <row r="59">
          <cell r="B59" t="str">
            <v>Subco</v>
          </cell>
        </row>
        <row r="60">
          <cell r="B60" t="str">
            <v>None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er"/>
      <sheetName val="Combined Graphs"/>
      <sheetName val="Person to action"/>
      <sheetName val="Number per month 2"/>
      <sheetName val="Division"/>
      <sheetName val="Remedial action"/>
      <sheetName val="Failures"/>
      <sheetName val="Causes"/>
      <sheetName val="Status"/>
      <sheetName val="Activity"/>
      <sheetName val="Notes"/>
    </sheetNames>
    <sheetDataSet>
      <sheetData sheetId="0"/>
      <sheetData sheetId="1"/>
      <sheetData sheetId="2"/>
      <sheetData sheetId="3"/>
      <sheetData sheetId="4"/>
      <sheetData sheetId="5"/>
      <sheetData sheetId="6"/>
      <sheetData sheetId="7"/>
      <sheetData sheetId="8"/>
      <sheetData sheetId="9"/>
      <sheetData sheetId="10">
        <row r="58">
          <cell r="B58" t="str">
            <v>Man</v>
          </cell>
        </row>
        <row r="59">
          <cell r="B59" t="str">
            <v>Material</v>
          </cell>
        </row>
        <row r="60">
          <cell r="B60" t="str">
            <v>Machine</v>
          </cell>
        </row>
        <row r="61">
          <cell r="B61" t="str">
            <v>Method</v>
          </cell>
        </row>
        <row r="62">
          <cell r="B62" t="str">
            <v>Environment</v>
          </cell>
        </row>
        <row r="63">
          <cell r="B63" t="str">
            <v>Cancelled</v>
          </cell>
        </row>
        <row r="64">
          <cell r="B64">
            <v>0</v>
          </cell>
        </row>
        <row r="101">
          <cell r="B101" t="str">
            <v>Structures</v>
          </cell>
        </row>
        <row r="102">
          <cell r="B102" t="str">
            <v>Roadworks &amp; associated works</v>
          </cell>
        </row>
        <row r="103">
          <cell r="B103" t="str">
            <v>Surfacing</v>
          </cell>
        </row>
        <row r="104">
          <cell r="B104" t="str">
            <v>Traffic</v>
          </cell>
        </row>
        <row r="105">
          <cell r="B105" t="str">
            <v>Cancelled</v>
          </cell>
        </row>
        <row r="106">
          <cell r="B106">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er"/>
      <sheetName val="Graph - number per month"/>
      <sheetName val="Combined Graphs"/>
      <sheetName val="Number per month"/>
      <sheetName val="Remedial action"/>
      <sheetName val="Causes"/>
      <sheetName val="Status"/>
      <sheetName val="Activity"/>
      <sheetName val="Notes"/>
    </sheetNames>
    <sheetDataSet>
      <sheetData sheetId="0"/>
      <sheetData sheetId="1" refreshError="1"/>
      <sheetData sheetId="2"/>
      <sheetData sheetId="3"/>
      <sheetData sheetId="4"/>
      <sheetData sheetId="5"/>
      <sheetData sheetId="6"/>
      <sheetData sheetId="7"/>
      <sheetData sheetId="8">
        <row r="72">
          <cell r="B72" t="str">
            <v>Structures</v>
          </cell>
        </row>
        <row r="73">
          <cell r="B73" t="str">
            <v>Roadworks &amp; associated works</v>
          </cell>
        </row>
        <row r="74">
          <cell r="B74" t="str">
            <v>Traffic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er"/>
      <sheetName val="Combined Graphs"/>
      <sheetName val="Person to action"/>
      <sheetName val="Number per month 2"/>
      <sheetName val="Division"/>
      <sheetName val="Remedial action"/>
      <sheetName val="Failures"/>
      <sheetName val="Causes"/>
      <sheetName val="Status"/>
      <sheetName val="Activity"/>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74">
          <cell r="B74" t="str">
            <v>Andile Sangweni</v>
          </cell>
        </row>
        <row r="75">
          <cell r="B75" t="str">
            <v>Bongani Manciya</v>
          </cell>
        </row>
        <row r="76">
          <cell r="B76" t="str">
            <v>Bongani Msimango</v>
          </cell>
        </row>
        <row r="77">
          <cell r="B77" t="str">
            <v>Brian Keogh</v>
          </cell>
        </row>
        <row r="78">
          <cell r="B78" t="str">
            <v>FBE</v>
          </cell>
        </row>
        <row r="79">
          <cell r="B79" t="str">
            <v>Fhumu</v>
          </cell>
        </row>
        <row r="80">
          <cell r="B80" t="str">
            <v>Goodman Sosibo</v>
          </cell>
        </row>
        <row r="81">
          <cell r="B81" t="str">
            <v>Joe Carter</v>
          </cell>
        </row>
        <row r="82">
          <cell r="B82" t="str">
            <v>John Anthony</v>
          </cell>
        </row>
        <row r="83">
          <cell r="B83" t="str">
            <v>John Tshabala</v>
          </cell>
        </row>
        <row r="84">
          <cell r="B84" t="str">
            <v>Justin Cross</v>
          </cell>
        </row>
        <row r="85">
          <cell r="B85" t="str">
            <v>Karl Finger</v>
          </cell>
        </row>
        <row r="86">
          <cell r="B86" t="str">
            <v>Ken Marsden</v>
          </cell>
        </row>
        <row r="87">
          <cell r="B87" t="str">
            <v>Louis de Hart</v>
          </cell>
        </row>
        <row r="88">
          <cell r="B88" t="str">
            <v>Lwazi Lutya</v>
          </cell>
        </row>
        <row r="89">
          <cell r="B89" t="str">
            <v>Marnus Botha</v>
          </cell>
        </row>
        <row r="90">
          <cell r="B90" t="str">
            <v>Reggie Motake</v>
          </cell>
        </row>
        <row r="91">
          <cell r="B91" t="str">
            <v>Richard Arkle</v>
          </cell>
        </row>
        <row r="92">
          <cell r="B92" t="str">
            <v>Ryan Alexander</v>
          </cell>
        </row>
        <row r="93">
          <cell r="B93" t="str">
            <v>Stefan Bothma</v>
          </cell>
        </row>
        <row r="94">
          <cell r="B94" t="str">
            <v>Steve Finch</v>
          </cell>
        </row>
        <row r="95">
          <cell r="B95" t="str">
            <v>Wayne Abrahamse</v>
          </cell>
        </row>
        <row r="96">
          <cell r="B96" t="str">
            <v>Eng (BKS)</v>
          </cell>
        </row>
        <row r="97">
          <cell r="B97" t="str">
            <v>Subco</v>
          </cell>
        </row>
        <row r="98">
          <cell r="B98" t="str">
            <v>None</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er"/>
      <sheetName val="Combined Graphs"/>
      <sheetName val="Person to action"/>
      <sheetName val="Number per month 2"/>
      <sheetName val="Division"/>
      <sheetName val="Remedial action"/>
      <sheetName val="Failures"/>
      <sheetName val="Causes"/>
      <sheetName val="Status"/>
      <sheetName val="Activity"/>
      <sheetName val="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74">
          <cell r="B74" t="str">
            <v>Andile Sangweni</v>
          </cell>
        </row>
        <row r="75">
          <cell r="B75" t="str">
            <v>Bongani Manciya</v>
          </cell>
        </row>
        <row r="76">
          <cell r="B76" t="str">
            <v>Bongani Msimango</v>
          </cell>
        </row>
        <row r="77">
          <cell r="B77" t="str">
            <v>Brian Keogh</v>
          </cell>
        </row>
        <row r="78">
          <cell r="B78" t="str">
            <v>FBE</v>
          </cell>
        </row>
        <row r="79">
          <cell r="B79" t="str">
            <v>Fhumu</v>
          </cell>
        </row>
        <row r="80">
          <cell r="B80" t="str">
            <v>Goodman Sosibo</v>
          </cell>
        </row>
        <row r="81">
          <cell r="B81" t="str">
            <v>Joe Carter</v>
          </cell>
        </row>
        <row r="82">
          <cell r="B82" t="str">
            <v>John Anthony</v>
          </cell>
        </row>
        <row r="83">
          <cell r="B83" t="str">
            <v>John Tshabala</v>
          </cell>
        </row>
        <row r="84">
          <cell r="B84" t="str">
            <v>Justin Cross</v>
          </cell>
        </row>
        <row r="85">
          <cell r="B85" t="str">
            <v>Karl Finger</v>
          </cell>
        </row>
        <row r="86">
          <cell r="B86" t="str">
            <v>Ken Marsden</v>
          </cell>
        </row>
        <row r="87">
          <cell r="B87" t="str">
            <v>Louis de Hart</v>
          </cell>
        </row>
        <row r="88">
          <cell r="B88" t="str">
            <v>Lwazi Lutya</v>
          </cell>
        </row>
        <row r="89">
          <cell r="B89" t="str">
            <v>Marnus Botha</v>
          </cell>
        </row>
        <row r="90">
          <cell r="B90" t="str">
            <v>Reggie Motake</v>
          </cell>
        </row>
        <row r="91">
          <cell r="B91" t="str">
            <v>Richard Arkle</v>
          </cell>
        </row>
        <row r="92">
          <cell r="B92" t="str">
            <v>Ryan Alexander</v>
          </cell>
        </row>
        <row r="93">
          <cell r="B93" t="str">
            <v>Stefan Bothma</v>
          </cell>
        </row>
        <row r="94">
          <cell r="B94" t="str">
            <v>Steve Finch</v>
          </cell>
        </row>
        <row r="95">
          <cell r="B95" t="str">
            <v>Wayne Abrahamse</v>
          </cell>
        </row>
        <row r="96">
          <cell r="B96" t="str">
            <v>Eng (BKS)</v>
          </cell>
        </row>
        <row r="97">
          <cell r="B97" t="str">
            <v>Subco</v>
          </cell>
        </row>
        <row r="98">
          <cell r="B98" t="str">
            <v>None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1B7AD"/>
    <pageSetUpPr fitToPage="1"/>
  </sheetPr>
  <dimension ref="A1:L33"/>
  <sheetViews>
    <sheetView showZeros="0" view="pageBreakPreview" zoomScale="200" zoomScaleNormal="125" zoomScaleSheetLayoutView="100" workbookViewId="0">
      <selection activeCell="C6" sqref="C6"/>
    </sheetView>
  </sheetViews>
  <sheetFormatPr baseColWidth="10" defaultColWidth="8.6640625" defaultRowHeight="13"/>
  <cols>
    <col min="1" max="1" width="16.6640625" style="118" customWidth="1"/>
    <col min="2" max="2" width="52.5" style="118" customWidth="1"/>
    <col min="3" max="3" width="35" style="171" customWidth="1"/>
    <col min="4" max="4" width="16.83203125" style="118" customWidth="1"/>
    <col min="5" max="5" width="14.83203125" style="118" customWidth="1"/>
    <col min="6" max="6" width="8.6640625" style="118"/>
    <col min="7" max="7" width="12.1640625" style="118" customWidth="1"/>
    <col min="8" max="10" width="8.6640625" style="118"/>
    <col min="11" max="11" width="14.83203125" style="118" bestFit="1" customWidth="1"/>
    <col min="12" max="16384" width="8.6640625" style="118"/>
  </cols>
  <sheetData>
    <row r="1" spans="1:12" ht="22.75" customHeight="1" thickBot="1">
      <c r="A1" s="476"/>
      <c r="B1" s="477"/>
      <c r="C1" s="463"/>
    </row>
    <row r="2" spans="1:12" ht="21" customHeight="1">
      <c r="A2" s="461" t="s">
        <v>907</v>
      </c>
      <c r="B2" s="462"/>
      <c r="C2" s="463"/>
    </row>
    <row r="3" spans="1:12" s="173" customFormat="1" ht="27.75" customHeight="1">
      <c r="A3" s="464"/>
      <c r="B3" s="172"/>
      <c r="C3" s="465"/>
      <c r="D3" s="174"/>
      <c r="E3" s="174"/>
      <c r="F3" s="174"/>
      <c r="G3" s="174"/>
      <c r="H3" s="174"/>
    </row>
    <row r="4" spans="1:12" ht="29.25" customHeight="1">
      <c r="A4" s="466" t="s">
        <v>419</v>
      </c>
      <c r="B4" s="170" t="s">
        <v>420</v>
      </c>
      <c r="C4" s="467">
        <f>'P&amp;G '!G156</f>
        <v>0</v>
      </c>
      <c r="D4" s="220"/>
      <c r="E4" s="175"/>
      <c r="F4" s="175"/>
      <c r="G4" s="175"/>
    </row>
    <row r="5" spans="1:12" ht="29.25" customHeight="1">
      <c r="A5" s="466" t="s">
        <v>421</v>
      </c>
      <c r="B5" s="170" t="s">
        <v>951</v>
      </c>
      <c r="C5" s="467">
        <f>'OHS '!G230</f>
        <v>0</v>
      </c>
      <c r="D5" s="175"/>
      <c r="E5" s="175"/>
      <c r="F5" s="175"/>
      <c r="G5" s="175"/>
    </row>
    <row r="6" spans="1:12" ht="29.25" customHeight="1">
      <c r="A6" s="466" t="s">
        <v>422</v>
      </c>
      <c r="B6" s="170" t="s">
        <v>583</v>
      </c>
      <c r="C6" s="467">
        <f>'Inlet Works'!G59</f>
        <v>0</v>
      </c>
      <c r="D6" s="175"/>
      <c r="E6" s="175"/>
      <c r="F6" s="175"/>
      <c r="G6" s="175"/>
      <c r="I6" s="176"/>
    </row>
    <row r="7" spans="1:12" ht="29.25" customHeight="1">
      <c r="A7" s="466" t="s">
        <v>423</v>
      </c>
      <c r="B7" s="170" t="s">
        <v>908</v>
      </c>
      <c r="C7" s="467">
        <f>'Biological System'!G32</f>
        <v>0</v>
      </c>
      <c r="D7" s="175"/>
      <c r="E7" s="175"/>
      <c r="F7" s="175"/>
      <c r="G7" s="175"/>
      <c r="I7" s="176"/>
    </row>
    <row r="8" spans="1:12" ht="29.25" customHeight="1">
      <c r="A8" s="466" t="s">
        <v>477</v>
      </c>
      <c r="B8" s="170" t="s">
        <v>584</v>
      </c>
      <c r="C8" s="467">
        <f>'Blower Containers'!G27</f>
        <v>0</v>
      </c>
      <c r="D8" s="175"/>
      <c r="E8" s="175"/>
      <c r="F8" s="175"/>
      <c r="G8" s="175"/>
      <c r="I8" s="176"/>
    </row>
    <row r="9" spans="1:12" ht="29.25" customHeight="1">
      <c r="A9" s="466" t="s">
        <v>514</v>
      </c>
      <c r="B9" s="170" t="s">
        <v>585</v>
      </c>
      <c r="C9" s="467">
        <f>Clarifiers!G35</f>
        <v>0</v>
      </c>
      <c r="D9" s="175"/>
      <c r="E9" s="175"/>
      <c r="F9" s="175"/>
      <c r="G9" s="175"/>
      <c r="I9" s="176"/>
    </row>
    <row r="10" spans="1:12" ht="29.25" customHeight="1">
      <c r="A10" s="466" t="s">
        <v>522</v>
      </c>
      <c r="B10" s="170" t="s">
        <v>586</v>
      </c>
      <c r="C10" s="467">
        <f>'Sludge Dewatering System'!G27</f>
        <v>0</v>
      </c>
      <c r="D10" s="175"/>
      <c r="E10" s="175"/>
      <c r="F10" s="175"/>
      <c r="G10" s="175"/>
      <c r="I10" s="176"/>
    </row>
    <row r="11" spans="1:12" ht="29.25" customHeight="1">
      <c r="A11" s="466" t="s">
        <v>558</v>
      </c>
      <c r="B11" s="170" t="s">
        <v>587</v>
      </c>
      <c r="C11" s="467">
        <f>'Disinfection Facility'!G40</f>
        <v>0</v>
      </c>
      <c r="D11" s="175"/>
      <c r="E11" s="175"/>
      <c r="F11" s="175"/>
      <c r="G11" s="175"/>
      <c r="I11" s="176"/>
    </row>
    <row r="12" spans="1:12" ht="29.25" customHeight="1">
      <c r="A12" s="466" t="s">
        <v>591</v>
      </c>
      <c r="B12" s="170" t="s">
        <v>588</v>
      </c>
      <c r="C12" s="467">
        <f>'Electrical Works'!G34</f>
        <v>0</v>
      </c>
      <c r="D12" s="175"/>
      <c r="E12" s="175"/>
      <c r="F12" s="175"/>
      <c r="G12" s="175"/>
      <c r="I12" s="176"/>
    </row>
    <row r="13" spans="1:12" ht="29.25" customHeight="1">
      <c r="A13" s="466" t="s">
        <v>592</v>
      </c>
      <c r="B13" s="170" t="s">
        <v>589</v>
      </c>
      <c r="C13" s="467">
        <f>'Operations and Maintenance '!G41</f>
        <v>0</v>
      </c>
      <c r="G13" s="175"/>
      <c r="L13" s="176"/>
    </row>
    <row r="14" spans="1:12" ht="34" customHeight="1">
      <c r="A14" s="466" t="s">
        <v>593</v>
      </c>
      <c r="B14" s="520" t="s">
        <v>948</v>
      </c>
      <c r="C14" s="467">
        <v>0</v>
      </c>
      <c r="G14" s="175"/>
      <c r="L14" s="176"/>
    </row>
    <row r="15" spans="1:12" ht="29.25" customHeight="1">
      <c r="A15" s="466"/>
      <c r="B15" s="170"/>
      <c r="C15" s="468"/>
      <c r="G15" s="175"/>
    </row>
    <row r="16" spans="1:12" ht="24.75" customHeight="1">
      <c r="A16" s="466"/>
      <c r="B16" s="170"/>
      <c r="C16" s="468"/>
      <c r="G16" s="175"/>
    </row>
    <row r="17" spans="1:11" ht="56" customHeight="1">
      <c r="A17" s="466"/>
      <c r="B17" s="521" t="s">
        <v>947</v>
      </c>
      <c r="C17" s="468"/>
      <c r="G17" s="175"/>
    </row>
    <row r="18" spans="1:11" ht="20" customHeight="1">
      <c r="A18" s="466"/>
      <c r="B18" s="170"/>
      <c r="C18" s="469"/>
    </row>
    <row r="19" spans="1:11" ht="24.5" customHeight="1">
      <c r="A19" s="470" t="s">
        <v>424</v>
      </c>
      <c r="B19" s="170"/>
      <c r="C19" s="467">
        <f>SUM(C4:C14)</f>
        <v>0</v>
      </c>
      <c r="K19" s="177"/>
    </row>
    <row r="20" spans="1:11" ht="24.5" customHeight="1">
      <c r="A20" s="466"/>
      <c r="B20" s="170"/>
      <c r="C20" s="468"/>
      <c r="K20" s="175"/>
    </row>
    <row r="21" spans="1:11" ht="24.5" customHeight="1">
      <c r="A21" s="466" t="s">
        <v>916</v>
      </c>
      <c r="B21" s="170"/>
      <c r="C21" s="467">
        <f>C19*0.1</f>
        <v>0</v>
      </c>
      <c r="D21" s="188"/>
      <c r="K21" s="177"/>
    </row>
    <row r="22" spans="1:11" ht="24.5" customHeight="1">
      <c r="A22" s="466"/>
      <c r="B22" s="170"/>
      <c r="C22" s="468"/>
    </row>
    <row r="23" spans="1:11" ht="24.5" customHeight="1">
      <c r="A23" s="466"/>
      <c r="B23" s="170"/>
      <c r="C23" s="468"/>
    </row>
    <row r="24" spans="1:11" ht="24.5" customHeight="1">
      <c r="A24" s="470" t="s">
        <v>425</v>
      </c>
      <c r="B24" s="170"/>
      <c r="C24" s="467">
        <f>C19+C21</f>
        <v>0</v>
      </c>
    </row>
    <row r="25" spans="1:11" ht="24.5" customHeight="1">
      <c r="A25" s="466"/>
      <c r="B25" s="170"/>
      <c r="C25" s="468"/>
    </row>
    <row r="26" spans="1:11" ht="24.5" customHeight="1">
      <c r="A26" s="466" t="s">
        <v>590</v>
      </c>
      <c r="B26" s="170"/>
      <c r="C26" s="467">
        <f>C24*0.14</f>
        <v>0</v>
      </c>
    </row>
    <row r="27" spans="1:11" ht="24.5" customHeight="1">
      <c r="A27" s="466"/>
      <c r="B27" s="170"/>
      <c r="C27" s="468"/>
    </row>
    <row r="28" spans="1:11" ht="24.5" customHeight="1">
      <c r="A28" s="466"/>
      <c r="B28" s="170"/>
      <c r="C28" s="468"/>
    </row>
    <row r="29" spans="1:11" ht="24.5" customHeight="1">
      <c r="A29" s="471" t="s">
        <v>426</v>
      </c>
      <c r="B29" s="472"/>
      <c r="C29" s="467">
        <f>C26+C24</f>
        <v>0</v>
      </c>
    </row>
    <row r="30" spans="1:11" ht="18" customHeight="1" thickBot="1">
      <c r="A30" s="473"/>
      <c r="B30" s="474"/>
      <c r="C30" s="475"/>
    </row>
    <row r="31" spans="1:11">
      <c r="A31" s="478"/>
      <c r="C31" s="469"/>
    </row>
    <row r="32" spans="1:11">
      <c r="A32" s="478"/>
      <c r="C32" s="469"/>
    </row>
    <row r="33" spans="1:3" ht="14" thickBot="1">
      <c r="A33" s="473"/>
      <c r="B33" s="474"/>
      <c r="C33" s="475"/>
    </row>
  </sheetData>
  <phoneticPr fontId="39" type="noConversion"/>
  <pageMargins left="0.70866141732283472" right="0.70866141732283472" top="0.74803149606299213" bottom="0.74803149606299213" header="0.31496062992125984" footer="0.31496062992125984"/>
  <pageSetup paperSize="9" scale="78" firstPageNumber="114" orientation="portrait" useFirstPageNumber="1" r:id="rId1"/>
  <headerFooter>
    <oddHeader xml:space="preserve">&amp;C&amp;"Arial,Bold"BURGERSFORT WWTW   UPGRADE- BOQ SUMMARY &amp;"-,Bold"
</oddHeader>
    <oddFooter>&amp;CC2.3 -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B0F0"/>
  </sheetPr>
  <dimension ref="A1:I108"/>
  <sheetViews>
    <sheetView showGridLines="0" view="pageLayout" topLeftCell="B7" zoomScaleSheetLayoutView="100" workbookViewId="0">
      <selection activeCell="C16" sqref="C16"/>
    </sheetView>
  </sheetViews>
  <sheetFormatPr baseColWidth="10" defaultColWidth="9.1640625" defaultRowHeight="13"/>
  <cols>
    <col min="1" max="1" width="8.1640625" style="37" customWidth="1"/>
    <col min="2" max="2" width="10.6640625" style="37" customWidth="1"/>
    <col min="3" max="3" width="60.6640625" style="37" customWidth="1"/>
    <col min="4" max="4" width="8.33203125" style="37" customWidth="1"/>
    <col min="5" max="5" width="7.6640625" style="37" customWidth="1"/>
    <col min="6" max="6" width="11.5" style="37" customWidth="1"/>
    <col min="7" max="7" width="16.6640625" style="37" customWidth="1"/>
    <col min="8" max="16384" width="9.1640625" style="37"/>
  </cols>
  <sheetData>
    <row r="1" spans="1:7" hidden="1">
      <c r="A1" s="35"/>
      <c r="B1" s="35"/>
      <c r="C1" s="35"/>
      <c r="D1" s="35"/>
      <c r="E1" s="35"/>
      <c r="F1" s="36"/>
      <c r="G1" s="36"/>
    </row>
    <row r="2" spans="1:7" ht="40.5" customHeight="1">
      <c r="A2" s="38" t="s">
        <v>0</v>
      </c>
      <c r="B2" s="38" t="s">
        <v>94</v>
      </c>
      <c r="C2" s="39" t="s">
        <v>1</v>
      </c>
      <c r="D2" s="39" t="s">
        <v>10</v>
      </c>
      <c r="E2" s="39" t="s">
        <v>11</v>
      </c>
      <c r="F2" s="39" t="s">
        <v>12</v>
      </c>
      <c r="G2" s="39" t="s">
        <v>13</v>
      </c>
    </row>
    <row r="3" spans="1:7" ht="30" customHeight="1">
      <c r="A3" s="40">
        <v>2</v>
      </c>
      <c r="B3" s="40"/>
      <c r="C3" s="40" t="s">
        <v>233</v>
      </c>
      <c r="D3" s="40"/>
      <c r="E3" s="40"/>
      <c r="F3" s="40"/>
      <c r="G3" s="40"/>
    </row>
    <row r="4" spans="1:7" ht="30" customHeight="1">
      <c r="A4" s="40"/>
      <c r="B4" s="40"/>
      <c r="C4" s="41" t="s">
        <v>95</v>
      </c>
      <c r="D4" s="40"/>
      <c r="E4" s="40"/>
      <c r="F4" s="40"/>
      <c r="G4" s="40"/>
    </row>
    <row r="5" spans="1:7" ht="58.25" customHeight="1">
      <c r="A5" s="40"/>
      <c r="B5" s="40"/>
      <c r="C5" s="42" t="s">
        <v>96</v>
      </c>
      <c r="D5" s="40"/>
      <c r="E5" s="40"/>
      <c r="F5" s="40"/>
      <c r="G5" s="40"/>
    </row>
    <row r="6" spans="1:7" ht="30" customHeight="1">
      <c r="A6" s="43">
        <v>2.1</v>
      </c>
      <c r="B6" s="43"/>
      <c r="C6" s="42" t="s">
        <v>97</v>
      </c>
      <c r="D6" s="44"/>
      <c r="E6" s="44"/>
      <c r="F6" s="45"/>
      <c r="G6" s="45"/>
    </row>
    <row r="7" spans="1:7" ht="133.25" customHeight="1">
      <c r="A7" s="46" t="s">
        <v>63</v>
      </c>
      <c r="B7" s="47"/>
      <c r="C7" s="48" t="s">
        <v>235</v>
      </c>
      <c r="D7" s="49" t="s">
        <v>2</v>
      </c>
      <c r="E7" s="50">
        <v>1</v>
      </c>
      <c r="F7" s="51">
        <f>(1605675)*1.3</f>
        <v>2087377.5</v>
      </c>
      <c r="G7" s="52">
        <f t="shared" ref="G7:G15" si="0">F7*E7</f>
        <v>2087377.5</v>
      </c>
    </row>
    <row r="8" spans="1:7" ht="37.25" customHeight="1">
      <c r="A8" s="46" t="s">
        <v>4</v>
      </c>
      <c r="B8" s="47"/>
      <c r="C8" s="48" t="s">
        <v>236</v>
      </c>
      <c r="D8" s="49" t="s">
        <v>98</v>
      </c>
      <c r="E8" s="50">
        <f>E7</f>
        <v>1</v>
      </c>
      <c r="F8" s="51">
        <f>269233*1.3</f>
        <v>350002.9</v>
      </c>
      <c r="G8" s="52">
        <f t="shared" si="0"/>
        <v>350002.9</v>
      </c>
    </row>
    <row r="9" spans="1:7" ht="32.25" customHeight="1">
      <c r="A9" s="46" t="s">
        <v>5</v>
      </c>
      <c r="B9" s="47"/>
      <c r="C9" s="48" t="s">
        <v>237</v>
      </c>
      <c r="D9" s="49" t="s">
        <v>98</v>
      </c>
      <c r="E9" s="50">
        <f>E8</f>
        <v>1</v>
      </c>
      <c r="F9" s="51">
        <v>259102</v>
      </c>
      <c r="G9" s="53" t="s">
        <v>99</v>
      </c>
    </row>
    <row r="10" spans="1:7" ht="27.5" customHeight="1">
      <c r="A10" s="46" t="s">
        <v>15</v>
      </c>
      <c r="B10" s="47"/>
      <c r="C10" s="48" t="s">
        <v>100</v>
      </c>
      <c r="D10" s="49" t="s">
        <v>2</v>
      </c>
      <c r="E10" s="50">
        <f>E7</f>
        <v>1</v>
      </c>
      <c r="F10" s="51">
        <v>43480</v>
      </c>
      <c r="G10" s="52">
        <f t="shared" si="0"/>
        <v>43480</v>
      </c>
    </row>
    <row r="11" spans="1:7" ht="44" customHeight="1">
      <c r="A11" s="46" t="s">
        <v>17</v>
      </c>
      <c r="B11" s="47"/>
      <c r="C11" s="54" t="s">
        <v>101</v>
      </c>
      <c r="D11" s="55" t="s">
        <v>3</v>
      </c>
      <c r="E11" s="50">
        <v>3</v>
      </c>
      <c r="F11" s="56">
        <v>3150</v>
      </c>
      <c r="G11" s="52">
        <f t="shared" si="0"/>
        <v>9450</v>
      </c>
    </row>
    <row r="12" spans="1:7" ht="34.25" customHeight="1">
      <c r="A12" s="46" t="s">
        <v>18</v>
      </c>
      <c r="B12" s="47"/>
      <c r="C12" s="54" t="s">
        <v>102</v>
      </c>
      <c r="D12" s="55" t="s">
        <v>3</v>
      </c>
      <c r="E12" s="50">
        <f>E7</f>
        <v>1</v>
      </c>
      <c r="F12" s="57">
        <v>65500</v>
      </c>
      <c r="G12" s="52">
        <f t="shared" si="0"/>
        <v>65500</v>
      </c>
    </row>
    <row r="13" spans="1:7" ht="27.5" customHeight="1">
      <c r="A13" s="46" t="s">
        <v>19</v>
      </c>
      <c r="B13" s="47"/>
      <c r="C13" s="58" t="s">
        <v>35</v>
      </c>
      <c r="D13" s="46" t="s">
        <v>2</v>
      </c>
      <c r="E13" s="59">
        <f>E7</f>
        <v>1</v>
      </c>
      <c r="F13" s="60">
        <v>2300</v>
      </c>
      <c r="G13" s="45">
        <f t="shared" si="0"/>
        <v>2300</v>
      </c>
    </row>
    <row r="14" spans="1:7" ht="27.5" customHeight="1">
      <c r="A14" s="46" t="s">
        <v>20</v>
      </c>
      <c r="B14" s="47"/>
      <c r="C14" s="58" t="s">
        <v>36</v>
      </c>
      <c r="D14" s="46" t="s">
        <v>103</v>
      </c>
      <c r="E14" s="59">
        <v>3</v>
      </c>
      <c r="F14" s="60">
        <v>2400</v>
      </c>
      <c r="G14" s="45">
        <f t="shared" si="0"/>
        <v>7200</v>
      </c>
    </row>
    <row r="15" spans="1:7" ht="27.5" customHeight="1">
      <c r="A15" s="46" t="s">
        <v>21</v>
      </c>
      <c r="B15" s="47"/>
      <c r="C15" s="58" t="s">
        <v>27</v>
      </c>
      <c r="D15" s="46" t="s">
        <v>2</v>
      </c>
      <c r="E15" s="50">
        <v>3</v>
      </c>
      <c r="F15" s="60">
        <v>14375</v>
      </c>
      <c r="G15" s="45">
        <f t="shared" si="0"/>
        <v>43125</v>
      </c>
    </row>
    <row r="16" spans="1:7" ht="134" customHeight="1">
      <c r="A16" s="46" t="s">
        <v>22</v>
      </c>
      <c r="B16" s="47"/>
      <c r="C16" s="54" t="s">
        <v>231</v>
      </c>
      <c r="D16" s="55" t="s">
        <v>3</v>
      </c>
      <c r="E16" s="50">
        <v>1</v>
      </c>
      <c r="F16" s="56">
        <v>15000</v>
      </c>
      <c r="G16" s="52">
        <f>E16*F16</f>
        <v>15000</v>
      </c>
    </row>
    <row r="17" spans="1:9" ht="26" customHeight="1">
      <c r="A17" s="46"/>
      <c r="B17" s="47"/>
      <c r="C17" s="54"/>
      <c r="D17" s="55"/>
      <c r="E17" s="50"/>
      <c r="F17" s="56"/>
      <c r="G17" s="61"/>
    </row>
    <row r="18" spans="1:9" s="64" customFormat="1" ht="23" customHeight="1">
      <c r="A18" s="43">
        <v>2.2000000000000002</v>
      </c>
      <c r="B18" s="62"/>
      <c r="C18" s="63" t="s">
        <v>232</v>
      </c>
      <c r="D18" s="55"/>
      <c r="E18" s="50"/>
      <c r="F18" s="56"/>
      <c r="G18" s="52"/>
    </row>
    <row r="19" spans="1:9" ht="26" customHeight="1">
      <c r="A19" s="49" t="s">
        <v>6</v>
      </c>
      <c r="B19" s="65"/>
      <c r="C19" s="54" t="s">
        <v>104</v>
      </c>
      <c r="D19" s="55" t="s">
        <v>2</v>
      </c>
      <c r="E19" s="93">
        <v>1</v>
      </c>
      <c r="F19" s="94">
        <v>5023.2</v>
      </c>
      <c r="G19" s="95">
        <f>E19*F19</f>
        <v>5023.2</v>
      </c>
    </row>
    <row r="20" spans="1:9" ht="27" customHeight="1">
      <c r="A20" s="49" t="s">
        <v>7</v>
      </c>
      <c r="B20" s="65"/>
      <c r="C20" s="54" t="s">
        <v>105</v>
      </c>
      <c r="D20" s="55" t="s">
        <v>2</v>
      </c>
      <c r="E20" s="93">
        <v>1</v>
      </c>
      <c r="F20" s="94">
        <v>8611.2000000000007</v>
      </c>
      <c r="G20" s="95">
        <f>E20*F20</f>
        <v>8611.2000000000007</v>
      </c>
    </row>
    <row r="21" spans="1:9" ht="32.25" customHeight="1">
      <c r="A21" s="49" t="s">
        <v>106</v>
      </c>
      <c r="B21" s="65"/>
      <c r="C21" s="54" t="s">
        <v>107</v>
      </c>
      <c r="D21" s="55" t="s">
        <v>2</v>
      </c>
      <c r="E21" s="93">
        <v>2</v>
      </c>
      <c r="F21" s="94">
        <v>15</v>
      </c>
      <c r="G21" s="95">
        <f>E21*F21</f>
        <v>30</v>
      </c>
    </row>
    <row r="22" spans="1:9" ht="28.5" customHeight="1">
      <c r="A22" s="49" t="s">
        <v>108</v>
      </c>
      <c r="B22" s="65"/>
      <c r="C22" s="54" t="s">
        <v>109</v>
      </c>
      <c r="D22" s="55" t="s">
        <v>110</v>
      </c>
      <c r="E22" s="93">
        <v>2</v>
      </c>
      <c r="F22" s="94">
        <f>552*1.3</f>
        <v>717.6</v>
      </c>
      <c r="G22" s="95">
        <f>E22*F22</f>
        <v>1435.2</v>
      </c>
    </row>
    <row r="23" spans="1:9" ht="30" customHeight="1">
      <c r="A23" s="49" t="s">
        <v>111</v>
      </c>
      <c r="B23" s="65"/>
      <c r="C23" s="54" t="s">
        <v>112</v>
      </c>
      <c r="D23" s="55" t="s">
        <v>2</v>
      </c>
      <c r="E23" s="93">
        <v>2</v>
      </c>
      <c r="F23" s="94">
        <f>5411*1.3</f>
        <v>7034.3</v>
      </c>
      <c r="G23" s="95">
        <f t="shared" ref="G23:G32" si="1">E23*F23</f>
        <v>14068.6</v>
      </c>
    </row>
    <row r="24" spans="1:9" ht="26" customHeight="1">
      <c r="A24" s="49" t="s">
        <v>113</v>
      </c>
      <c r="B24" s="65"/>
      <c r="C24" s="54" t="s">
        <v>114</v>
      </c>
      <c r="D24" s="55" t="s">
        <v>2</v>
      </c>
      <c r="E24" s="93">
        <v>2</v>
      </c>
      <c r="F24" s="94">
        <f>20*1.3</f>
        <v>26</v>
      </c>
      <c r="G24" s="95">
        <f t="shared" si="1"/>
        <v>52</v>
      </c>
    </row>
    <row r="25" spans="1:9" ht="26" customHeight="1">
      <c r="A25" s="49" t="s">
        <v>115</v>
      </c>
      <c r="B25" s="65"/>
      <c r="C25" s="54" t="s">
        <v>116</v>
      </c>
      <c r="D25" s="55" t="s">
        <v>2</v>
      </c>
      <c r="E25" s="93">
        <v>1</v>
      </c>
      <c r="F25" s="94">
        <f>20*1.3</f>
        <v>26</v>
      </c>
      <c r="G25" s="95">
        <f t="shared" si="1"/>
        <v>26</v>
      </c>
    </row>
    <row r="26" spans="1:9" ht="26" customHeight="1">
      <c r="A26" s="49" t="s">
        <v>117</v>
      </c>
      <c r="B26" s="65"/>
      <c r="C26" s="54" t="s">
        <v>118</v>
      </c>
      <c r="D26" s="55" t="s">
        <v>2</v>
      </c>
      <c r="E26" s="93">
        <v>1</v>
      </c>
      <c r="F26" s="94">
        <v>270.25</v>
      </c>
      <c r="G26" s="95">
        <f t="shared" si="1"/>
        <v>270.25</v>
      </c>
    </row>
    <row r="27" spans="1:9" ht="26" customHeight="1">
      <c r="A27" s="49" t="s">
        <v>119</v>
      </c>
      <c r="B27" s="65"/>
      <c r="C27" s="54" t="s">
        <v>120</v>
      </c>
      <c r="D27" s="55" t="s">
        <v>2</v>
      </c>
      <c r="E27" s="93">
        <v>1</v>
      </c>
      <c r="F27" s="94">
        <v>129.94999999999999</v>
      </c>
      <c r="G27" s="95">
        <f t="shared" si="1"/>
        <v>129.94999999999999</v>
      </c>
    </row>
    <row r="28" spans="1:9" ht="26" customHeight="1">
      <c r="A28" s="49" t="s">
        <v>121</v>
      </c>
      <c r="B28" s="65"/>
      <c r="C28" s="54" t="s">
        <v>122</v>
      </c>
      <c r="D28" s="55" t="s">
        <v>2</v>
      </c>
      <c r="E28" s="93">
        <v>1</v>
      </c>
      <c r="F28" s="94">
        <f>110*1.3</f>
        <v>143</v>
      </c>
      <c r="G28" s="95">
        <f t="shared" si="1"/>
        <v>143</v>
      </c>
    </row>
    <row r="29" spans="1:9" ht="26" customHeight="1">
      <c r="A29" s="49" t="s">
        <v>123</v>
      </c>
      <c r="B29" s="65"/>
      <c r="C29" s="54" t="s">
        <v>124</v>
      </c>
      <c r="D29" s="55" t="s">
        <v>2</v>
      </c>
      <c r="E29" s="93">
        <v>2</v>
      </c>
      <c r="F29" s="94">
        <f>10930*1.3</f>
        <v>14209</v>
      </c>
      <c r="G29" s="95">
        <f t="shared" si="1"/>
        <v>28418</v>
      </c>
    </row>
    <row r="30" spans="1:9" ht="26" customHeight="1">
      <c r="A30" s="49" t="s">
        <v>125</v>
      </c>
      <c r="B30" s="65"/>
      <c r="C30" s="54" t="s">
        <v>126</v>
      </c>
      <c r="D30" s="55" t="s">
        <v>2</v>
      </c>
      <c r="E30" s="93">
        <v>2</v>
      </c>
      <c r="F30" s="94">
        <f>11*1.3</f>
        <v>14.3</v>
      </c>
      <c r="G30" s="95">
        <f t="shared" si="1"/>
        <v>28.6</v>
      </c>
    </row>
    <row r="31" spans="1:9" ht="26" customHeight="1">
      <c r="A31" s="49" t="s">
        <v>127</v>
      </c>
      <c r="B31" s="65"/>
      <c r="C31" s="54" t="s">
        <v>128</v>
      </c>
      <c r="D31" s="55" t="s">
        <v>2</v>
      </c>
      <c r="E31" s="93">
        <v>2</v>
      </c>
      <c r="F31" s="94">
        <f>60*1.3</f>
        <v>78</v>
      </c>
      <c r="G31" s="95">
        <f t="shared" si="1"/>
        <v>156</v>
      </c>
    </row>
    <row r="32" spans="1:9" ht="26" customHeight="1">
      <c r="A32" s="49" t="s">
        <v>129</v>
      </c>
      <c r="B32" s="65"/>
      <c r="C32" s="54" t="s">
        <v>130</v>
      </c>
      <c r="D32" s="55" t="s">
        <v>2</v>
      </c>
      <c r="E32" s="93">
        <v>2</v>
      </c>
      <c r="F32" s="94">
        <f>111*1.3</f>
        <v>144.30000000000001</v>
      </c>
      <c r="G32" s="95">
        <f t="shared" si="1"/>
        <v>288.60000000000002</v>
      </c>
      <c r="I32" s="99"/>
    </row>
    <row r="33" spans="1:7" ht="17.75" customHeight="1">
      <c r="A33" s="46"/>
      <c r="B33" s="47"/>
      <c r="C33" s="54"/>
      <c r="D33" s="55"/>
      <c r="E33" s="50"/>
      <c r="F33" s="56"/>
      <c r="G33" s="52"/>
    </row>
    <row r="34" spans="1:7" ht="30" customHeight="1">
      <c r="A34" s="537" t="s">
        <v>26</v>
      </c>
      <c r="B34" s="538"/>
      <c r="C34" s="538"/>
      <c r="D34" s="538"/>
      <c r="E34" s="538"/>
      <c r="F34" s="539"/>
      <c r="G34" s="66">
        <f>SUM(G3:G33)</f>
        <v>2682116.0000000009</v>
      </c>
    </row>
    <row r="35" spans="1:7" ht="33" customHeight="1">
      <c r="A35" s="540" t="s">
        <v>33</v>
      </c>
      <c r="B35" s="541"/>
      <c r="C35" s="541"/>
      <c r="D35" s="541"/>
      <c r="E35" s="541"/>
      <c r="F35" s="542"/>
      <c r="G35" s="66">
        <f>G34</f>
        <v>2682116.0000000009</v>
      </c>
    </row>
    <row r="36" spans="1:7" ht="27" customHeight="1">
      <c r="A36" s="46"/>
      <c r="B36" s="47"/>
      <c r="C36" s="54"/>
      <c r="D36" s="55"/>
      <c r="E36" s="50"/>
      <c r="F36" s="56"/>
      <c r="G36" s="52"/>
    </row>
    <row r="37" spans="1:7" ht="83.75" customHeight="1">
      <c r="A37" s="49" t="s">
        <v>131</v>
      </c>
      <c r="B37" s="65"/>
      <c r="C37" s="54" t="s">
        <v>132</v>
      </c>
      <c r="D37" s="55" t="s">
        <v>2</v>
      </c>
      <c r="E37" s="50">
        <v>3</v>
      </c>
      <c r="F37" s="56">
        <f>28500*1.3</f>
        <v>37050</v>
      </c>
      <c r="G37" s="52">
        <f t="shared" ref="G37:G49" si="2">E37*F37</f>
        <v>111150</v>
      </c>
    </row>
    <row r="38" spans="1:7" ht="23" customHeight="1">
      <c r="A38" s="49" t="s">
        <v>133</v>
      </c>
      <c r="B38" s="65"/>
      <c r="C38" s="97" t="s">
        <v>134</v>
      </c>
      <c r="D38" s="55" t="s">
        <v>2</v>
      </c>
      <c r="E38" s="50">
        <v>2</v>
      </c>
      <c r="F38" s="94">
        <f>1002*1.3</f>
        <v>1302.6000000000001</v>
      </c>
      <c r="G38" s="95">
        <f t="shared" si="2"/>
        <v>2605.2000000000003</v>
      </c>
    </row>
    <row r="39" spans="1:7" ht="23" customHeight="1">
      <c r="A39" s="49" t="s">
        <v>135</v>
      </c>
      <c r="B39" s="65"/>
      <c r="C39" s="97" t="s">
        <v>136</v>
      </c>
      <c r="D39" s="55" t="s">
        <v>2</v>
      </c>
      <c r="E39" s="50">
        <v>1</v>
      </c>
      <c r="F39" s="94">
        <f>188*1.3</f>
        <v>244.4</v>
      </c>
      <c r="G39" s="95">
        <f t="shared" si="2"/>
        <v>244.4</v>
      </c>
    </row>
    <row r="40" spans="1:7" ht="23" customHeight="1">
      <c r="A40" s="49" t="s">
        <v>137</v>
      </c>
      <c r="B40" s="65"/>
      <c r="C40" s="97" t="s">
        <v>138</v>
      </c>
      <c r="D40" s="55" t="s">
        <v>2</v>
      </c>
      <c r="E40" s="50">
        <v>2</v>
      </c>
      <c r="F40" s="94">
        <f>141*1.3</f>
        <v>183.3</v>
      </c>
      <c r="G40" s="95">
        <f t="shared" si="2"/>
        <v>366.6</v>
      </c>
    </row>
    <row r="41" spans="1:7" ht="23" customHeight="1">
      <c r="A41" s="49" t="s">
        <v>139</v>
      </c>
      <c r="B41" s="65"/>
      <c r="C41" s="97" t="s">
        <v>140</v>
      </c>
      <c r="D41" s="55" t="s">
        <v>2</v>
      </c>
      <c r="E41" s="50">
        <v>1</v>
      </c>
      <c r="F41" s="94">
        <f>83*1.3</f>
        <v>107.9</v>
      </c>
      <c r="G41" s="95">
        <f t="shared" si="2"/>
        <v>107.9</v>
      </c>
    </row>
    <row r="42" spans="1:7" ht="23" customHeight="1">
      <c r="A42" s="49" t="s">
        <v>141</v>
      </c>
      <c r="B42" s="65"/>
      <c r="C42" s="97" t="s">
        <v>142</v>
      </c>
      <c r="D42" s="55" t="s">
        <v>2</v>
      </c>
      <c r="E42" s="50">
        <v>1</v>
      </c>
      <c r="F42" s="94">
        <f>1180*1.3</f>
        <v>1534</v>
      </c>
      <c r="G42" s="95">
        <f t="shared" si="2"/>
        <v>1534</v>
      </c>
    </row>
    <row r="43" spans="1:7" ht="23" customHeight="1">
      <c r="A43" s="49" t="s">
        <v>143</v>
      </c>
      <c r="B43" s="65"/>
      <c r="C43" s="97" t="s">
        <v>144</v>
      </c>
      <c r="D43" s="55" t="s">
        <v>2</v>
      </c>
      <c r="E43" s="50">
        <v>4</v>
      </c>
      <c r="F43" s="94">
        <f>26*1.3</f>
        <v>33.800000000000004</v>
      </c>
      <c r="G43" s="95">
        <f t="shared" si="2"/>
        <v>135.20000000000002</v>
      </c>
    </row>
    <row r="44" spans="1:7" ht="23" customHeight="1">
      <c r="A44" s="49" t="s">
        <v>145</v>
      </c>
      <c r="B44" s="65"/>
      <c r="C44" s="97" t="s">
        <v>146</v>
      </c>
      <c r="D44" s="55" t="s">
        <v>2</v>
      </c>
      <c r="E44" s="50">
        <v>1</v>
      </c>
      <c r="F44" s="94">
        <f>534*1.3</f>
        <v>694.2</v>
      </c>
      <c r="G44" s="95">
        <f t="shared" si="2"/>
        <v>694.2</v>
      </c>
    </row>
    <row r="45" spans="1:7" ht="23" customHeight="1">
      <c r="A45" s="49" t="s">
        <v>147</v>
      </c>
      <c r="B45" s="65"/>
      <c r="C45" s="97" t="s">
        <v>148</v>
      </c>
      <c r="D45" s="55" t="s">
        <v>2</v>
      </c>
      <c r="E45" s="50">
        <v>1</v>
      </c>
      <c r="F45" s="94">
        <f>756*1.3</f>
        <v>982.80000000000007</v>
      </c>
      <c r="G45" s="95">
        <f t="shared" si="2"/>
        <v>982.80000000000007</v>
      </c>
    </row>
    <row r="46" spans="1:7" ht="23" customHeight="1">
      <c r="A46" s="49" t="s">
        <v>149</v>
      </c>
      <c r="B46" s="65"/>
      <c r="C46" s="97" t="s">
        <v>150</v>
      </c>
      <c r="D46" s="55" t="s">
        <v>2</v>
      </c>
      <c r="E46" s="50">
        <v>1</v>
      </c>
      <c r="F46" s="94">
        <f>2044*1.3</f>
        <v>2657.2000000000003</v>
      </c>
      <c r="G46" s="95">
        <f t="shared" si="2"/>
        <v>2657.2000000000003</v>
      </c>
    </row>
    <row r="47" spans="1:7" ht="23" customHeight="1">
      <c r="A47" s="49" t="s">
        <v>151</v>
      </c>
      <c r="B47" s="65"/>
      <c r="C47" s="97" t="s">
        <v>152</v>
      </c>
      <c r="D47" s="55" t="s">
        <v>2</v>
      </c>
      <c r="E47" s="50">
        <v>1</v>
      </c>
      <c r="F47" s="94">
        <f>2235*1.3</f>
        <v>2905.5</v>
      </c>
      <c r="G47" s="95">
        <f t="shared" si="2"/>
        <v>2905.5</v>
      </c>
    </row>
    <row r="48" spans="1:7" ht="23" customHeight="1">
      <c r="A48" s="49" t="s">
        <v>153</v>
      </c>
      <c r="B48" s="65"/>
      <c r="C48" s="97" t="s">
        <v>154</v>
      </c>
      <c r="D48" s="55" t="s">
        <v>2</v>
      </c>
      <c r="E48" s="50">
        <v>1</v>
      </c>
      <c r="F48" s="94">
        <f>13327*1.3</f>
        <v>17325.100000000002</v>
      </c>
      <c r="G48" s="95">
        <f t="shared" si="2"/>
        <v>17325.100000000002</v>
      </c>
    </row>
    <row r="49" spans="1:7" ht="23" customHeight="1">
      <c r="A49" s="49" t="s">
        <v>155</v>
      </c>
      <c r="B49" s="67"/>
      <c r="C49" s="97" t="s">
        <v>156</v>
      </c>
      <c r="D49" s="55" t="s">
        <v>2</v>
      </c>
      <c r="E49" s="50">
        <v>2</v>
      </c>
      <c r="F49" s="96">
        <f>20*1.3</f>
        <v>26</v>
      </c>
      <c r="G49" s="95">
        <f t="shared" si="2"/>
        <v>52</v>
      </c>
    </row>
    <row r="50" spans="1:7" ht="23" customHeight="1">
      <c r="A50" s="49" t="s">
        <v>157</v>
      </c>
      <c r="B50" s="47"/>
      <c r="C50" s="97" t="s">
        <v>158</v>
      </c>
      <c r="D50" s="55" t="s">
        <v>2</v>
      </c>
      <c r="E50" s="50">
        <v>2</v>
      </c>
      <c r="F50" s="94">
        <f>131*1.3</f>
        <v>170.3</v>
      </c>
      <c r="G50" s="95">
        <f t="shared" ref="G50:G59" si="3">F50*E50</f>
        <v>340.6</v>
      </c>
    </row>
    <row r="51" spans="1:7" ht="23" customHeight="1">
      <c r="A51" s="49" t="s">
        <v>159</v>
      </c>
      <c r="B51" s="47"/>
      <c r="C51" s="97" t="s">
        <v>160</v>
      </c>
      <c r="D51" s="55" t="s">
        <v>2</v>
      </c>
      <c r="E51" s="50">
        <v>1</v>
      </c>
      <c r="F51" s="94">
        <f>967*1.3</f>
        <v>1257.1000000000001</v>
      </c>
      <c r="G51" s="95">
        <f t="shared" si="3"/>
        <v>1257.1000000000001</v>
      </c>
    </row>
    <row r="52" spans="1:7" ht="23" customHeight="1">
      <c r="A52" s="49" t="s">
        <v>161</v>
      </c>
      <c r="B52" s="47"/>
      <c r="C52" s="97" t="s">
        <v>162</v>
      </c>
      <c r="D52" s="55" t="s">
        <v>2</v>
      </c>
      <c r="E52" s="50">
        <v>2</v>
      </c>
      <c r="F52" s="94">
        <f>13624*1.3</f>
        <v>17711.2</v>
      </c>
      <c r="G52" s="95">
        <f t="shared" si="3"/>
        <v>35422.400000000001</v>
      </c>
    </row>
    <row r="53" spans="1:7" ht="23" customHeight="1">
      <c r="A53" s="49" t="s">
        <v>163</v>
      </c>
      <c r="B53" s="47"/>
      <c r="C53" s="97" t="s">
        <v>164</v>
      </c>
      <c r="D53" s="55" t="s">
        <v>2</v>
      </c>
      <c r="E53" s="50">
        <v>2</v>
      </c>
      <c r="F53" s="94">
        <f>1500*1.3</f>
        <v>1950</v>
      </c>
      <c r="G53" s="95">
        <f t="shared" si="3"/>
        <v>3900</v>
      </c>
    </row>
    <row r="54" spans="1:7" ht="23" customHeight="1">
      <c r="A54" s="49" t="s">
        <v>165</v>
      </c>
      <c r="B54" s="47"/>
      <c r="C54" s="97" t="s">
        <v>166</v>
      </c>
      <c r="D54" s="55" t="s">
        <v>2</v>
      </c>
      <c r="E54" s="50">
        <v>1</v>
      </c>
      <c r="F54" s="94">
        <f>3000*1.3</f>
        <v>3900</v>
      </c>
      <c r="G54" s="95">
        <f t="shared" si="3"/>
        <v>3900</v>
      </c>
    </row>
    <row r="55" spans="1:7" ht="47" customHeight="1">
      <c r="A55" s="49" t="s">
        <v>167</v>
      </c>
      <c r="B55" s="47"/>
      <c r="C55" s="97" t="s">
        <v>168</v>
      </c>
      <c r="D55" s="55" t="s">
        <v>2</v>
      </c>
      <c r="E55" s="50">
        <v>1</v>
      </c>
      <c r="F55" s="94">
        <f>22000*1.3</f>
        <v>28600</v>
      </c>
      <c r="G55" s="95">
        <f t="shared" si="3"/>
        <v>28600</v>
      </c>
    </row>
    <row r="56" spans="1:7" ht="23" customHeight="1">
      <c r="A56" s="49" t="s">
        <v>169</v>
      </c>
      <c r="B56" s="47"/>
      <c r="C56" s="97" t="s">
        <v>170</v>
      </c>
      <c r="D56" s="55" t="s">
        <v>67</v>
      </c>
      <c r="E56" s="50">
        <v>1</v>
      </c>
      <c r="F56" s="94">
        <v>450</v>
      </c>
      <c r="G56" s="95">
        <f t="shared" si="3"/>
        <v>450</v>
      </c>
    </row>
    <row r="57" spans="1:7" ht="23" customHeight="1">
      <c r="A57" s="49" t="s">
        <v>171</v>
      </c>
      <c r="B57" s="47"/>
      <c r="C57" s="97" t="s">
        <v>172</v>
      </c>
      <c r="D57" s="55" t="s">
        <v>67</v>
      </c>
      <c r="E57" s="50">
        <v>2</v>
      </c>
      <c r="F57" s="94">
        <f>9000*1.3</f>
        <v>11700</v>
      </c>
      <c r="G57" s="95">
        <f t="shared" si="3"/>
        <v>23400</v>
      </c>
    </row>
    <row r="58" spans="1:7" ht="31.25" customHeight="1">
      <c r="A58" s="49" t="s">
        <v>173</v>
      </c>
      <c r="B58" s="47"/>
      <c r="C58" s="97" t="s">
        <v>174</v>
      </c>
      <c r="D58" s="55" t="s">
        <v>2</v>
      </c>
      <c r="E58" s="50">
        <v>1</v>
      </c>
      <c r="F58" s="94">
        <v>8000</v>
      </c>
      <c r="G58" s="95">
        <f t="shared" si="3"/>
        <v>8000</v>
      </c>
    </row>
    <row r="59" spans="1:7" ht="31.25" customHeight="1">
      <c r="A59" s="49" t="s">
        <v>175</v>
      </c>
      <c r="B59" s="47"/>
      <c r="C59" s="97" t="s">
        <v>176</v>
      </c>
      <c r="D59" s="55" t="s">
        <v>67</v>
      </c>
      <c r="E59" s="50">
        <v>1</v>
      </c>
      <c r="F59" s="94">
        <v>5000</v>
      </c>
      <c r="G59" s="95">
        <f t="shared" si="3"/>
        <v>5000</v>
      </c>
    </row>
    <row r="60" spans="1:7" ht="18.5" customHeight="1">
      <c r="A60" s="49"/>
      <c r="B60" s="65"/>
      <c r="C60" s="54"/>
      <c r="D60" s="55"/>
      <c r="E60" s="50"/>
      <c r="F60" s="56"/>
      <c r="G60" s="52"/>
    </row>
    <row r="61" spans="1:7" ht="31.25" customHeight="1">
      <c r="A61" s="43">
        <v>2.2999999999999998</v>
      </c>
      <c r="B61" s="62"/>
      <c r="C61" s="68" t="s">
        <v>177</v>
      </c>
      <c r="D61" s="69"/>
      <c r="E61" s="70"/>
      <c r="F61" s="71"/>
      <c r="G61" s="72"/>
    </row>
    <row r="62" spans="1:7" ht="60.5" customHeight="1">
      <c r="A62" s="46" t="s">
        <v>8</v>
      </c>
      <c r="B62" s="73"/>
      <c r="C62" s="48" t="s">
        <v>178</v>
      </c>
      <c r="D62" s="49" t="s">
        <v>31</v>
      </c>
      <c r="E62" s="74">
        <f>20</f>
        <v>20</v>
      </c>
      <c r="F62" s="75">
        <v>6856.64</v>
      </c>
      <c r="G62" s="52">
        <f t="shared" ref="G62:G67" si="4">F62*E62</f>
        <v>137132.80000000002</v>
      </c>
    </row>
    <row r="63" spans="1:7" ht="56.75" customHeight="1">
      <c r="A63" s="46" t="s">
        <v>179</v>
      </c>
      <c r="B63" s="73"/>
      <c r="C63" s="48" t="s">
        <v>180</v>
      </c>
      <c r="D63" s="49" t="s">
        <v>31</v>
      </c>
      <c r="E63" s="74">
        <f>15</f>
        <v>15</v>
      </c>
      <c r="F63" s="75">
        <v>6917.64</v>
      </c>
      <c r="G63" s="52">
        <f>F63*E63</f>
        <v>103764.6</v>
      </c>
    </row>
    <row r="64" spans="1:7" ht="41" customHeight="1">
      <c r="A64" s="46" t="s">
        <v>181</v>
      </c>
      <c r="B64" s="73"/>
      <c r="C64" s="58" t="s">
        <v>182</v>
      </c>
      <c r="D64" s="46" t="s">
        <v>2</v>
      </c>
      <c r="E64" s="74">
        <v>1</v>
      </c>
      <c r="F64" s="75">
        <v>3896.55</v>
      </c>
      <c r="G64" s="52">
        <f>F64*E64</f>
        <v>3896.55</v>
      </c>
    </row>
    <row r="65" spans="1:7" ht="37.25" customHeight="1">
      <c r="A65" s="46" t="s">
        <v>183</v>
      </c>
      <c r="B65" s="73"/>
      <c r="C65" s="58" t="s">
        <v>184</v>
      </c>
      <c r="D65" s="46" t="s">
        <v>2</v>
      </c>
      <c r="E65" s="74">
        <v>1</v>
      </c>
      <c r="F65" s="75">
        <v>3096.55</v>
      </c>
      <c r="G65" s="52">
        <f t="shared" si="4"/>
        <v>3096.55</v>
      </c>
    </row>
    <row r="66" spans="1:7" ht="41.75" customHeight="1">
      <c r="A66" s="46" t="s">
        <v>185</v>
      </c>
      <c r="B66" s="73"/>
      <c r="C66" s="48" t="s">
        <v>186</v>
      </c>
      <c r="D66" s="46" t="s">
        <v>2</v>
      </c>
      <c r="E66" s="74">
        <v>1</v>
      </c>
      <c r="F66" s="75">
        <v>4097.5</v>
      </c>
      <c r="G66" s="52">
        <f t="shared" si="4"/>
        <v>4097.5</v>
      </c>
    </row>
    <row r="67" spans="1:7" ht="39.5" customHeight="1">
      <c r="A67" s="46" t="s">
        <v>187</v>
      </c>
      <c r="B67" s="73"/>
      <c r="C67" s="58" t="s">
        <v>188</v>
      </c>
      <c r="D67" s="46" t="s">
        <v>2</v>
      </c>
      <c r="E67" s="74">
        <v>1</v>
      </c>
      <c r="F67" s="75">
        <f>(45580+2500)*1.3</f>
        <v>62504</v>
      </c>
      <c r="G67" s="52">
        <f t="shared" si="4"/>
        <v>62504</v>
      </c>
    </row>
    <row r="68" spans="1:7" ht="36" customHeight="1">
      <c r="A68" s="46" t="s">
        <v>189</v>
      </c>
      <c r="B68" s="73"/>
      <c r="C68" s="58" t="s">
        <v>190</v>
      </c>
      <c r="D68" s="46" t="s">
        <v>2</v>
      </c>
      <c r="E68" s="74">
        <v>1</v>
      </c>
      <c r="F68" s="75">
        <f>(50280+500)*1.3</f>
        <v>66014</v>
      </c>
      <c r="G68" s="52">
        <f>F68*E68</f>
        <v>66014</v>
      </c>
    </row>
    <row r="69" spans="1:7" ht="40.25" customHeight="1">
      <c r="A69" s="46" t="s">
        <v>191</v>
      </c>
      <c r="B69" s="73"/>
      <c r="C69" s="58" t="s">
        <v>192</v>
      </c>
      <c r="D69" s="46" t="s">
        <v>2</v>
      </c>
      <c r="E69" s="74">
        <v>1</v>
      </c>
      <c r="F69" s="75">
        <f>(20990+2500)*1.3</f>
        <v>30537</v>
      </c>
      <c r="G69" s="52">
        <f>F69*E69</f>
        <v>30537</v>
      </c>
    </row>
    <row r="70" spans="1:7" ht="20" customHeight="1">
      <c r="A70" s="49"/>
      <c r="B70" s="65"/>
      <c r="C70" s="54"/>
      <c r="D70" s="55"/>
      <c r="E70" s="50"/>
      <c r="F70" s="56"/>
      <c r="G70" s="52"/>
    </row>
    <row r="71" spans="1:7" ht="30" customHeight="1">
      <c r="A71" s="543" t="s">
        <v>26</v>
      </c>
      <c r="B71" s="544"/>
      <c r="C71" s="544"/>
      <c r="D71" s="544"/>
      <c r="E71" s="544"/>
      <c r="F71" s="545"/>
      <c r="G71" s="66">
        <f>SUM(G35:G70)</f>
        <v>3344189.2000000011</v>
      </c>
    </row>
    <row r="72" spans="1:7" ht="32" customHeight="1">
      <c r="A72" s="543" t="s">
        <v>33</v>
      </c>
      <c r="B72" s="544"/>
      <c r="C72" s="544"/>
      <c r="D72" s="544"/>
      <c r="E72" s="544"/>
      <c r="F72" s="545"/>
      <c r="G72" s="66">
        <f>G71</f>
        <v>3344189.2000000011</v>
      </c>
    </row>
    <row r="73" spans="1:7" ht="27.5" customHeight="1">
      <c r="A73" s="49"/>
      <c r="B73" s="65"/>
      <c r="C73" s="54"/>
      <c r="D73" s="55"/>
      <c r="E73" s="50"/>
      <c r="F73" s="56"/>
      <c r="G73" s="52"/>
    </row>
    <row r="74" spans="1:7" ht="30.5" customHeight="1">
      <c r="A74" s="46" t="s">
        <v>193</v>
      </c>
      <c r="B74" s="65"/>
      <c r="C74" s="48" t="s">
        <v>194</v>
      </c>
      <c r="D74" s="49" t="s">
        <v>2</v>
      </c>
      <c r="E74" s="74">
        <v>1</v>
      </c>
      <c r="F74" s="75">
        <f>113418.54*1.3</f>
        <v>147444.10199999998</v>
      </c>
      <c r="G74" s="52">
        <f>F74*E74</f>
        <v>147444.10199999998</v>
      </c>
    </row>
    <row r="75" spans="1:7" ht="33" customHeight="1">
      <c r="A75" s="46" t="s">
        <v>195</v>
      </c>
      <c r="B75" s="73"/>
      <c r="C75" s="48" t="s">
        <v>196</v>
      </c>
      <c r="D75" s="49" t="s">
        <v>2</v>
      </c>
      <c r="E75" s="74">
        <v>1</v>
      </c>
      <c r="F75" s="56">
        <v>52910.76</v>
      </c>
      <c r="G75" s="52">
        <f t="shared" ref="G75:G80" si="5">F75*E75</f>
        <v>52910.76</v>
      </c>
    </row>
    <row r="76" spans="1:7" ht="36.5" customHeight="1">
      <c r="A76" s="46" t="s">
        <v>197</v>
      </c>
      <c r="B76" s="73"/>
      <c r="C76" s="48" t="s">
        <v>234</v>
      </c>
      <c r="D76" s="49" t="s">
        <v>2</v>
      </c>
      <c r="E76" s="74">
        <v>3</v>
      </c>
      <c r="F76" s="56">
        <v>3520</v>
      </c>
      <c r="G76" s="52">
        <f t="shared" si="5"/>
        <v>10560</v>
      </c>
    </row>
    <row r="77" spans="1:7" ht="38.75" customHeight="1">
      <c r="A77" s="46" t="s">
        <v>198</v>
      </c>
      <c r="B77" s="73"/>
      <c r="C77" s="48" t="s">
        <v>199</v>
      </c>
      <c r="D77" s="49" t="s">
        <v>2</v>
      </c>
      <c r="E77" s="74">
        <v>2</v>
      </c>
      <c r="F77" s="56">
        <v>1228.72</v>
      </c>
      <c r="G77" s="52">
        <f t="shared" si="5"/>
        <v>2457.44</v>
      </c>
    </row>
    <row r="78" spans="1:7" ht="62" customHeight="1">
      <c r="A78" s="46" t="s">
        <v>200</v>
      </c>
      <c r="B78" s="73"/>
      <c r="C78" s="89" t="s">
        <v>201</v>
      </c>
      <c r="D78" s="49" t="s">
        <v>2</v>
      </c>
      <c r="E78" s="74">
        <v>1</v>
      </c>
      <c r="F78" s="56">
        <v>78499.7</v>
      </c>
      <c r="G78" s="52">
        <f t="shared" si="5"/>
        <v>78499.7</v>
      </c>
    </row>
    <row r="79" spans="1:7" ht="42.5" customHeight="1">
      <c r="A79" s="46" t="s">
        <v>202</v>
      </c>
      <c r="B79" s="76"/>
      <c r="C79" s="77" t="s">
        <v>203</v>
      </c>
      <c r="D79" s="46" t="s">
        <v>3</v>
      </c>
      <c r="E79" s="59">
        <v>1</v>
      </c>
      <c r="F79" s="60">
        <v>25000</v>
      </c>
      <c r="G79" s="45">
        <f t="shared" si="5"/>
        <v>25000</v>
      </c>
    </row>
    <row r="80" spans="1:7" ht="31.25" customHeight="1">
      <c r="A80" s="46" t="s">
        <v>204</v>
      </c>
      <c r="B80" s="76"/>
      <c r="C80" s="77" t="s">
        <v>41</v>
      </c>
      <c r="D80" s="46" t="s">
        <v>3</v>
      </c>
      <c r="E80" s="59">
        <v>1</v>
      </c>
      <c r="F80" s="60">
        <v>8000</v>
      </c>
      <c r="G80" s="45">
        <f t="shared" si="5"/>
        <v>8000</v>
      </c>
    </row>
    <row r="81" spans="1:7" ht="31.25" customHeight="1">
      <c r="A81" s="46" t="s">
        <v>205</v>
      </c>
      <c r="B81" s="76"/>
      <c r="C81" s="77" t="s">
        <v>28</v>
      </c>
      <c r="D81" s="44" t="s">
        <v>3</v>
      </c>
      <c r="E81" s="59">
        <v>2</v>
      </c>
      <c r="F81" s="60">
        <v>4500</v>
      </c>
      <c r="G81" s="45">
        <f>F81*E81</f>
        <v>9000</v>
      </c>
    </row>
    <row r="82" spans="1:7" ht="27" customHeight="1">
      <c r="A82" s="46" t="s">
        <v>206</v>
      </c>
      <c r="B82" s="76"/>
      <c r="C82" s="58" t="s">
        <v>25</v>
      </c>
      <c r="D82" s="46" t="s">
        <v>3</v>
      </c>
      <c r="E82" s="44">
        <v>1</v>
      </c>
      <c r="F82" s="78">
        <v>10000</v>
      </c>
      <c r="G82" s="45">
        <f>F82*E82</f>
        <v>10000</v>
      </c>
    </row>
    <row r="83" spans="1:7" ht="23" customHeight="1">
      <c r="A83" s="46"/>
      <c r="B83" s="47"/>
      <c r="C83" s="54"/>
      <c r="D83" s="55"/>
      <c r="E83" s="50"/>
      <c r="F83" s="57"/>
      <c r="G83" s="52"/>
    </row>
    <row r="84" spans="1:7" ht="21" customHeight="1">
      <c r="A84" s="79">
        <v>2.4</v>
      </c>
      <c r="B84" s="69"/>
      <c r="C84" s="68" t="s">
        <v>207</v>
      </c>
      <c r="D84" s="49"/>
      <c r="E84" s="55"/>
      <c r="F84" s="52"/>
      <c r="G84" s="52"/>
    </row>
    <row r="85" spans="1:7" ht="40.25" customHeight="1">
      <c r="A85" s="49" t="s">
        <v>38</v>
      </c>
      <c r="B85" s="49"/>
      <c r="C85" s="54" t="s">
        <v>208</v>
      </c>
      <c r="D85" s="55" t="s">
        <v>209</v>
      </c>
      <c r="E85" s="55">
        <v>1</v>
      </c>
      <c r="F85" s="52">
        <v>15000</v>
      </c>
      <c r="G85" s="52">
        <f>F85*E85</f>
        <v>15000</v>
      </c>
    </row>
    <row r="86" spans="1:7" ht="33" customHeight="1">
      <c r="A86" s="49" t="s">
        <v>55</v>
      </c>
      <c r="B86" s="49"/>
      <c r="C86" s="48" t="s">
        <v>24</v>
      </c>
      <c r="D86" s="49" t="s">
        <v>209</v>
      </c>
      <c r="E86" s="55">
        <v>1</v>
      </c>
      <c r="F86" s="61">
        <v>10000</v>
      </c>
      <c r="G86" s="52">
        <f>F86*E86</f>
        <v>10000</v>
      </c>
    </row>
    <row r="87" spans="1:7" ht="29" customHeight="1">
      <c r="A87" s="49" t="s">
        <v>210</v>
      </c>
      <c r="B87" s="49"/>
      <c r="C87" s="48" t="s">
        <v>211</v>
      </c>
      <c r="D87" s="49" t="s">
        <v>209</v>
      </c>
      <c r="E87" s="55">
        <v>1</v>
      </c>
      <c r="F87" s="61">
        <v>10000</v>
      </c>
      <c r="G87" s="52">
        <f>F87*E87</f>
        <v>10000</v>
      </c>
    </row>
    <row r="88" spans="1:7" ht="39.5" customHeight="1">
      <c r="A88" s="49" t="s">
        <v>212</v>
      </c>
      <c r="B88" s="80"/>
      <c r="C88" s="81" t="s">
        <v>213</v>
      </c>
      <c r="D88" s="82" t="s">
        <v>214</v>
      </c>
      <c r="E88" s="83">
        <v>2</v>
      </c>
      <c r="F88" s="61">
        <v>5000</v>
      </c>
      <c r="G88" s="84">
        <f>F88*E88</f>
        <v>10000</v>
      </c>
    </row>
    <row r="89" spans="1:7" ht="19.25" customHeight="1">
      <c r="A89" s="46"/>
      <c r="B89" s="73"/>
      <c r="C89" s="58"/>
      <c r="D89" s="46"/>
      <c r="E89" s="74"/>
      <c r="F89" s="75"/>
      <c r="G89" s="52"/>
    </row>
    <row r="90" spans="1:7" ht="35.75" customHeight="1">
      <c r="A90" s="79">
        <v>2.5</v>
      </c>
      <c r="B90" s="49"/>
      <c r="C90" s="68" t="s">
        <v>215</v>
      </c>
      <c r="D90" s="49"/>
      <c r="E90" s="55"/>
      <c r="F90" s="61"/>
      <c r="G90" s="52"/>
    </row>
    <row r="91" spans="1:7" ht="84" customHeight="1">
      <c r="A91" s="49" t="s">
        <v>216</v>
      </c>
      <c r="B91" s="49"/>
      <c r="C91" s="48" t="s">
        <v>217</v>
      </c>
      <c r="D91" s="49" t="s">
        <v>2</v>
      </c>
      <c r="E91" s="55">
        <v>1</v>
      </c>
      <c r="F91" s="61">
        <v>46015</v>
      </c>
      <c r="G91" s="52">
        <f>F91*E91</f>
        <v>46015</v>
      </c>
    </row>
    <row r="92" spans="1:7" ht="26.75" customHeight="1">
      <c r="A92" s="49" t="s">
        <v>218</v>
      </c>
      <c r="B92" s="49"/>
      <c r="C92" s="48" t="s">
        <v>219</v>
      </c>
      <c r="D92" s="49" t="s">
        <v>2</v>
      </c>
      <c r="E92" s="55">
        <v>1</v>
      </c>
      <c r="F92" s="61">
        <v>750</v>
      </c>
      <c r="G92" s="52">
        <f>F92*E92</f>
        <v>750</v>
      </c>
    </row>
    <row r="93" spans="1:7" ht="27.5" customHeight="1">
      <c r="A93" s="49" t="s">
        <v>220</v>
      </c>
      <c r="B93" s="49"/>
      <c r="C93" s="48" t="s">
        <v>221</v>
      </c>
      <c r="D93" s="49" t="s">
        <v>2</v>
      </c>
      <c r="E93" s="55">
        <v>1</v>
      </c>
      <c r="F93" s="61">
        <v>1828.75</v>
      </c>
      <c r="G93" s="52">
        <f>F93*E93</f>
        <v>1828.75</v>
      </c>
    </row>
    <row r="94" spans="1:7" ht="41" customHeight="1">
      <c r="A94" s="49" t="s">
        <v>222</v>
      </c>
      <c r="B94" s="49"/>
      <c r="C94" s="48" t="s">
        <v>223</v>
      </c>
      <c r="D94" s="49" t="s">
        <v>31</v>
      </c>
      <c r="E94" s="55">
        <v>20</v>
      </c>
      <c r="F94" s="61">
        <v>1650</v>
      </c>
      <c r="G94" s="52">
        <f>F94*E94</f>
        <v>33000</v>
      </c>
    </row>
    <row r="95" spans="1:7" ht="21" customHeight="1">
      <c r="A95" s="46"/>
      <c r="B95" s="73"/>
      <c r="C95" s="48"/>
      <c r="D95" s="49"/>
      <c r="E95" s="74"/>
      <c r="F95" s="56"/>
      <c r="G95" s="52"/>
    </row>
    <row r="96" spans="1:7" ht="40.25" customHeight="1">
      <c r="A96" s="98">
        <v>2.6</v>
      </c>
      <c r="B96" s="86"/>
      <c r="C96" s="85" t="s">
        <v>224</v>
      </c>
      <c r="D96" s="90"/>
      <c r="E96" s="91"/>
      <c r="F96" s="95"/>
      <c r="G96" s="95"/>
    </row>
    <row r="97" spans="1:7" ht="48" customHeight="1">
      <c r="A97" s="90" t="s">
        <v>43</v>
      </c>
      <c r="B97" s="86"/>
      <c r="C97" s="89" t="s">
        <v>225</v>
      </c>
      <c r="D97" s="90" t="s">
        <v>3</v>
      </c>
      <c r="E97" s="91">
        <v>1</v>
      </c>
      <c r="F97" s="95">
        <v>25000</v>
      </c>
      <c r="G97" s="95">
        <f>F97*E97</f>
        <v>25000</v>
      </c>
    </row>
    <row r="98" spans="1:7" ht="39" customHeight="1">
      <c r="A98" s="90" t="s">
        <v>29</v>
      </c>
      <c r="B98" s="86"/>
      <c r="C98" s="89" t="s">
        <v>226</v>
      </c>
      <c r="D98" s="90" t="s">
        <v>3</v>
      </c>
      <c r="E98" s="91">
        <v>1</v>
      </c>
      <c r="F98" s="95">
        <v>5000</v>
      </c>
      <c r="G98" s="95">
        <f>F98*E98</f>
        <v>5000</v>
      </c>
    </row>
    <row r="99" spans="1:7" ht="37.25" customHeight="1">
      <c r="A99" s="90" t="s">
        <v>70</v>
      </c>
      <c r="B99" s="86"/>
      <c r="C99" s="85" t="s">
        <v>227</v>
      </c>
      <c r="D99" s="86" t="s">
        <v>3</v>
      </c>
      <c r="E99" s="87">
        <v>1</v>
      </c>
      <c r="F99" s="88">
        <v>30000</v>
      </c>
      <c r="G99" s="88">
        <f>F99*E99</f>
        <v>30000</v>
      </c>
    </row>
    <row r="100" spans="1:7" ht="32.25" customHeight="1">
      <c r="A100" s="90" t="s">
        <v>29</v>
      </c>
      <c r="B100" s="86"/>
      <c r="C100" s="85" t="s">
        <v>228</v>
      </c>
      <c r="D100" s="86" t="s">
        <v>3</v>
      </c>
      <c r="E100" s="87">
        <v>1</v>
      </c>
      <c r="F100" s="88">
        <v>90000</v>
      </c>
      <c r="G100" s="88">
        <f>F100*E100</f>
        <v>90000</v>
      </c>
    </row>
    <row r="101" spans="1:7" ht="35" customHeight="1">
      <c r="A101" s="90" t="s">
        <v>70</v>
      </c>
      <c r="B101" s="86"/>
      <c r="C101" s="85" t="s">
        <v>229</v>
      </c>
      <c r="D101" s="86" t="s">
        <v>3</v>
      </c>
      <c r="E101" s="87">
        <v>1</v>
      </c>
      <c r="F101" s="88">
        <v>85000</v>
      </c>
      <c r="G101" s="88">
        <f>F101*E101</f>
        <v>85000</v>
      </c>
    </row>
    <row r="102" spans="1:7" ht="32.75" customHeight="1">
      <c r="A102" s="49"/>
      <c r="B102" s="69"/>
      <c r="C102" s="85"/>
      <c r="D102" s="86"/>
      <c r="E102" s="87"/>
      <c r="F102" s="88"/>
      <c r="G102" s="88"/>
    </row>
    <row r="103" spans="1:7" ht="32.75" customHeight="1">
      <c r="A103" s="49"/>
      <c r="B103" s="69"/>
      <c r="C103" s="89"/>
      <c r="D103" s="90"/>
      <c r="E103" s="91"/>
      <c r="F103" s="92"/>
      <c r="G103" s="92"/>
    </row>
    <row r="104" spans="1:7" ht="32.75" customHeight="1">
      <c r="A104" s="49"/>
      <c r="B104" s="69"/>
      <c r="C104" s="89"/>
      <c r="D104" s="90"/>
      <c r="E104" s="91"/>
      <c r="F104" s="92"/>
      <c r="G104" s="92"/>
    </row>
    <row r="105" spans="1:7" ht="33.5" customHeight="1">
      <c r="A105" s="49"/>
      <c r="B105" s="69"/>
      <c r="C105" s="89"/>
      <c r="D105" s="86"/>
      <c r="E105" s="87"/>
      <c r="F105" s="88"/>
      <c r="G105" s="88"/>
    </row>
    <row r="106" spans="1:7" ht="35.75" customHeight="1">
      <c r="A106" s="49"/>
      <c r="B106" s="49"/>
      <c r="C106" s="54"/>
      <c r="D106" s="55"/>
      <c r="E106" s="55"/>
      <c r="F106" s="52"/>
      <c r="G106" s="52"/>
    </row>
    <row r="107" spans="1:7" ht="30" customHeight="1">
      <c r="A107" s="543" t="s">
        <v>230</v>
      </c>
      <c r="B107" s="544"/>
      <c r="C107" s="544"/>
      <c r="D107" s="544"/>
      <c r="E107" s="544"/>
      <c r="F107" s="545"/>
      <c r="G107" s="66">
        <f>SUM(G72:G106)</f>
        <v>4049654.952000001</v>
      </c>
    </row>
    <row r="108" spans="1:7" ht="20.25" customHeight="1"/>
  </sheetData>
  <mergeCells count="5">
    <mergeCell ref="A34:F34"/>
    <mergeCell ref="A35:F35"/>
    <mergeCell ref="A71:F71"/>
    <mergeCell ref="A72:F72"/>
    <mergeCell ref="A107:F107"/>
  </mergeCells>
  <phoneticPr fontId="39" type="noConversion"/>
  <pageMargins left="0.7" right="0.7" top="0.75" bottom="0.75" header="0.3" footer="0.3"/>
  <pageSetup scale="61" orientation="portrait" r:id="rId1"/>
  <headerFooter>
    <oddHeader xml:space="preserve">&amp;C&amp;"Arial,Bold"POLITSI HLPS  MECHANICAL WORKS&amp;"-,Bold"
 </oddHeader>
    <oddFooter>&amp;RPage &amp;P</oddFooter>
  </headerFooter>
  <rowBreaks count="2" manualBreakCount="2">
    <brk id="34" max="6" man="1"/>
    <brk id="7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N72"/>
  <sheetViews>
    <sheetView view="pageBreakPreview" topLeftCell="A31" zoomScale="125" zoomScaleNormal="125" zoomScaleSheetLayoutView="100" zoomScalePageLayoutView="125" workbookViewId="0">
      <selection activeCell="C36" sqref="C36"/>
    </sheetView>
  </sheetViews>
  <sheetFormatPr baseColWidth="10" defaultColWidth="9.1640625" defaultRowHeight="13"/>
  <cols>
    <col min="1" max="1" width="8.1640625" style="21" customWidth="1"/>
    <col min="2" max="2" width="10.6640625" style="21" customWidth="1"/>
    <col min="3" max="3" width="56.6640625" style="21" customWidth="1"/>
    <col min="4" max="4" width="11.33203125" style="21" customWidth="1"/>
    <col min="5" max="6" width="11.5" style="21" customWidth="1"/>
    <col min="7" max="7" width="15.33203125" style="21" customWidth="1"/>
    <col min="8" max="11" width="9.1640625" style="21"/>
    <col min="12" max="12" width="15.6640625" style="21" bestFit="1" customWidth="1"/>
    <col min="13" max="16384" width="9.1640625" style="21"/>
  </cols>
  <sheetData>
    <row r="1" spans="1:14">
      <c r="A1" s="15"/>
      <c r="B1" s="15"/>
      <c r="C1" s="15"/>
      <c r="D1" s="15"/>
      <c r="E1" s="15"/>
      <c r="F1" s="20"/>
      <c r="G1" s="20"/>
    </row>
    <row r="2" spans="1:14" ht="26.25" customHeight="1">
      <c r="A2" s="1" t="s">
        <v>0</v>
      </c>
      <c r="B2" s="1" t="s">
        <v>9</v>
      </c>
      <c r="C2" s="2" t="s">
        <v>1</v>
      </c>
      <c r="D2" s="2" t="s">
        <v>10</v>
      </c>
      <c r="E2" s="2" t="s">
        <v>11</v>
      </c>
      <c r="F2" s="2" t="s">
        <v>12</v>
      </c>
      <c r="G2" s="2" t="s">
        <v>13</v>
      </c>
    </row>
    <row r="3" spans="1:14" ht="30" customHeight="1">
      <c r="A3" s="3"/>
      <c r="B3" s="3"/>
      <c r="C3" s="4"/>
      <c r="D3" s="5"/>
      <c r="E3" s="5"/>
      <c r="F3" s="5"/>
      <c r="G3" s="5"/>
    </row>
    <row r="4" spans="1:14" ht="30" customHeight="1">
      <c r="A4" s="3">
        <v>5</v>
      </c>
      <c r="B4" s="3"/>
      <c r="C4" s="4" t="s">
        <v>75</v>
      </c>
      <c r="D4" s="3"/>
      <c r="E4" s="3"/>
      <c r="F4" s="3"/>
      <c r="G4" s="3"/>
    </row>
    <row r="5" spans="1:14" ht="30" customHeight="1">
      <c r="A5" s="6">
        <v>5</v>
      </c>
      <c r="B5" s="6"/>
      <c r="C5" s="4" t="s">
        <v>74</v>
      </c>
      <c r="D5" s="7"/>
      <c r="E5" s="7"/>
      <c r="F5" s="8"/>
      <c r="G5" s="8"/>
    </row>
    <row r="6" spans="1:14" ht="54.75" customHeight="1">
      <c r="A6" s="9"/>
      <c r="B6" s="10"/>
      <c r="C6" s="11" t="s">
        <v>14</v>
      </c>
      <c r="D6" s="7"/>
      <c r="E6" s="7"/>
      <c r="F6" s="12"/>
      <c r="G6" s="8"/>
    </row>
    <row r="7" spans="1:14" ht="51" hidden="1" customHeight="1">
      <c r="A7" s="9"/>
      <c r="B7" s="13"/>
      <c r="C7" s="30" t="s">
        <v>84</v>
      </c>
      <c r="D7" s="31"/>
      <c r="E7" s="31"/>
      <c r="F7" s="32">
        <f>250/300</f>
        <v>0.83333333333333337</v>
      </c>
      <c r="G7" s="8"/>
      <c r="K7" s="21">
        <f>174*3.6</f>
        <v>626.4</v>
      </c>
    </row>
    <row r="8" spans="1:14" ht="51" customHeight="1">
      <c r="A8" s="9"/>
      <c r="B8" s="13"/>
      <c r="C8" s="30" t="s">
        <v>85</v>
      </c>
      <c r="D8" s="31"/>
      <c r="E8" s="34"/>
      <c r="F8" s="32">
        <f>(249*208)/(313*200)</f>
        <v>0.82734824281150154</v>
      </c>
      <c r="G8" s="8"/>
    </row>
    <row r="9" spans="1:14" ht="40.25" customHeight="1">
      <c r="A9" s="29">
        <v>5.0999999999999996</v>
      </c>
      <c r="B9" s="13"/>
      <c r="C9" s="19" t="s">
        <v>76</v>
      </c>
      <c r="D9" s="7" t="s">
        <v>2</v>
      </c>
      <c r="E9" s="14">
        <v>2</v>
      </c>
      <c r="F9" s="12" t="e">
        <f>Clarifiers!#REF!*'Panorama Booster'!F8</f>
        <v>#REF!</v>
      </c>
      <c r="G9" s="8" t="e">
        <f t="shared" ref="G9:G19" si="0">E9*F9</f>
        <v>#REF!</v>
      </c>
    </row>
    <row r="10" spans="1:14" ht="30" customHeight="1">
      <c r="A10" s="29">
        <v>5.2</v>
      </c>
      <c r="B10" s="13"/>
      <c r="C10" s="11" t="s">
        <v>88</v>
      </c>
      <c r="D10" s="7" t="s">
        <v>2</v>
      </c>
      <c r="E10" s="14">
        <v>2</v>
      </c>
      <c r="F10" s="26">
        <f>(315/132)*73665*1.3*F8</f>
        <v>189073.00076967757</v>
      </c>
      <c r="G10" s="8">
        <f t="shared" si="0"/>
        <v>378146.00153935514</v>
      </c>
    </row>
    <row r="11" spans="1:14" ht="28.25" customHeight="1">
      <c r="A11" s="29">
        <v>5.3</v>
      </c>
      <c r="B11" s="13"/>
      <c r="C11" s="11" t="s">
        <v>16</v>
      </c>
      <c r="D11" s="9" t="s">
        <v>2</v>
      </c>
      <c r="E11" s="14">
        <f>E9</f>
        <v>2</v>
      </c>
      <c r="F11" s="12">
        <v>38000</v>
      </c>
      <c r="G11" s="8">
        <f t="shared" si="0"/>
        <v>76000</v>
      </c>
      <c r="L11" s="21">
        <f>200/5</f>
        <v>40</v>
      </c>
    </row>
    <row r="12" spans="1:14" ht="28.25" customHeight="1">
      <c r="A12" s="29">
        <v>5.4</v>
      </c>
      <c r="B12" s="13"/>
      <c r="C12" s="11" t="s">
        <v>64</v>
      </c>
      <c r="D12" s="9" t="s">
        <v>2</v>
      </c>
      <c r="E12" s="14">
        <v>1</v>
      </c>
      <c r="F12" s="12">
        <v>4000</v>
      </c>
      <c r="G12" s="8">
        <f t="shared" si="0"/>
        <v>4000</v>
      </c>
    </row>
    <row r="13" spans="1:14" ht="28.25" customHeight="1">
      <c r="A13" s="29">
        <v>5.5</v>
      </c>
      <c r="B13" s="13"/>
      <c r="C13" s="11" t="s">
        <v>77</v>
      </c>
      <c r="D13" s="9" t="s">
        <v>31</v>
      </c>
      <c r="E13" s="25">
        <f>4*3</f>
        <v>12</v>
      </c>
      <c r="F13" s="12">
        <f>7800*PI()*0.3*0.00635*(25*3)</f>
        <v>3501.0693929768054</v>
      </c>
      <c r="G13" s="8">
        <f t="shared" si="0"/>
        <v>42012.832715721663</v>
      </c>
    </row>
    <row r="14" spans="1:14" ht="28.25" customHeight="1">
      <c r="A14" s="29">
        <v>5.6</v>
      </c>
      <c r="B14" s="13"/>
      <c r="C14" s="11" t="s">
        <v>78</v>
      </c>
      <c r="D14" s="9" t="s">
        <v>60</v>
      </c>
      <c r="E14" s="14">
        <f>8*3</f>
        <v>24</v>
      </c>
      <c r="F14" s="12">
        <f>7800*PI()*0.25*0.01031*(25*3)</f>
        <v>4737.0112128071996</v>
      </c>
      <c r="G14" s="8">
        <f t="shared" si="0"/>
        <v>113688.26910737279</v>
      </c>
      <c r="J14" s="21">
        <f>(4*249/3600/PI()/1.5)^0.5*1000</f>
        <v>242.30247650064086</v>
      </c>
      <c r="L14" s="21">
        <f>174*3.6</f>
        <v>626.4</v>
      </c>
      <c r="N14" s="21">
        <v>192</v>
      </c>
    </row>
    <row r="15" spans="1:14" ht="28.25" customHeight="1">
      <c r="A15" s="29">
        <v>5.7</v>
      </c>
      <c r="B15" s="13"/>
      <c r="C15" s="11" t="s">
        <v>79</v>
      </c>
      <c r="D15" s="9" t="s">
        <v>2</v>
      </c>
      <c r="E15" s="14">
        <v>2</v>
      </c>
      <c r="F15" s="12">
        <f>25312*1.3*F7</f>
        <v>27421.333333333332</v>
      </c>
      <c r="G15" s="8">
        <f t="shared" si="0"/>
        <v>54842.666666666664</v>
      </c>
      <c r="L15" s="21">
        <f>L14/2</f>
        <v>313.2</v>
      </c>
      <c r="N15" s="21">
        <f>N14/41</f>
        <v>4.6829268292682924</v>
      </c>
    </row>
    <row r="16" spans="1:14" ht="28.25" customHeight="1">
      <c r="A16" s="29">
        <v>5.8</v>
      </c>
      <c r="B16" s="13"/>
      <c r="C16" s="11" t="s">
        <v>80</v>
      </c>
      <c r="D16" s="9" t="s">
        <v>2</v>
      </c>
      <c r="E16" s="14">
        <v>2</v>
      </c>
      <c r="F16" s="12">
        <f>53905*1.3*F7</f>
        <v>58397.083333333336</v>
      </c>
      <c r="G16" s="8">
        <f t="shared" si="0"/>
        <v>116794.16666666667</v>
      </c>
      <c r="L16" s="24">
        <f>PI()</f>
        <v>3.1415926535897931</v>
      </c>
    </row>
    <row r="17" spans="1:14" ht="28.25" customHeight="1">
      <c r="A17" s="29">
        <v>5.9</v>
      </c>
      <c r="B17" s="13"/>
      <c r="C17" s="11" t="s">
        <v>81</v>
      </c>
      <c r="D17" s="9" t="s">
        <v>2</v>
      </c>
      <c r="E17" s="14">
        <v>2</v>
      </c>
      <c r="F17" s="23">
        <f>45000*1.3*F7</f>
        <v>48750</v>
      </c>
      <c r="G17" s="8">
        <f t="shared" si="0"/>
        <v>97500</v>
      </c>
      <c r="N17" s="21">
        <f>N14/5</f>
        <v>38.4</v>
      </c>
    </row>
    <row r="18" spans="1:14" ht="40.25" customHeight="1">
      <c r="A18" s="28">
        <v>5.0999999999999996</v>
      </c>
      <c r="B18" s="13"/>
      <c r="C18" s="11" t="s">
        <v>82</v>
      </c>
      <c r="D18" s="9" t="s">
        <v>2</v>
      </c>
      <c r="E18" s="14">
        <v>2</v>
      </c>
      <c r="F18" s="12">
        <f>103726*1.3*F7</f>
        <v>112369.83333333336</v>
      </c>
      <c r="G18" s="8">
        <f t="shared" si="0"/>
        <v>224739.66666666672</v>
      </c>
      <c r="L18" s="21">
        <f>(4*0.174/PI()/1)^0.5</f>
        <v>0.47068426868115987</v>
      </c>
      <c r="N18" s="21">
        <f>200/6</f>
        <v>33.333333333333336</v>
      </c>
    </row>
    <row r="19" spans="1:14" ht="58.25" customHeight="1">
      <c r="A19" s="28">
        <v>5.1100000000000003</v>
      </c>
      <c r="B19" s="13"/>
      <c r="C19" s="11" t="s">
        <v>83</v>
      </c>
      <c r="D19" s="9" t="s">
        <v>2</v>
      </c>
      <c r="E19" s="14">
        <v>1</v>
      </c>
      <c r="F19" s="12">
        <f>50000*F7</f>
        <v>41666.666666666672</v>
      </c>
      <c r="G19" s="8">
        <f t="shared" si="0"/>
        <v>41666.666666666672</v>
      </c>
    </row>
    <row r="20" spans="1:14" ht="45" customHeight="1">
      <c r="A20" s="28">
        <v>5.12</v>
      </c>
      <c r="B20" s="15"/>
      <c r="C20" s="16" t="s">
        <v>65</v>
      </c>
      <c r="D20" s="9" t="s">
        <v>2</v>
      </c>
      <c r="E20" s="14">
        <v>3</v>
      </c>
      <c r="F20" s="12">
        <f>2250*1.3</f>
        <v>2925</v>
      </c>
      <c r="G20" s="8">
        <f t="shared" ref="G20:G25" si="1">E20*F20</f>
        <v>8775</v>
      </c>
    </row>
    <row r="21" spans="1:14" ht="33" customHeight="1">
      <c r="A21" s="28">
        <v>5.13</v>
      </c>
      <c r="B21" s="15"/>
      <c r="C21" s="16" t="s">
        <v>32</v>
      </c>
      <c r="D21" s="7" t="s">
        <v>3</v>
      </c>
      <c r="E21" s="14">
        <v>2</v>
      </c>
      <c r="F21" s="12">
        <v>2000</v>
      </c>
      <c r="G21" s="8">
        <f t="shared" si="1"/>
        <v>4000</v>
      </c>
    </row>
    <row r="22" spans="1:14" ht="33.75" customHeight="1">
      <c r="A22" s="28">
        <v>5.14</v>
      </c>
      <c r="B22" s="15"/>
      <c r="C22" s="16" t="s">
        <v>23</v>
      </c>
      <c r="D22" s="7" t="s">
        <v>3</v>
      </c>
      <c r="E22" s="14">
        <v>2</v>
      </c>
      <c r="F22" s="12">
        <v>20000</v>
      </c>
      <c r="G22" s="8">
        <f t="shared" si="1"/>
        <v>40000</v>
      </c>
    </row>
    <row r="23" spans="1:14" ht="28.5" customHeight="1">
      <c r="A23" s="28">
        <v>5.15</v>
      </c>
      <c r="B23" s="15"/>
      <c r="C23" s="11" t="s">
        <v>24</v>
      </c>
      <c r="D23" s="9" t="s">
        <v>3</v>
      </c>
      <c r="E23" s="14">
        <v>2</v>
      </c>
      <c r="F23" s="12">
        <v>20000</v>
      </c>
      <c r="G23" s="8">
        <f t="shared" si="1"/>
        <v>40000</v>
      </c>
    </row>
    <row r="24" spans="1:14" ht="28.5" customHeight="1">
      <c r="A24" s="28">
        <v>5.16</v>
      </c>
      <c r="B24" s="15"/>
      <c r="C24" s="11" t="s">
        <v>25</v>
      </c>
      <c r="D24" s="9" t="s">
        <v>3</v>
      </c>
      <c r="E24" s="7">
        <v>1</v>
      </c>
      <c r="F24" s="12">
        <v>25000</v>
      </c>
      <c r="G24" s="8">
        <f t="shared" si="1"/>
        <v>25000</v>
      </c>
    </row>
    <row r="25" spans="1:14" ht="28.5" customHeight="1">
      <c r="A25" s="28">
        <v>5.17</v>
      </c>
      <c r="B25" s="15"/>
      <c r="C25" s="16" t="s">
        <v>62</v>
      </c>
      <c r="D25" s="7" t="s">
        <v>3</v>
      </c>
      <c r="E25" s="14">
        <v>1</v>
      </c>
      <c r="F25" s="12">
        <v>40000</v>
      </c>
      <c r="G25" s="8">
        <f t="shared" si="1"/>
        <v>40000</v>
      </c>
    </row>
    <row r="26" spans="1:14" ht="28.5" customHeight="1">
      <c r="A26" s="532" t="s">
        <v>26</v>
      </c>
      <c r="B26" s="533"/>
      <c r="C26" s="533"/>
      <c r="D26" s="533"/>
      <c r="E26" s="533"/>
      <c r="F26" s="534"/>
      <c r="G26" s="17" t="e">
        <f>SUM(G5:G25)</f>
        <v>#REF!</v>
      </c>
    </row>
    <row r="27" spans="1:14" ht="28.5" customHeight="1">
      <c r="A27" s="532" t="s">
        <v>33</v>
      </c>
      <c r="B27" s="533"/>
      <c r="C27" s="533"/>
      <c r="D27" s="533"/>
      <c r="E27" s="533"/>
      <c r="F27" s="534"/>
      <c r="G27" s="17" t="e">
        <f>G26</f>
        <v>#REF!</v>
      </c>
    </row>
    <row r="28" spans="1:14" ht="30" customHeight="1">
      <c r="A28" s="6">
        <v>2.2000000000000002</v>
      </c>
      <c r="B28" s="10"/>
      <c r="C28" s="4" t="s">
        <v>34</v>
      </c>
      <c r="D28" s="9"/>
      <c r="E28" s="14"/>
      <c r="F28" s="12"/>
      <c r="G28" s="8"/>
    </row>
    <row r="29" spans="1:14" ht="30" customHeight="1">
      <c r="A29" s="9" t="s">
        <v>6</v>
      </c>
      <c r="B29" s="10"/>
      <c r="C29" s="11" t="s">
        <v>35</v>
      </c>
      <c r="D29" s="9" t="s">
        <v>2</v>
      </c>
      <c r="E29" s="14">
        <v>2</v>
      </c>
      <c r="F29" s="12">
        <v>2300</v>
      </c>
      <c r="G29" s="8">
        <f>E29*F29</f>
        <v>4600</v>
      </c>
    </row>
    <row r="30" spans="1:14" ht="30" customHeight="1">
      <c r="A30" s="9" t="s">
        <v>7</v>
      </c>
      <c r="B30" s="10"/>
      <c r="C30" s="11" t="s">
        <v>36</v>
      </c>
      <c r="D30" s="9" t="s">
        <v>2</v>
      </c>
      <c r="E30" s="14">
        <v>2</v>
      </c>
      <c r="F30" s="12">
        <v>2400</v>
      </c>
      <c r="G30" s="8">
        <f>E30*F30</f>
        <v>4800</v>
      </c>
    </row>
    <row r="31" spans="1:14" ht="30" customHeight="1">
      <c r="A31" s="9"/>
      <c r="B31" s="10"/>
      <c r="C31" s="11" t="s">
        <v>27</v>
      </c>
      <c r="D31" s="9" t="s">
        <v>2</v>
      </c>
      <c r="E31" s="14">
        <v>2</v>
      </c>
      <c r="F31" s="12">
        <v>1000</v>
      </c>
      <c r="G31" s="8">
        <f>E31*F31</f>
        <v>2000</v>
      </c>
    </row>
    <row r="32" spans="1:14" ht="30" customHeight="1">
      <c r="A32" s="9"/>
      <c r="B32" s="10"/>
      <c r="C32" s="11"/>
      <c r="D32" s="9"/>
      <c r="E32" s="14"/>
      <c r="F32" s="12"/>
      <c r="G32" s="8"/>
    </row>
    <row r="33" spans="1:7" ht="30" customHeight="1">
      <c r="A33" s="6">
        <v>2.2999999999999998</v>
      </c>
      <c r="B33" s="10"/>
      <c r="C33" s="4" t="s">
        <v>66</v>
      </c>
      <c r="D33" s="9"/>
      <c r="E33" s="14"/>
      <c r="F33" s="12"/>
      <c r="G33" s="8"/>
    </row>
    <row r="34" spans="1:7" ht="30" customHeight="1">
      <c r="A34" s="9" t="s">
        <v>8</v>
      </c>
      <c r="B34" s="15"/>
      <c r="C34" s="11"/>
      <c r="D34" s="9"/>
      <c r="E34" s="14"/>
      <c r="F34" s="12">
        <v>120000</v>
      </c>
      <c r="G34" s="8">
        <f>E34*F34</f>
        <v>0</v>
      </c>
    </row>
    <row r="35" spans="1:7" ht="30" customHeight="1">
      <c r="A35" s="6"/>
      <c r="B35" s="10"/>
      <c r="C35" s="11" t="s">
        <v>86</v>
      </c>
      <c r="D35" s="9" t="s">
        <v>3</v>
      </c>
      <c r="E35" s="14">
        <v>2</v>
      </c>
      <c r="F35" s="12" t="e">
        <f>0.45*SUM(F9:F12)</f>
        <v>#REF!</v>
      </c>
      <c r="G35" s="8" t="e">
        <f>E35*F35</f>
        <v>#REF!</v>
      </c>
    </row>
    <row r="36" spans="1:7" ht="30" customHeight="1">
      <c r="A36" s="6"/>
      <c r="B36" s="10"/>
      <c r="C36" s="11" t="s">
        <v>87</v>
      </c>
      <c r="D36" s="9" t="s">
        <v>3</v>
      </c>
      <c r="E36" s="14">
        <v>2</v>
      </c>
      <c r="F36" s="27">
        <f>5500*(20/3)*10</f>
        <v>366666.66666666674</v>
      </c>
      <c r="G36" s="8">
        <f>E36*F36</f>
        <v>733333.33333333349</v>
      </c>
    </row>
    <row r="37" spans="1:7" ht="30" customHeight="1">
      <c r="A37" s="6"/>
      <c r="B37" s="10"/>
      <c r="C37" s="11" t="s">
        <v>71</v>
      </c>
      <c r="D37" s="9" t="s">
        <v>3</v>
      </c>
      <c r="E37" s="14">
        <v>1</v>
      </c>
      <c r="F37" s="12">
        <v>100000</v>
      </c>
      <c r="G37" s="8">
        <f>E37*F37</f>
        <v>100000</v>
      </c>
    </row>
    <row r="38" spans="1:7" ht="30" customHeight="1">
      <c r="A38" s="6"/>
      <c r="B38" s="10"/>
      <c r="C38" s="11"/>
      <c r="D38" s="9"/>
      <c r="E38" s="14"/>
      <c r="F38" s="12"/>
      <c r="G38" s="8"/>
    </row>
    <row r="39" spans="1:7" ht="30" customHeight="1">
      <c r="A39" s="9"/>
      <c r="B39" s="10"/>
      <c r="C39" s="11" t="s">
        <v>73</v>
      </c>
      <c r="D39" s="9"/>
      <c r="E39" s="14"/>
      <c r="F39" s="12"/>
      <c r="G39" s="8"/>
    </row>
    <row r="40" spans="1:7" ht="30" customHeight="1">
      <c r="A40" s="9"/>
      <c r="B40" s="10"/>
      <c r="C40" s="11" t="s">
        <v>72</v>
      </c>
      <c r="D40" s="9"/>
      <c r="E40" s="14"/>
      <c r="F40" s="12"/>
      <c r="G40" s="8"/>
    </row>
    <row r="41" spans="1:7" ht="30" customHeight="1">
      <c r="A41" s="6">
        <v>2.2999999999999998</v>
      </c>
      <c r="B41" s="15"/>
      <c r="C41" s="18" t="s">
        <v>37</v>
      </c>
      <c r="D41" s="7"/>
      <c r="E41" s="14"/>
      <c r="F41" s="12"/>
      <c r="G41" s="8"/>
    </row>
    <row r="42" spans="1:7" ht="30" customHeight="1">
      <c r="A42" s="9" t="s">
        <v>8</v>
      </c>
      <c r="B42" s="15"/>
      <c r="C42" s="16" t="s">
        <v>28</v>
      </c>
      <c r="D42" s="7" t="s">
        <v>3</v>
      </c>
      <c r="E42" s="14">
        <v>3</v>
      </c>
      <c r="F42" s="12">
        <v>3500</v>
      </c>
      <c r="G42" s="8">
        <f>E42*F42</f>
        <v>10500</v>
      </c>
    </row>
    <row r="43" spans="1:7" ht="28">
      <c r="A43" s="6">
        <v>2.4</v>
      </c>
      <c r="B43" s="10"/>
      <c r="C43" s="18" t="s">
        <v>39</v>
      </c>
      <c r="D43" s="7"/>
      <c r="E43" s="14"/>
      <c r="F43" s="12"/>
      <c r="G43" s="8"/>
    </row>
    <row r="44" spans="1:7" ht="30" customHeight="1">
      <c r="A44" s="9" t="s">
        <v>38</v>
      </c>
      <c r="B44" s="15"/>
      <c r="C44" s="16" t="s">
        <v>40</v>
      </c>
      <c r="D44" s="9" t="s">
        <v>3</v>
      </c>
      <c r="E44" s="14">
        <v>3</v>
      </c>
      <c r="F44" s="12">
        <v>7000</v>
      </c>
      <c r="G44" s="8">
        <f>E44*F44</f>
        <v>21000</v>
      </c>
    </row>
    <row r="45" spans="1:7" ht="30" customHeight="1">
      <c r="A45" s="9" t="s">
        <v>55</v>
      </c>
      <c r="B45" s="15"/>
      <c r="C45" s="16" t="s">
        <v>41</v>
      </c>
      <c r="D45" s="9" t="s">
        <v>3</v>
      </c>
      <c r="E45" s="14">
        <v>3</v>
      </c>
      <c r="F45" s="12">
        <v>12000</v>
      </c>
      <c r="G45" s="8">
        <f>E45*F45</f>
        <v>36000</v>
      </c>
    </row>
    <row r="46" spans="1:7" ht="30" customHeight="1">
      <c r="A46" s="6">
        <v>2.4</v>
      </c>
      <c r="B46" s="10"/>
      <c r="C46" s="18" t="s">
        <v>42</v>
      </c>
      <c r="D46" s="7"/>
      <c r="E46" s="14"/>
      <c r="F46" s="12"/>
      <c r="G46" s="8"/>
    </row>
    <row r="47" spans="1:7" ht="42" customHeight="1">
      <c r="A47" s="9" t="s">
        <v>38</v>
      </c>
      <c r="B47" s="15"/>
      <c r="C47" s="16" t="s">
        <v>44</v>
      </c>
      <c r="D47" s="9" t="s">
        <v>3</v>
      </c>
      <c r="E47" s="14">
        <v>1</v>
      </c>
      <c r="F47" s="12">
        <v>3400</v>
      </c>
      <c r="G47" s="8">
        <f>E47*F47</f>
        <v>3400</v>
      </c>
    </row>
    <row r="48" spans="1:7" ht="30" customHeight="1">
      <c r="A48" s="9" t="s">
        <v>55</v>
      </c>
      <c r="B48" s="15"/>
      <c r="C48" s="16" t="s">
        <v>41</v>
      </c>
      <c r="D48" s="9" t="s">
        <v>3</v>
      </c>
      <c r="E48" s="14">
        <v>1</v>
      </c>
      <c r="F48" s="12">
        <v>20000</v>
      </c>
      <c r="G48" s="8">
        <f>E48*F48</f>
        <v>20000</v>
      </c>
    </row>
    <row r="49" spans="1:7" ht="30" customHeight="1">
      <c r="A49" s="9"/>
      <c r="B49" s="15"/>
      <c r="C49" s="16"/>
      <c r="D49" s="9"/>
      <c r="E49" s="14"/>
      <c r="F49" s="12"/>
      <c r="G49" s="8"/>
    </row>
    <row r="50" spans="1:7" ht="30" customHeight="1">
      <c r="A50" s="9"/>
      <c r="B50" s="15"/>
      <c r="C50" s="16" t="s">
        <v>68</v>
      </c>
      <c r="D50" s="9" t="s">
        <v>67</v>
      </c>
      <c r="E50" s="14">
        <v>2</v>
      </c>
      <c r="F50" s="12">
        <v>18000</v>
      </c>
      <c r="G50" s="8">
        <f>E50*F50</f>
        <v>36000</v>
      </c>
    </row>
    <row r="51" spans="1:7" ht="30" customHeight="1">
      <c r="A51" s="9"/>
      <c r="B51" s="15"/>
      <c r="C51" s="16"/>
      <c r="D51" s="9"/>
      <c r="E51" s="14"/>
      <c r="F51" s="12"/>
      <c r="G51" s="8"/>
    </row>
    <row r="52" spans="1:7" ht="30" customHeight="1">
      <c r="A52" s="6">
        <v>2.6</v>
      </c>
      <c r="B52" s="10"/>
      <c r="C52" s="18" t="s">
        <v>45</v>
      </c>
      <c r="D52" s="9"/>
      <c r="E52" s="14"/>
      <c r="F52" s="12"/>
      <c r="G52" s="8"/>
    </row>
    <row r="53" spans="1:7" ht="30" customHeight="1">
      <c r="A53" s="9" t="s">
        <v>43</v>
      </c>
      <c r="B53" s="10"/>
      <c r="C53" s="11" t="s">
        <v>89</v>
      </c>
      <c r="D53" s="9" t="s">
        <v>2</v>
      </c>
      <c r="E53" s="14">
        <v>1</v>
      </c>
      <c r="F53" s="12">
        <v>15000</v>
      </c>
      <c r="G53" s="8">
        <f>E53*F53</f>
        <v>15000</v>
      </c>
    </row>
    <row r="54" spans="1:7" ht="30" customHeight="1">
      <c r="A54" s="9" t="s">
        <v>29</v>
      </c>
      <c r="B54" s="10"/>
      <c r="C54" s="11" t="s">
        <v>61</v>
      </c>
      <c r="D54" s="9" t="s">
        <v>3</v>
      </c>
      <c r="E54" s="14">
        <v>2</v>
      </c>
      <c r="F54" s="12">
        <f>5500*1.3</f>
        <v>7150</v>
      </c>
      <c r="G54" s="8">
        <f>E54*F54</f>
        <v>14300</v>
      </c>
    </row>
    <row r="55" spans="1:7" ht="30" customHeight="1">
      <c r="A55" s="9" t="s">
        <v>70</v>
      </c>
      <c r="B55" s="10"/>
      <c r="C55" s="11" t="s">
        <v>69</v>
      </c>
      <c r="D55" s="9" t="s">
        <v>3</v>
      </c>
      <c r="E55" s="14">
        <v>1</v>
      </c>
      <c r="F55" s="12">
        <v>15000</v>
      </c>
      <c r="G55" s="8">
        <f>E55*F55</f>
        <v>15000</v>
      </c>
    </row>
    <row r="56" spans="1:7" ht="30" customHeight="1">
      <c r="A56" s="6">
        <v>2.7</v>
      </c>
      <c r="B56" s="10"/>
      <c r="C56" s="4" t="s">
        <v>47</v>
      </c>
      <c r="D56" s="9"/>
      <c r="E56" s="14"/>
      <c r="F56" s="12"/>
      <c r="G56" s="8"/>
    </row>
    <row r="57" spans="1:7" ht="30" customHeight="1">
      <c r="A57" s="9" t="s">
        <v>46</v>
      </c>
      <c r="B57" s="10"/>
      <c r="C57" s="11" t="s">
        <v>49</v>
      </c>
      <c r="D57" s="9" t="s">
        <v>3</v>
      </c>
      <c r="E57" s="14">
        <v>1</v>
      </c>
      <c r="F57" s="12">
        <v>9000</v>
      </c>
      <c r="G57" s="8">
        <f>E57*F57</f>
        <v>9000</v>
      </c>
    </row>
    <row r="58" spans="1:7" ht="30" customHeight="1">
      <c r="A58" s="6">
        <v>2.8</v>
      </c>
      <c r="B58" s="10"/>
      <c r="C58" s="4" t="s">
        <v>50</v>
      </c>
      <c r="D58" s="9"/>
      <c r="E58" s="14"/>
      <c r="F58" s="12"/>
      <c r="G58" s="8"/>
    </row>
    <row r="59" spans="1:7" ht="30" customHeight="1">
      <c r="A59" s="9" t="s">
        <v>48</v>
      </c>
      <c r="B59" s="10"/>
      <c r="C59" s="11" t="s">
        <v>51</v>
      </c>
      <c r="D59" s="9" t="s">
        <v>3</v>
      </c>
      <c r="E59" s="14">
        <v>1</v>
      </c>
      <c r="F59" s="12">
        <v>5000</v>
      </c>
      <c r="G59" s="8">
        <f>E59*F59</f>
        <v>5000</v>
      </c>
    </row>
    <row r="60" spans="1:7" ht="30" customHeight="1">
      <c r="A60" s="9" t="s">
        <v>56</v>
      </c>
      <c r="B60" s="10"/>
      <c r="C60" s="11" t="s">
        <v>52</v>
      </c>
      <c r="D60" s="9" t="s">
        <v>53</v>
      </c>
      <c r="E60" s="14"/>
      <c r="F60" s="12"/>
      <c r="G60" s="8"/>
    </row>
    <row r="61" spans="1:7" ht="30" customHeight="1">
      <c r="A61" s="9" t="s">
        <v>57</v>
      </c>
      <c r="B61" s="10"/>
      <c r="C61" s="11" t="s">
        <v>24</v>
      </c>
      <c r="D61" s="9" t="s">
        <v>3</v>
      </c>
      <c r="E61" s="14">
        <v>2</v>
      </c>
      <c r="F61" s="22">
        <v>3000</v>
      </c>
      <c r="G61" s="8">
        <f>E61*F61</f>
        <v>6000</v>
      </c>
    </row>
    <row r="62" spans="1:7" ht="30" customHeight="1">
      <c r="A62" s="9" t="s">
        <v>58</v>
      </c>
      <c r="B62" s="10"/>
      <c r="C62" s="11" t="s">
        <v>25</v>
      </c>
      <c r="D62" s="9" t="s">
        <v>3</v>
      </c>
      <c r="E62" s="14">
        <v>1</v>
      </c>
      <c r="F62" s="22">
        <v>15000</v>
      </c>
      <c r="G62" s="8">
        <f>E62*F62</f>
        <v>15000</v>
      </c>
    </row>
    <row r="63" spans="1:7" ht="30" customHeight="1">
      <c r="A63" s="9" t="s">
        <v>59</v>
      </c>
      <c r="B63" s="10"/>
      <c r="C63" s="11" t="s">
        <v>30</v>
      </c>
      <c r="D63" s="9" t="s">
        <v>3</v>
      </c>
      <c r="E63" s="14">
        <v>2</v>
      </c>
      <c r="F63" s="22">
        <v>9000</v>
      </c>
      <c r="G63" s="8">
        <f>E63*F63</f>
        <v>18000</v>
      </c>
    </row>
    <row r="64" spans="1:7" ht="30" customHeight="1">
      <c r="A64" s="9"/>
      <c r="B64" s="10"/>
      <c r="C64" s="11"/>
      <c r="D64" s="9"/>
      <c r="E64" s="14"/>
      <c r="F64" s="22"/>
      <c r="G64" s="8"/>
    </row>
    <row r="65" spans="1:7" ht="30" customHeight="1">
      <c r="A65" s="9"/>
      <c r="B65" s="10"/>
      <c r="C65" s="11"/>
      <c r="D65" s="9"/>
      <c r="E65" s="14"/>
      <c r="F65" s="22"/>
      <c r="G65" s="8"/>
    </row>
    <row r="66" spans="1:7" ht="30" customHeight="1">
      <c r="A66" s="9"/>
      <c r="B66" s="10"/>
      <c r="C66" s="11"/>
      <c r="D66" s="9"/>
      <c r="E66" s="14"/>
      <c r="F66" s="22"/>
      <c r="G66" s="8"/>
    </row>
    <row r="67" spans="1:7" ht="30" customHeight="1">
      <c r="A67" s="9"/>
      <c r="B67" s="10"/>
      <c r="C67" s="11"/>
      <c r="D67" s="9"/>
      <c r="E67" s="14"/>
      <c r="F67" s="22"/>
      <c r="G67" s="8"/>
    </row>
    <row r="68" spans="1:7" ht="30" customHeight="1">
      <c r="A68" s="9"/>
      <c r="B68" s="10"/>
      <c r="C68" s="11"/>
      <c r="D68" s="9"/>
      <c r="E68" s="14"/>
      <c r="F68" s="22"/>
      <c r="G68" s="8"/>
    </row>
    <row r="69" spans="1:7" ht="30" customHeight="1">
      <c r="A69" s="9"/>
      <c r="B69" s="10"/>
      <c r="C69" s="11"/>
      <c r="D69" s="9"/>
      <c r="E69" s="14"/>
      <c r="F69" s="22"/>
      <c r="G69" s="8"/>
    </row>
    <row r="70" spans="1:7" ht="30" customHeight="1">
      <c r="A70" s="9"/>
      <c r="B70" s="10"/>
      <c r="C70" s="11"/>
      <c r="D70" s="9"/>
      <c r="E70" s="14"/>
      <c r="F70" s="22"/>
      <c r="G70" s="8"/>
    </row>
    <row r="71" spans="1:7" ht="30" customHeight="1">
      <c r="A71" s="9"/>
      <c r="B71" s="15"/>
      <c r="C71" s="16"/>
      <c r="D71" s="9"/>
      <c r="E71" s="14"/>
      <c r="F71" s="12"/>
      <c r="G71" s="8"/>
    </row>
    <row r="72" spans="1:7" ht="30" customHeight="1">
      <c r="A72" s="532" t="s">
        <v>54</v>
      </c>
      <c r="B72" s="533"/>
      <c r="C72" s="533"/>
      <c r="D72" s="533"/>
      <c r="E72" s="533"/>
      <c r="F72" s="534"/>
      <c r="G72" s="17" t="e">
        <f>SUM(G27:G71)</f>
        <v>#REF!</v>
      </c>
    </row>
  </sheetData>
  <mergeCells count="3">
    <mergeCell ref="A26:F26"/>
    <mergeCell ref="A27:F27"/>
    <mergeCell ref="A72:F72"/>
  </mergeCells>
  <pageMargins left="0.7" right="0.7" top="0.75" bottom="0.75" header="0.3" footer="0.3"/>
  <pageSetup scale="72" orientation="portrait" r:id="rId1"/>
  <rowBreaks count="1" manualBreakCount="1">
    <brk id="2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00B050"/>
  </sheetPr>
  <dimension ref="A1:G89"/>
  <sheetViews>
    <sheetView view="pageBreakPreview" zoomScaleNormal="125" zoomScaleSheetLayoutView="100" zoomScalePageLayoutView="90" workbookViewId="0">
      <selection activeCell="C32" sqref="C32:C33"/>
    </sheetView>
  </sheetViews>
  <sheetFormatPr baseColWidth="10" defaultColWidth="9.1640625" defaultRowHeight="13"/>
  <cols>
    <col min="1" max="1" width="10.1640625" style="21" customWidth="1"/>
    <col min="2" max="2" width="11.5" style="21" customWidth="1"/>
    <col min="3" max="3" width="72.6640625" style="21" customWidth="1"/>
    <col min="4" max="4" width="13" style="21" customWidth="1"/>
    <col min="5" max="5" width="12.33203125" style="181" customWidth="1"/>
    <col min="6" max="6" width="15.1640625" style="21" customWidth="1"/>
    <col min="7" max="7" width="19.5" style="21" customWidth="1"/>
    <col min="8" max="16384" width="9.1640625" style="21"/>
  </cols>
  <sheetData>
    <row r="1" spans="1:7" ht="26.25" customHeight="1">
      <c r="A1" s="1" t="s">
        <v>0</v>
      </c>
      <c r="B1" s="1" t="s">
        <v>9</v>
      </c>
      <c r="C1" s="2" t="s">
        <v>1</v>
      </c>
      <c r="D1" s="2" t="s">
        <v>10</v>
      </c>
      <c r="E1" s="2" t="s">
        <v>11</v>
      </c>
      <c r="F1" s="2" t="s">
        <v>12</v>
      </c>
      <c r="G1" s="2" t="s">
        <v>13</v>
      </c>
    </row>
    <row r="2" spans="1:7" ht="30" customHeight="1">
      <c r="A2" s="3">
        <v>8</v>
      </c>
      <c r="B2" s="264"/>
      <c r="C2" s="4" t="s">
        <v>861</v>
      </c>
      <c r="D2" s="103"/>
      <c r="E2" s="104"/>
      <c r="F2" s="104"/>
      <c r="G2" s="104"/>
    </row>
    <row r="3" spans="1:7" ht="43.5" customHeight="1">
      <c r="A3" s="3"/>
      <c r="B3" s="3"/>
      <c r="C3" s="4" t="s">
        <v>897</v>
      </c>
      <c r="D3" s="103"/>
      <c r="E3" s="104"/>
      <c r="F3" s="104"/>
      <c r="G3" s="105"/>
    </row>
    <row r="4" spans="1:7" ht="29.25" customHeight="1">
      <c r="A4" s="9"/>
      <c r="B4" s="13"/>
      <c r="C4" s="109"/>
      <c r="D4" s="103"/>
      <c r="E4" s="179"/>
      <c r="F4" s="104"/>
      <c r="G4" s="105"/>
    </row>
    <row r="5" spans="1:7" ht="30" customHeight="1">
      <c r="A5" s="3">
        <v>8.1</v>
      </c>
      <c r="B5" s="264"/>
      <c r="C5" s="4" t="s">
        <v>862</v>
      </c>
      <c r="D5" s="7"/>
      <c r="E5" s="180"/>
      <c r="F5" s="105"/>
      <c r="G5" s="105"/>
    </row>
    <row r="6" spans="1:7" ht="31.5" customHeight="1">
      <c r="A6" s="9" t="s">
        <v>566</v>
      </c>
      <c r="B6" s="3"/>
      <c r="C6" s="11"/>
      <c r="D6" s="7"/>
      <c r="E6" s="14"/>
      <c r="F6" s="105"/>
      <c r="G6" s="105"/>
    </row>
    <row r="7" spans="1:7" ht="33.75" customHeight="1">
      <c r="A7" s="9" t="s">
        <v>567</v>
      </c>
      <c r="B7" s="3"/>
      <c r="C7" s="11"/>
      <c r="D7" s="7"/>
      <c r="E7" s="14"/>
      <c r="F7" s="56"/>
      <c r="G7" s="105"/>
    </row>
    <row r="8" spans="1:7" ht="62.25" customHeight="1">
      <c r="A8" s="9" t="s">
        <v>568</v>
      </c>
      <c r="B8" s="3"/>
      <c r="C8" s="11"/>
      <c r="D8" s="7"/>
      <c r="E8" s="50"/>
      <c r="F8" s="56"/>
      <c r="G8" s="105"/>
    </row>
    <row r="9" spans="1:7" ht="36.75" customHeight="1">
      <c r="A9" s="9" t="s">
        <v>569</v>
      </c>
      <c r="B9" s="218"/>
      <c r="C9" s="11"/>
      <c r="D9" s="7"/>
      <c r="E9" s="50"/>
      <c r="F9" s="56"/>
      <c r="G9" s="105"/>
    </row>
    <row r="10" spans="1:7" ht="49.5" customHeight="1">
      <c r="A10" s="9" t="s">
        <v>777</v>
      </c>
      <c r="B10" s="264"/>
      <c r="C10" s="11"/>
      <c r="D10" s="7"/>
      <c r="E10" s="50"/>
      <c r="F10" s="105"/>
      <c r="G10" s="105"/>
    </row>
    <row r="11" spans="1:7" ht="24" customHeight="1">
      <c r="A11" s="3"/>
      <c r="B11" s="264"/>
      <c r="C11" s="4"/>
      <c r="D11" s="7"/>
      <c r="E11" s="180"/>
      <c r="F11" s="105"/>
      <c r="G11" s="105"/>
    </row>
    <row r="12" spans="1:7" ht="24" customHeight="1">
      <c r="A12" s="3">
        <v>8.1999999999999993</v>
      </c>
      <c r="B12" s="3"/>
      <c r="C12" s="4" t="s">
        <v>863</v>
      </c>
      <c r="D12" s="7"/>
      <c r="E12" s="14"/>
      <c r="F12" s="105"/>
      <c r="G12" s="105"/>
    </row>
    <row r="13" spans="1:7" ht="45.75" customHeight="1">
      <c r="A13" s="9" t="s">
        <v>570</v>
      </c>
      <c r="B13" s="3"/>
      <c r="C13" s="11"/>
      <c r="D13" s="7"/>
      <c r="E13" s="50"/>
      <c r="F13" s="56"/>
      <c r="G13" s="105"/>
    </row>
    <row r="14" spans="1:7" ht="24" customHeight="1">
      <c r="A14" s="9"/>
      <c r="B14" s="3"/>
      <c r="C14" s="11"/>
      <c r="D14" s="7"/>
      <c r="E14" s="50"/>
      <c r="F14" s="56"/>
      <c r="G14" s="52"/>
    </row>
    <row r="15" spans="1:7" ht="24" customHeight="1">
      <c r="A15" s="6">
        <v>8.3000000000000007</v>
      </c>
      <c r="B15" s="10"/>
      <c r="C15" s="4" t="s">
        <v>335</v>
      </c>
      <c r="D15" s="9"/>
      <c r="E15" s="14"/>
      <c r="F15" s="12"/>
      <c r="G15" s="8"/>
    </row>
    <row r="16" spans="1:7" ht="24" customHeight="1">
      <c r="A16" s="416"/>
      <c r="B16" s="10"/>
      <c r="C16" s="412"/>
      <c r="D16" s="403"/>
      <c r="E16" s="14"/>
      <c r="F16" s="414"/>
      <c r="G16" s="401"/>
    </row>
    <row r="17" spans="1:7" ht="39.75" customHeight="1">
      <c r="A17" s="9" t="s">
        <v>571</v>
      </c>
      <c r="B17" s="10"/>
      <c r="C17" s="11"/>
      <c r="D17" s="9"/>
      <c r="E17" s="14"/>
      <c r="F17" s="12"/>
      <c r="G17" s="105"/>
    </row>
    <row r="18" spans="1:7" ht="24" customHeight="1">
      <c r="A18" s="3"/>
      <c r="B18" s="264"/>
      <c r="C18" s="4"/>
      <c r="D18" s="7"/>
      <c r="E18" s="180"/>
      <c r="F18" s="105"/>
      <c r="G18" s="105"/>
    </row>
    <row r="19" spans="1:7" ht="24" customHeight="1">
      <c r="A19" s="9"/>
      <c r="B19" s="3"/>
      <c r="C19" s="11"/>
      <c r="D19" s="7"/>
      <c r="E19" s="14"/>
      <c r="F19" s="105"/>
      <c r="G19" s="105"/>
    </row>
    <row r="20" spans="1:7" ht="32.25" customHeight="1">
      <c r="A20" s="9"/>
      <c r="B20" s="3"/>
      <c r="C20" s="11"/>
      <c r="D20" s="7"/>
      <c r="E20" s="14"/>
      <c r="F20" s="56"/>
      <c r="G20" s="8"/>
    </row>
    <row r="21" spans="1:7" ht="32.25" customHeight="1">
      <c r="A21" s="9"/>
      <c r="B21" s="3"/>
      <c r="C21" s="11"/>
      <c r="D21" s="7"/>
      <c r="E21" s="50"/>
      <c r="F21" s="56"/>
      <c r="G21" s="52"/>
    </row>
    <row r="22" spans="1:7" ht="40.5" customHeight="1">
      <c r="A22" s="9"/>
      <c r="B22" s="218"/>
      <c r="C22" s="11"/>
      <c r="D22" s="7"/>
      <c r="E22" s="50"/>
      <c r="F22" s="56"/>
      <c r="G22" s="52"/>
    </row>
    <row r="23" spans="1:7" ht="32.25" customHeight="1">
      <c r="A23" s="9"/>
      <c r="B23" s="10"/>
      <c r="C23" s="11"/>
      <c r="D23" s="7"/>
      <c r="E23" s="103"/>
      <c r="F23" s="105"/>
      <c r="G23" s="105"/>
    </row>
    <row r="24" spans="1:7" ht="32.25" customHeight="1">
      <c r="A24" s="6"/>
      <c r="B24" s="15"/>
      <c r="C24" s="18"/>
      <c r="D24" s="7"/>
      <c r="E24" s="14"/>
      <c r="F24" s="12"/>
      <c r="G24" s="8"/>
    </row>
    <row r="25" spans="1:7" ht="32.25" customHeight="1">
      <c r="A25" s="9"/>
      <c r="B25" s="15"/>
      <c r="C25" s="16"/>
      <c r="D25" s="7"/>
      <c r="E25" s="14"/>
      <c r="F25" s="12"/>
      <c r="G25" s="8"/>
    </row>
    <row r="26" spans="1:7" ht="32.25" customHeight="1">
      <c r="A26" s="9"/>
      <c r="B26" s="15"/>
      <c r="C26" s="16"/>
      <c r="D26" s="7"/>
      <c r="E26" s="14"/>
      <c r="F26" s="12"/>
      <c r="G26" s="8"/>
    </row>
    <row r="27" spans="1:7" ht="32.25" customHeight="1">
      <c r="A27" s="9"/>
      <c r="B27" s="15"/>
      <c r="C27" s="16"/>
      <c r="D27" s="7"/>
      <c r="E27" s="14"/>
      <c r="F27" s="12"/>
      <c r="G27" s="8"/>
    </row>
    <row r="28" spans="1:7" ht="32.25" customHeight="1">
      <c r="A28" s="6"/>
      <c r="B28" s="10"/>
      <c r="C28" s="18"/>
      <c r="D28" s="7"/>
      <c r="E28" s="14"/>
      <c r="F28" s="12"/>
      <c r="G28" s="8"/>
    </row>
    <row r="29" spans="1:7" ht="32.25" customHeight="1">
      <c r="A29" s="9"/>
      <c r="B29" s="15"/>
      <c r="C29" s="16"/>
      <c r="D29" s="9"/>
      <c r="E29" s="14"/>
      <c r="F29" s="12"/>
      <c r="G29" s="8"/>
    </row>
    <row r="30" spans="1:7" ht="32.25" customHeight="1">
      <c r="A30" s="9"/>
      <c r="B30" s="15"/>
      <c r="C30" s="16"/>
      <c r="D30" s="9"/>
      <c r="E30" s="14"/>
      <c r="F30" s="12"/>
      <c r="G30" s="8"/>
    </row>
    <row r="31" spans="1:7" ht="32.25" customHeight="1">
      <c r="A31" s="9"/>
      <c r="B31" s="10"/>
      <c r="C31" s="11"/>
      <c r="D31" s="219"/>
      <c r="E31" s="218"/>
      <c r="F31" s="105"/>
      <c r="G31" s="105"/>
    </row>
    <row r="32" spans="1:7" ht="32.25" customHeight="1">
      <c r="A32" s="6"/>
      <c r="B32" s="15"/>
      <c r="C32" s="535" t="s">
        <v>879</v>
      </c>
      <c r="D32" s="185"/>
      <c r="E32" s="14"/>
      <c r="F32" s="186"/>
      <c r="G32" s="187"/>
    </row>
    <row r="33" spans="1:7" ht="11" customHeight="1">
      <c r="A33" s="185"/>
      <c r="B33" s="15"/>
      <c r="C33" s="536"/>
      <c r="D33" s="9"/>
      <c r="E33" s="14"/>
      <c r="F33" s="12"/>
      <c r="G33" s="8"/>
    </row>
    <row r="34" spans="1:7" ht="32.25" customHeight="1">
      <c r="A34" s="185"/>
      <c r="B34" s="15"/>
      <c r="C34" s="16"/>
      <c r="D34" s="9"/>
      <c r="E34" s="14"/>
      <c r="F34" s="12"/>
      <c r="G34" s="8"/>
    </row>
    <row r="35" spans="1:7" ht="32.25" customHeight="1">
      <c r="A35" s="185"/>
      <c r="B35" s="15"/>
      <c r="C35" s="16"/>
      <c r="D35" s="9"/>
      <c r="E35" s="14"/>
      <c r="F35" s="12"/>
      <c r="G35" s="8"/>
    </row>
    <row r="36" spans="1:7" ht="32.25" customHeight="1">
      <c r="A36" s="6"/>
      <c r="B36" s="10"/>
      <c r="C36" s="4"/>
      <c r="D36" s="9"/>
      <c r="E36" s="14"/>
      <c r="F36" s="12"/>
      <c r="G36" s="8"/>
    </row>
    <row r="37" spans="1:7" ht="32.25" customHeight="1">
      <c r="A37" s="416"/>
      <c r="B37" s="10"/>
      <c r="C37" s="412"/>
      <c r="D37" s="403"/>
      <c r="E37" s="14"/>
      <c r="F37" s="414"/>
      <c r="G37" s="401"/>
    </row>
    <row r="38" spans="1:7" ht="32.25" customHeight="1">
      <c r="A38" s="9"/>
      <c r="B38" s="10"/>
      <c r="C38" s="11"/>
      <c r="D38" s="9"/>
      <c r="E38" s="14"/>
      <c r="F38" s="12"/>
      <c r="G38" s="8"/>
    </row>
    <row r="39" spans="1:7" ht="32.25" customHeight="1">
      <c r="A39" s="9"/>
      <c r="B39" s="10"/>
      <c r="C39" s="11"/>
      <c r="D39" s="9"/>
      <c r="E39" s="14"/>
      <c r="F39" s="22"/>
      <c r="G39" s="8"/>
    </row>
    <row r="40" spans="1:7" ht="35.25" customHeight="1">
      <c r="A40" s="532" t="s">
        <v>54</v>
      </c>
      <c r="B40" s="533"/>
      <c r="C40" s="533"/>
      <c r="D40" s="533"/>
      <c r="E40" s="533"/>
      <c r="F40" s="534"/>
      <c r="G40" s="17"/>
    </row>
    <row r="41" spans="1:7" ht="27.75" customHeight="1">
      <c r="E41" s="21"/>
    </row>
    <row r="42" spans="1:7" ht="27.75" customHeight="1">
      <c r="E42" s="21"/>
    </row>
    <row r="43" spans="1:7" ht="27.75" customHeight="1">
      <c r="E43" s="21"/>
    </row>
    <row r="44" spans="1:7" ht="27.75" customHeight="1">
      <c r="E44" s="21"/>
    </row>
    <row r="45" spans="1:7" ht="31.5" customHeight="1">
      <c r="E45" s="21"/>
    </row>
    <row r="46" spans="1:7" ht="45.5" customHeight="1">
      <c r="E46" s="21"/>
    </row>
    <row r="47" spans="1:7" ht="31.5" customHeight="1">
      <c r="E47" s="21"/>
    </row>
    <row r="48" spans="1:7" ht="31.5" customHeight="1">
      <c r="E48" s="21"/>
    </row>
    <row r="49" spans="5:5" ht="31.5" customHeight="1">
      <c r="E49" s="21"/>
    </row>
    <row r="50" spans="5:5" ht="31.5" customHeight="1">
      <c r="E50" s="21"/>
    </row>
    <row r="51" spans="5:5" ht="31.5" customHeight="1">
      <c r="E51" s="21"/>
    </row>
    <row r="52" spans="5:5" ht="35.5" customHeight="1">
      <c r="E52" s="21"/>
    </row>
    <row r="53" spans="5:5" ht="34.75" customHeight="1">
      <c r="E53" s="21"/>
    </row>
    <row r="54" spans="5:5" ht="31.5" customHeight="1">
      <c r="E54" s="21"/>
    </row>
    <row r="55" spans="5:5" ht="31.5" customHeight="1">
      <c r="E55" s="21"/>
    </row>
    <row r="56" spans="5:5" ht="31.5" customHeight="1">
      <c r="E56" s="21"/>
    </row>
    <row r="57" spans="5:5" ht="31.5" customHeight="1">
      <c r="E57" s="21"/>
    </row>
    <row r="58" spans="5:5" ht="31.5" customHeight="1">
      <c r="E58" s="21"/>
    </row>
    <row r="59" spans="5:5" ht="31.5" customHeight="1">
      <c r="E59" s="21"/>
    </row>
    <row r="60" spans="5:5" ht="31.5" customHeight="1">
      <c r="E60" s="21"/>
    </row>
    <row r="61" spans="5:5" ht="31.5" customHeight="1">
      <c r="E61" s="21"/>
    </row>
    <row r="62" spans="5:5" ht="31.5" customHeight="1">
      <c r="E62" s="21"/>
    </row>
    <row r="63" spans="5:5" ht="31.5" customHeight="1">
      <c r="E63" s="21"/>
    </row>
    <row r="64" spans="5:5" ht="31.5" customHeight="1">
      <c r="E64" s="21"/>
    </row>
    <row r="65" spans="5:5" ht="31.5" customHeight="1">
      <c r="E65" s="21"/>
    </row>
    <row r="66" spans="5:5" ht="31.5" customHeight="1">
      <c r="E66" s="21"/>
    </row>
    <row r="67" spans="5:5" ht="31.5" customHeight="1">
      <c r="E67" s="21"/>
    </row>
    <row r="68" spans="5:5" ht="31.5" customHeight="1">
      <c r="E68" s="21"/>
    </row>
    <row r="69" spans="5:5" ht="31.5" customHeight="1">
      <c r="E69" s="21"/>
    </row>
    <row r="70" spans="5:5" ht="31.5" customHeight="1">
      <c r="E70" s="21"/>
    </row>
    <row r="71" spans="5:5" ht="31.5" customHeight="1">
      <c r="E71" s="21"/>
    </row>
    <row r="72" spans="5:5" ht="31.5" customHeight="1">
      <c r="E72" s="21"/>
    </row>
    <row r="73" spans="5:5" ht="31.5" customHeight="1">
      <c r="E73" s="21"/>
    </row>
    <row r="74" spans="5:5" ht="31.5" customHeight="1">
      <c r="E74" s="21"/>
    </row>
    <row r="75" spans="5:5" ht="31.5" customHeight="1">
      <c r="E75" s="21"/>
    </row>
    <row r="76" spans="5:5" ht="31.5" customHeight="1">
      <c r="E76" s="21"/>
    </row>
    <row r="77" spans="5:5" ht="31.5" customHeight="1">
      <c r="E77" s="21"/>
    </row>
    <row r="78" spans="5:5" ht="31.5" customHeight="1">
      <c r="E78" s="21"/>
    </row>
    <row r="79" spans="5:5" ht="31.5" customHeight="1">
      <c r="E79" s="21"/>
    </row>
    <row r="80" spans="5:5" ht="31.5" customHeight="1">
      <c r="E80" s="21"/>
    </row>
    <row r="81" spans="5:5" ht="30" customHeight="1">
      <c r="E81" s="21"/>
    </row>
    <row r="82" spans="5:5" ht="39" customHeight="1">
      <c r="E82" s="21"/>
    </row>
    <row r="83" spans="5:5">
      <c r="E83" s="21"/>
    </row>
    <row r="84" spans="5:5">
      <c r="E84" s="21"/>
    </row>
    <row r="85" spans="5:5">
      <c r="E85" s="21"/>
    </row>
    <row r="86" spans="5:5">
      <c r="E86" s="21"/>
    </row>
    <row r="87" spans="5:5">
      <c r="E87" s="21"/>
    </row>
    <row r="88" spans="5:5">
      <c r="E88" s="21"/>
    </row>
    <row r="89" spans="5:5">
      <c r="E89" s="21"/>
    </row>
  </sheetData>
  <mergeCells count="2">
    <mergeCell ref="A40:F40"/>
    <mergeCell ref="C32:C33"/>
  </mergeCells>
  <phoneticPr fontId="39" type="noConversion"/>
  <pageMargins left="0.70866141732283472" right="0.70866141732283472" top="0.74803149606299213" bottom="0.74803149606299213" header="0.31496062992125984" footer="0.31496062992125984"/>
  <pageSetup paperSize="9" scale="50" orientation="portrait" r:id="rId1"/>
  <headerFooter>
    <oddHeader>&amp;C&amp;"-,Bold"BURGERSFORT WWTW UPGRADE - DISINFECTION SYSTEM</oddHeader>
    <oddFooter>&amp;LBill of Quantities&amp;CPage &amp;P&amp;RBurgersfort  WWTW</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tabColor rgb="FF00B050"/>
  </sheetPr>
  <dimension ref="A1:G83"/>
  <sheetViews>
    <sheetView view="pageBreakPreview" zoomScaleNormal="125" zoomScaleSheetLayoutView="100" zoomScalePageLayoutView="90" workbookViewId="0">
      <selection activeCell="C3" sqref="C3"/>
    </sheetView>
  </sheetViews>
  <sheetFormatPr baseColWidth="10" defaultColWidth="9.1640625" defaultRowHeight="13"/>
  <cols>
    <col min="1" max="1" width="10.1640625" style="21" customWidth="1"/>
    <col min="2" max="2" width="13.6640625" style="21" customWidth="1"/>
    <col min="3" max="3" width="72.6640625" style="21" customWidth="1"/>
    <col min="4" max="4" width="13" style="21" customWidth="1"/>
    <col min="5" max="5" width="12.33203125" style="181" customWidth="1"/>
    <col min="6" max="6" width="15.1640625" style="21" customWidth="1"/>
    <col min="7" max="7" width="19.5" style="21" customWidth="1"/>
    <col min="8" max="16384" width="9.1640625" style="21"/>
  </cols>
  <sheetData>
    <row r="1" spans="1:7" ht="26.25" customHeight="1">
      <c r="A1" s="443" t="s">
        <v>0</v>
      </c>
      <c r="B1" s="444" t="s">
        <v>9</v>
      </c>
      <c r="C1" s="445" t="s">
        <v>1</v>
      </c>
      <c r="D1" s="445" t="s">
        <v>10</v>
      </c>
      <c r="E1" s="445" t="s">
        <v>11</v>
      </c>
      <c r="F1" s="445" t="s">
        <v>12</v>
      </c>
      <c r="G1" s="445" t="s">
        <v>13</v>
      </c>
    </row>
    <row r="2" spans="1:7" ht="30" customHeight="1">
      <c r="A2" s="343">
        <v>9</v>
      </c>
      <c r="B2" s="264"/>
      <c r="C2" s="412" t="s">
        <v>950</v>
      </c>
      <c r="D2" s="431"/>
      <c r="E2" s="432"/>
      <c r="F2" s="432"/>
      <c r="G2" s="433"/>
    </row>
    <row r="3" spans="1:7" ht="49" customHeight="1">
      <c r="A3" s="343"/>
      <c r="B3" s="411"/>
      <c r="C3" s="412" t="s">
        <v>897</v>
      </c>
      <c r="D3" s="431"/>
      <c r="E3" s="432"/>
      <c r="F3" s="432"/>
      <c r="G3" s="446"/>
    </row>
    <row r="4" spans="1:7" ht="24.75" customHeight="1">
      <c r="A4" s="344"/>
      <c r="B4" s="13"/>
      <c r="C4" s="435"/>
      <c r="D4" s="431"/>
      <c r="E4" s="179"/>
      <c r="F4" s="432"/>
      <c r="G4" s="446"/>
    </row>
    <row r="5" spans="1:7" ht="30" customHeight="1">
      <c r="A5" s="343">
        <v>9.1</v>
      </c>
      <c r="B5" s="264"/>
      <c r="C5" s="412" t="s">
        <v>874</v>
      </c>
      <c r="D5" s="405"/>
      <c r="E5" s="447"/>
      <c r="F5" s="430"/>
      <c r="G5" s="446"/>
    </row>
    <row r="6" spans="1:7" ht="48" customHeight="1">
      <c r="A6" s="344" t="s">
        <v>876</v>
      </c>
      <c r="B6" s="411"/>
      <c r="C6" s="413"/>
      <c r="D6" s="405"/>
      <c r="E6" s="14"/>
      <c r="F6" s="430"/>
      <c r="G6" s="446"/>
    </row>
    <row r="7" spans="1:7" ht="41" customHeight="1">
      <c r="A7" s="344" t="s">
        <v>877</v>
      </c>
      <c r="B7" s="411"/>
      <c r="C7" s="413" t="s">
        <v>875</v>
      </c>
      <c r="D7" s="411" t="s">
        <v>773</v>
      </c>
      <c r="E7" s="232">
        <v>2</v>
      </c>
      <c r="F7" s="448">
        <v>200000</v>
      </c>
      <c r="G7" s="449">
        <f t="shared" ref="G7" si="0">E7*F7</f>
        <v>400000</v>
      </c>
    </row>
    <row r="8" spans="1:7" ht="34.5" customHeight="1">
      <c r="A8" s="344"/>
      <c r="B8" s="411"/>
      <c r="C8" s="413"/>
      <c r="D8" s="405"/>
      <c r="E8" s="50"/>
      <c r="F8" s="409"/>
      <c r="G8" s="450"/>
    </row>
    <row r="9" spans="1:7" ht="30" customHeight="1">
      <c r="A9" s="344">
        <v>9.1999999999999993</v>
      </c>
      <c r="B9" s="451"/>
      <c r="C9" s="412" t="s">
        <v>939</v>
      </c>
      <c r="D9" s="405"/>
      <c r="E9" s="50"/>
      <c r="F9" s="452"/>
      <c r="G9" s="450"/>
    </row>
    <row r="10" spans="1:7" ht="44" customHeight="1">
      <c r="A10" s="344" t="s">
        <v>878</v>
      </c>
      <c r="B10" s="264"/>
      <c r="C10" s="274"/>
      <c r="D10" s="272"/>
      <c r="E10" s="14"/>
      <c r="F10" s="342"/>
      <c r="G10" s="446"/>
    </row>
    <row r="11" spans="1:7" ht="44" customHeight="1">
      <c r="A11" s="344" t="s">
        <v>888</v>
      </c>
      <c r="B11" s="264"/>
      <c r="C11" s="274"/>
      <c r="D11" s="272"/>
      <c r="E11" s="14"/>
      <c r="F11" s="342"/>
      <c r="G11" s="446"/>
    </row>
    <row r="12" spans="1:7" ht="44" customHeight="1">
      <c r="A12" s="344" t="s">
        <v>899</v>
      </c>
      <c r="B12" s="264"/>
      <c r="C12" s="274"/>
      <c r="D12" s="272"/>
      <c r="E12" s="14"/>
      <c r="F12" s="342"/>
      <c r="G12" s="446"/>
    </row>
    <row r="13" spans="1:7" ht="44" customHeight="1">
      <c r="A13" s="344" t="s">
        <v>900</v>
      </c>
      <c r="B13" s="264"/>
      <c r="C13" s="274"/>
      <c r="D13" s="337"/>
      <c r="E13" s="232"/>
      <c r="F13" s="434"/>
      <c r="G13" s="453"/>
    </row>
    <row r="14" spans="1:7" ht="28" customHeight="1">
      <c r="A14" s="344"/>
      <c r="B14" s="337"/>
      <c r="C14" s="274"/>
      <c r="D14" s="272"/>
      <c r="E14" s="14"/>
      <c r="F14" s="342"/>
      <c r="G14" s="446"/>
    </row>
    <row r="15" spans="1:7" ht="28" customHeight="1">
      <c r="A15" s="344">
        <v>9.3000000000000007</v>
      </c>
      <c r="B15" s="337"/>
      <c r="C15" s="412" t="s">
        <v>935</v>
      </c>
      <c r="D15" s="272"/>
      <c r="E15" s="14"/>
      <c r="F15" s="342"/>
      <c r="G15" s="446"/>
    </row>
    <row r="16" spans="1:7" ht="36" customHeight="1">
      <c r="A16" s="344" t="s">
        <v>936</v>
      </c>
      <c r="B16" s="337"/>
      <c r="C16" s="274"/>
      <c r="D16" s="272"/>
      <c r="E16" s="14"/>
      <c r="F16" s="342"/>
      <c r="G16" s="446"/>
    </row>
    <row r="17" spans="1:7" ht="30" customHeight="1">
      <c r="A17" s="344" t="s">
        <v>937</v>
      </c>
      <c r="B17" s="451"/>
      <c r="C17" s="274"/>
      <c r="D17" s="272"/>
      <c r="E17" s="50"/>
      <c r="F17" s="452"/>
      <c r="G17" s="450"/>
    </row>
    <row r="18" spans="1:7" ht="32.25" customHeight="1">
      <c r="A18" s="344" t="s">
        <v>938</v>
      </c>
      <c r="B18" s="264"/>
      <c r="C18" s="274"/>
      <c r="D18" s="272"/>
      <c r="E18" s="50"/>
      <c r="F18" s="452"/>
      <c r="G18" s="450"/>
    </row>
    <row r="19" spans="1:7" ht="32.25" customHeight="1">
      <c r="A19" s="345"/>
      <c r="B19" s="273"/>
      <c r="C19" s="274"/>
      <c r="D19" s="272"/>
      <c r="E19" s="346"/>
      <c r="F19" s="342"/>
      <c r="G19" s="446"/>
    </row>
    <row r="20" spans="1:7" ht="40.5" customHeight="1">
      <c r="A20" s="344"/>
      <c r="B20" s="451"/>
      <c r="C20" s="274"/>
      <c r="D20" s="272"/>
      <c r="E20" s="50"/>
      <c r="F20" s="452"/>
      <c r="G20" s="450"/>
    </row>
    <row r="21" spans="1:7" ht="32.25" customHeight="1">
      <c r="A21" s="344"/>
      <c r="B21" s="10"/>
      <c r="C21" s="274"/>
      <c r="D21" s="272"/>
      <c r="E21" s="340"/>
      <c r="F21" s="342"/>
      <c r="G21" s="446"/>
    </row>
    <row r="22" spans="1:7" ht="32.25" customHeight="1">
      <c r="A22" s="347"/>
      <c r="B22" s="15"/>
      <c r="C22" s="348"/>
      <c r="D22" s="272"/>
      <c r="E22" s="14"/>
      <c r="F22" s="455"/>
      <c r="G22" s="454"/>
    </row>
    <row r="23" spans="1:7" ht="32.25" customHeight="1">
      <c r="A23" s="344"/>
      <c r="B23" s="15"/>
      <c r="C23" s="275"/>
      <c r="D23" s="272"/>
      <c r="E23" s="14"/>
      <c r="F23" s="455"/>
      <c r="G23" s="454"/>
    </row>
    <row r="24" spans="1:7" ht="32.25" customHeight="1">
      <c r="A24" s="344"/>
      <c r="B24" s="15"/>
      <c r="C24" s="275"/>
      <c r="D24" s="272"/>
      <c r="E24" s="14"/>
      <c r="F24" s="455"/>
      <c r="G24" s="454"/>
    </row>
    <row r="25" spans="1:7" ht="32.25" customHeight="1">
      <c r="A25" s="344"/>
      <c r="B25" s="15"/>
      <c r="C25" s="275"/>
      <c r="D25" s="272"/>
      <c r="E25" s="14"/>
      <c r="F25" s="455"/>
      <c r="G25" s="454"/>
    </row>
    <row r="26" spans="1:7" ht="32.25" customHeight="1">
      <c r="A26" s="347"/>
      <c r="B26" s="10"/>
      <c r="C26" s="348"/>
      <c r="D26" s="272"/>
      <c r="E26" s="14"/>
      <c r="F26" s="455"/>
      <c r="G26" s="454"/>
    </row>
    <row r="27" spans="1:7" ht="32.25" customHeight="1">
      <c r="A27" s="344"/>
      <c r="B27" s="15"/>
      <c r="C27" s="275"/>
      <c r="D27" s="276"/>
      <c r="E27" s="14"/>
      <c r="F27" s="455"/>
      <c r="G27" s="454"/>
    </row>
    <row r="28" spans="1:7" ht="32.25" customHeight="1">
      <c r="A28" s="344"/>
      <c r="B28" s="15"/>
      <c r="C28" s="275"/>
      <c r="D28" s="276"/>
      <c r="E28" s="14"/>
      <c r="F28" s="455"/>
      <c r="G28" s="454"/>
    </row>
    <row r="29" spans="1:7" ht="32.25" customHeight="1">
      <c r="A29" s="347"/>
      <c r="B29" s="15"/>
      <c r="C29" s="339"/>
      <c r="D29" s="276"/>
      <c r="E29" s="14"/>
      <c r="F29" s="455"/>
      <c r="G29" s="454"/>
    </row>
    <row r="30" spans="1:7" ht="32.25" customHeight="1">
      <c r="A30" s="344"/>
      <c r="B30" s="15"/>
      <c r="C30" s="275"/>
      <c r="D30" s="276"/>
      <c r="E30" s="14"/>
      <c r="F30" s="455"/>
      <c r="G30" s="454"/>
    </row>
    <row r="31" spans="1:7" ht="32.25" customHeight="1">
      <c r="A31" s="347"/>
      <c r="B31" s="10"/>
      <c r="C31" s="339"/>
      <c r="D31" s="276"/>
      <c r="E31" s="14"/>
      <c r="F31" s="455"/>
      <c r="G31" s="454"/>
    </row>
    <row r="32" spans="1:7" ht="32.25" customHeight="1">
      <c r="A32" s="344"/>
      <c r="B32" s="10"/>
      <c r="C32" s="535" t="s">
        <v>879</v>
      </c>
      <c r="D32" s="276"/>
      <c r="E32" s="14"/>
      <c r="F32" s="455"/>
      <c r="G32" s="454"/>
    </row>
    <row r="33" spans="1:7" ht="32.25" customHeight="1">
      <c r="A33" s="344"/>
      <c r="B33" s="10"/>
      <c r="C33" s="536"/>
      <c r="D33" s="276"/>
      <c r="E33" s="14"/>
      <c r="F33" s="456"/>
      <c r="G33" s="454"/>
    </row>
    <row r="34" spans="1:7" ht="34.5" customHeight="1">
      <c r="A34" s="546" t="s">
        <v>54</v>
      </c>
      <c r="B34" s="547"/>
      <c r="C34" s="547"/>
      <c r="D34" s="547"/>
      <c r="E34" s="547"/>
      <c r="F34" s="548"/>
      <c r="G34" s="457"/>
    </row>
    <row r="35" spans="1:7" ht="27.75" customHeight="1">
      <c r="E35" s="21"/>
    </row>
    <row r="36" spans="1:7" ht="27.75" customHeight="1">
      <c r="E36" s="21"/>
    </row>
    <row r="37" spans="1:7" ht="27.75" customHeight="1">
      <c r="E37" s="21"/>
    </row>
    <row r="38" spans="1:7" ht="27.75" customHeight="1">
      <c r="E38" s="21"/>
    </row>
    <row r="39" spans="1:7" ht="31.5" customHeight="1">
      <c r="E39" s="21"/>
    </row>
    <row r="40" spans="1:7" ht="45.5" customHeight="1">
      <c r="E40" s="21"/>
    </row>
    <row r="41" spans="1:7" ht="31.5" customHeight="1">
      <c r="E41" s="21"/>
    </row>
    <row r="42" spans="1:7" ht="31.5" customHeight="1">
      <c r="E42" s="21"/>
    </row>
    <row r="43" spans="1:7" ht="31.5" customHeight="1">
      <c r="E43" s="21"/>
    </row>
    <row r="44" spans="1:7" ht="31.5" customHeight="1">
      <c r="E44" s="21"/>
    </row>
    <row r="45" spans="1:7" ht="31.5" customHeight="1">
      <c r="E45" s="21"/>
    </row>
    <row r="46" spans="1:7" ht="35.5" customHeight="1">
      <c r="E46" s="21"/>
    </row>
    <row r="47" spans="1:7" ht="34.75" customHeight="1">
      <c r="E47" s="21"/>
    </row>
    <row r="48" spans="1:7" ht="31.5" customHeight="1">
      <c r="E48" s="21"/>
    </row>
    <row r="49" spans="5:5" ht="31.5" customHeight="1">
      <c r="E49" s="21"/>
    </row>
    <row r="50" spans="5:5" ht="31.5" customHeight="1">
      <c r="E50" s="21"/>
    </row>
    <row r="51" spans="5:5" ht="31.5" customHeight="1">
      <c r="E51" s="21"/>
    </row>
    <row r="52" spans="5:5" ht="31.5" customHeight="1">
      <c r="E52" s="21"/>
    </row>
    <row r="53" spans="5:5" ht="31.5" customHeight="1">
      <c r="E53" s="21"/>
    </row>
    <row r="54" spans="5:5" ht="31.5" customHeight="1">
      <c r="E54" s="21"/>
    </row>
    <row r="55" spans="5:5" ht="31.5" customHeight="1">
      <c r="E55" s="21"/>
    </row>
    <row r="56" spans="5:5" ht="31.5" customHeight="1">
      <c r="E56" s="21"/>
    </row>
    <row r="57" spans="5:5" ht="31.5" customHeight="1">
      <c r="E57" s="21"/>
    </row>
    <row r="58" spans="5:5" ht="31.5" customHeight="1">
      <c r="E58" s="21"/>
    </row>
    <row r="59" spans="5:5" ht="31.5" customHeight="1">
      <c r="E59" s="21"/>
    </row>
    <row r="60" spans="5:5" ht="31.5" customHeight="1">
      <c r="E60" s="21"/>
    </row>
    <row r="61" spans="5:5" ht="31.5" customHeight="1">
      <c r="E61" s="21"/>
    </row>
    <row r="62" spans="5:5" ht="31.5" customHeight="1">
      <c r="E62" s="21"/>
    </row>
    <row r="63" spans="5:5" ht="31.5" customHeight="1">
      <c r="E63" s="21"/>
    </row>
    <row r="64" spans="5:5" ht="31.5" customHeight="1">
      <c r="E64" s="21"/>
    </row>
    <row r="65" spans="5:5" ht="31.5" customHeight="1">
      <c r="E65" s="21"/>
    </row>
    <row r="66" spans="5:5" ht="31.5" customHeight="1">
      <c r="E66" s="21"/>
    </row>
    <row r="67" spans="5:5" ht="31.5" customHeight="1">
      <c r="E67" s="21"/>
    </row>
    <row r="68" spans="5:5" ht="31.5" customHeight="1">
      <c r="E68" s="21"/>
    </row>
    <row r="69" spans="5:5" ht="31.5" customHeight="1">
      <c r="E69" s="21"/>
    </row>
    <row r="70" spans="5:5" ht="31.5" customHeight="1">
      <c r="E70" s="21"/>
    </row>
    <row r="71" spans="5:5" ht="31.5" customHeight="1">
      <c r="E71" s="21"/>
    </row>
    <row r="72" spans="5:5" ht="31.5" customHeight="1">
      <c r="E72" s="21"/>
    </row>
    <row r="73" spans="5:5" ht="31.5" customHeight="1">
      <c r="E73" s="21"/>
    </row>
    <row r="74" spans="5:5" ht="31.5" customHeight="1">
      <c r="E74" s="21"/>
    </row>
    <row r="75" spans="5:5" ht="30" customHeight="1">
      <c r="E75" s="21"/>
    </row>
    <row r="76" spans="5:5" ht="39" customHeight="1">
      <c r="E76" s="21"/>
    </row>
    <row r="77" spans="5:5">
      <c r="E77" s="21"/>
    </row>
    <row r="78" spans="5:5">
      <c r="E78" s="21"/>
    </row>
    <row r="79" spans="5:5">
      <c r="E79" s="21"/>
    </row>
    <row r="80" spans="5:5">
      <c r="E80" s="21"/>
    </row>
    <row r="81" spans="5:5">
      <c r="E81" s="21"/>
    </row>
    <row r="82" spans="5:5">
      <c r="E82" s="21"/>
    </row>
    <row r="83" spans="5:5">
      <c r="E83" s="21"/>
    </row>
  </sheetData>
  <mergeCells count="2">
    <mergeCell ref="A34:F34"/>
    <mergeCell ref="C32:C33"/>
  </mergeCells>
  <phoneticPr fontId="39" type="noConversion"/>
  <pageMargins left="0.70866141732283472" right="0.70866141732283472" top="0.74803149606299213" bottom="0.74803149606299213" header="0.31496062992125984" footer="0.31496062992125984"/>
  <pageSetup paperSize="9" scale="49" orientation="portrait" r:id="rId1"/>
  <headerFooter>
    <oddHeader>&amp;C&amp;"-,Bold"BURGERSFORT WWTW UPGRADE - ELECTRICAL AND INSTRUMENTATION WORKS</oddHeader>
    <oddFooter>&amp;LBill of Quantities&amp;CPage &amp;P&amp;RBurgersfort  WWTW</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B050"/>
  </sheetPr>
  <dimension ref="A1:G90"/>
  <sheetViews>
    <sheetView view="pageBreakPreview" topLeftCell="A3" zoomScale="138" zoomScaleNormal="125" zoomScaleSheetLayoutView="100" zoomScalePageLayoutView="90" workbookViewId="0">
      <selection activeCell="C18" sqref="C18"/>
    </sheetView>
  </sheetViews>
  <sheetFormatPr baseColWidth="10" defaultColWidth="9.1640625" defaultRowHeight="13"/>
  <cols>
    <col min="1" max="1" width="10.1640625" style="21" customWidth="1"/>
    <col min="2" max="2" width="13.6640625" style="21" customWidth="1"/>
    <col min="3" max="3" width="72.6640625" style="21" customWidth="1"/>
    <col min="4" max="4" width="13" style="21" customWidth="1"/>
    <col min="5" max="5" width="12.33203125" style="181" customWidth="1"/>
    <col min="6" max="6" width="15.1640625" style="21" customWidth="1"/>
    <col min="7" max="7" width="19.5" style="21" customWidth="1"/>
    <col min="8" max="16384" width="9.1640625" style="21"/>
  </cols>
  <sheetData>
    <row r="1" spans="1:7" ht="26.25" customHeight="1">
      <c r="A1" s="445" t="s">
        <v>0</v>
      </c>
      <c r="B1" s="444" t="s">
        <v>9</v>
      </c>
      <c r="C1" s="445" t="s">
        <v>1</v>
      </c>
      <c r="D1" s="445" t="s">
        <v>10</v>
      </c>
      <c r="E1" s="445" t="s">
        <v>11</v>
      </c>
      <c r="F1" s="445" t="s">
        <v>12</v>
      </c>
      <c r="G1" s="445" t="s">
        <v>13</v>
      </c>
    </row>
    <row r="2" spans="1:7" ht="30" customHeight="1">
      <c r="A2" s="343">
        <v>10</v>
      </c>
      <c r="B2" s="264"/>
      <c r="C2" s="339" t="s">
        <v>883</v>
      </c>
      <c r="D2" s="340"/>
      <c r="E2" s="341"/>
      <c r="F2" s="341"/>
      <c r="G2" s="433"/>
    </row>
    <row r="3" spans="1:7" ht="30" customHeight="1">
      <c r="A3" s="343"/>
      <c r="B3" s="338"/>
      <c r="C3" s="339"/>
      <c r="D3" s="340"/>
      <c r="E3" s="341"/>
      <c r="F3" s="341"/>
      <c r="G3" s="433"/>
    </row>
    <row r="4" spans="1:7" ht="37" customHeight="1">
      <c r="A4" s="343"/>
      <c r="B4" s="337"/>
      <c r="C4" s="339" t="s">
        <v>896</v>
      </c>
      <c r="D4" s="340"/>
      <c r="E4" s="341"/>
      <c r="F4" s="341"/>
      <c r="G4" s="446"/>
    </row>
    <row r="5" spans="1:7" ht="24.75" customHeight="1">
      <c r="A5" s="344"/>
      <c r="B5" s="13"/>
      <c r="C5" s="458"/>
      <c r="D5" s="340"/>
      <c r="E5" s="179"/>
      <c r="F5" s="341"/>
      <c r="G5" s="446"/>
    </row>
    <row r="6" spans="1:7" ht="30" customHeight="1">
      <c r="A6" s="345"/>
      <c r="B6" s="337"/>
      <c r="C6" s="274"/>
      <c r="D6" s="272"/>
      <c r="E6" s="346"/>
      <c r="F6" s="342"/>
      <c r="G6" s="446"/>
    </row>
    <row r="7" spans="1:7" ht="30" customHeight="1">
      <c r="A7" s="343">
        <v>10.1</v>
      </c>
      <c r="B7" s="264"/>
      <c r="C7" s="339" t="s">
        <v>884</v>
      </c>
      <c r="D7" s="272"/>
      <c r="E7" s="346"/>
      <c r="F7" s="342"/>
      <c r="G7" s="446"/>
    </row>
    <row r="8" spans="1:7" ht="30" customHeight="1">
      <c r="A8" s="344" t="s">
        <v>885</v>
      </c>
      <c r="B8" s="337"/>
      <c r="C8" s="274" t="s">
        <v>891</v>
      </c>
      <c r="D8" s="272" t="s">
        <v>837</v>
      </c>
      <c r="E8" s="50">
        <v>1</v>
      </c>
      <c r="F8" s="452"/>
      <c r="G8" s="450"/>
    </row>
    <row r="9" spans="1:7" ht="77.25" customHeight="1">
      <c r="A9" s="344" t="s">
        <v>886</v>
      </c>
      <c r="B9" s="337"/>
      <c r="C9" s="274" t="s">
        <v>901</v>
      </c>
      <c r="D9" s="272" t="s">
        <v>837</v>
      </c>
      <c r="E9" s="50">
        <v>1</v>
      </c>
      <c r="F9" s="452"/>
      <c r="G9" s="450"/>
    </row>
    <row r="10" spans="1:7" ht="37" customHeight="1">
      <c r="A10" s="344" t="s">
        <v>887</v>
      </c>
      <c r="B10" s="451"/>
      <c r="C10" s="274" t="s">
        <v>902</v>
      </c>
      <c r="D10" s="272" t="s">
        <v>837</v>
      </c>
      <c r="E10" s="50">
        <v>1</v>
      </c>
      <c r="F10" s="452"/>
      <c r="G10" s="450"/>
    </row>
    <row r="11" spans="1:7" ht="47" customHeight="1">
      <c r="A11" s="344" t="s">
        <v>892</v>
      </c>
      <c r="B11" s="264"/>
      <c r="C11" s="274" t="s">
        <v>903</v>
      </c>
      <c r="D11" s="272" t="s">
        <v>837</v>
      </c>
      <c r="E11" s="50">
        <v>1</v>
      </c>
      <c r="F11" s="452"/>
      <c r="G11" s="450"/>
    </row>
    <row r="12" spans="1:7" ht="27.75" customHeight="1">
      <c r="A12" s="344"/>
      <c r="B12" s="264"/>
      <c r="C12" s="274"/>
      <c r="D12" s="272"/>
      <c r="E12" s="50"/>
      <c r="F12" s="452"/>
      <c r="G12" s="450"/>
    </row>
    <row r="13" spans="1:7" ht="30" customHeight="1">
      <c r="A13" s="344"/>
      <c r="B13" s="264"/>
      <c r="C13" s="274"/>
      <c r="D13" s="459"/>
      <c r="E13" s="346"/>
      <c r="F13" s="342"/>
      <c r="G13" s="446"/>
    </row>
    <row r="14" spans="1:7" ht="30" customHeight="1">
      <c r="A14" s="347">
        <v>3.4</v>
      </c>
      <c r="B14" s="240"/>
      <c r="C14" s="339" t="s">
        <v>882</v>
      </c>
      <c r="D14" s="276"/>
      <c r="E14" s="14"/>
      <c r="F14" s="455"/>
      <c r="G14" s="454"/>
    </row>
    <row r="15" spans="1:7" ht="30.75" customHeight="1">
      <c r="A15" s="344" t="s">
        <v>442</v>
      </c>
      <c r="B15" s="240"/>
      <c r="C15" s="275" t="s">
        <v>923</v>
      </c>
      <c r="D15" s="276" t="s">
        <v>3</v>
      </c>
      <c r="E15" s="276">
        <v>1</v>
      </c>
      <c r="F15" s="455"/>
      <c r="G15" s="450"/>
    </row>
    <row r="16" spans="1:7" ht="30" customHeight="1">
      <c r="A16" s="344" t="s">
        <v>443</v>
      </c>
      <c r="B16" s="240"/>
      <c r="C16" s="275" t="s">
        <v>949</v>
      </c>
      <c r="D16" s="276" t="s">
        <v>3</v>
      </c>
      <c r="E16" s="276">
        <v>1</v>
      </c>
      <c r="F16" s="455"/>
      <c r="G16" s="450"/>
    </row>
    <row r="17" spans="1:7" ht="33" customHeight="1">
      <c r="A17" s="344" t="s">
        <v>521</v>
      </c>
      <c r="B17" s="240"/>
      <c r="C17" s="275" t="s">
        <v>881</v>
      </c>
      <c r="D17" s="276" t="s">
        <v>3</v>
      </c>
      <c r="E17" s="276">
        <v>1</v>
      </c>
      <c r="F17" s="455"/>
      <c r="G17" s="450"/>
    </row>
    <row r="18" spans="1:7" ht="35" customHeight="1">
      <c r="A18" s="344" t="s">
        <v>890</v>
      </c>
      <c r="B18" s="451"/>
      <c r="C18" s="274" t="s">
        <v>904</v>
      </c>
      <c r="D18" s="276" t="s">
        <v>3</v>
      </c>
      <c r="E18" s="276">
        <v>1</v>
      </c>
      <c r="F18" s="455"/>
      <c r="G18" s="450"/>
    </row>
    <row r="19" spans="1:7" ht="32.25" customHeight="1">
      <c r="A19" s="344"/>
      <c r="B19" s="264"/>
      <c r="C19" s="274"/>
      <c r="D19" s="272"/>
      <c r="E19" s="50"/>
      <c r="F19" s="452"/>
      <c r="G19" s="450"/>
    </row>
    <row r="20" spans="1:7" ht="25.5" customHeight="1">
      <c r="A20" s="347">
        <v>3.5</v>
      </c>
      <c r="B20" s="337"/>
      <c r="C20" s="339" t="s">
        <v>909</v>
      </c>
      <c r="D20" s="272"/>
      <c r="E20" s="14"/>
      <c r="F20" s="342"/>
      <c r="G20" s="446"/>
    </row>
    <row r="21" spans="1:7" ht="69" customHeight="1">
      <c r="A21" s="344" t="s">
        <v>910</v>
      </c>
      <c r="B21" s="337"/>
      <c r="C21" s="274" t="s">
        <v>914</v>
      </c>
      <c r="D21" s="276" t="s">
        <v>3</v>
      </c>
      <c r="E21" s="276">
        <v>1</v>
      </c>
      <c r="F21" s="455"/>
      <c r="G21" s="450"/>
    </row>
    <row r="22" spans="1:7" ht="38.25" customHeight="1">
      <c r="A22" s="344" t="s">
        <v>911</v>
      </c>
      <c r="B22" s="337"/>
      <c r="C22" s="274" t="s">
        <v>913</v>
      </c>
      <c r="D22" s="276" t="s">
        <v>3</v>
      </c>
      <c r="E22" s="276">
        <v>1</v>
      </c>
      <c r="F22" s="452"/>
      <c r="G22" s="450"/>
    </row>
    <row r="23" spans="1:7" ht="51" customHeight="1">
      <c r="A23" s="344" t="s">
        <v>912</v>
      </c>
      <c r="B23" s="451"/>
      <c r="C23" s="274" t="s">
        <v>915</v>
      </c>
      <c r="D23" s="276" t="s">
        <v>3</v>
      </c>
      <c r="E23" s="276">
        <v>1</v>
      </c>
      <c r="F23" s="452"/>
      <c r="G23" s="450"/>
    </row>
    <row r="24" spans="1:7" ht="32.25" customHeight="1">
      <c r="A24" s="344" t="s">
        <v>930</v>
      </c>
      <c r="B24" s="240"/>
      <c r="C24" s="275" t="s">
        <v>931</v>
      </c>
      <c r="D24" s="276" t="s">
        <v>3</v>
      </c>
      <c r="E24" s="276">
        <v>2</v>
      </c>
      <c r="F24" s="455"/>
      <c r="G24" s="454"/>
    </row>
    <row r="25" spans="1:7" ht="32.25" customHeight="1">
      <c r="A25" s="344"/>
      <c r="B25" s="240"/>
      <c r="C25" s="514"/>
      <c r="D25" s="479"/>
      <c r="E25" s="479"/>
      <c r="F25" s="455"/>
      <c r="G25" s="516"/>
    </row>
    <row r="26" spans="1:7" ht="32.25" customHeight="1">
      <c r="A26" s="344"/>
      <c r="B26" s="240"/>
      <c r="C26" s="339" t="s">
        <v>941</v>
      </c>
      <c r="D26" s="479"/>
      <c r="E26" s="479"/>
      <c r="F26" s="455"/>
      <c r="G26" s="516"/>
    </row>
    <row r="27" spans="1:7" ht="50" customHeight="1">
      <c r="A27" s="347" t="s">
        <v>940</v>
      </c>
      <c r="B27" s="240"/>
      <c r="C27" s="275" t="s">
        <v>942</v>
      </c>
      <c r="D27" s="337" t="s">
        <v>3</v>
      </c>
      <c r="E27" s="232">
        <v>1</v>
      </c>
      <c r="F27" s="434"/>
      <c r="G27" s="449"/>
    </row>
    <row r="28" spans="1:7" ht="32.25" customHeight="1">
      <c r="A28" s="347"/>
      <c r="B28" s="240"/>
      <c r="C28" s="514"/>
      <c r="D28" s="517"/>
      <c r="E28" s="232"/>
      <c r="F28" s="518"/>
      <c r="G28" s="519"/>
    </row>
    <row r="29" spans="1:7" ht="32.25" customHeight="1">
      <c r="A29" s="344"/>
      <c r="B29" s="240"/>
      <c r="C29" s="535" t="s">
        <v>879</v>
      </c>
      <c r="D29" s="276"/>
      <c r="E29" s="276"/>
      <c r="F29" s="455"/>
      <c r="G29" s="454"/>
    </row>
    <row r="30" spans="1:7" ht="16" customHeight="1">
      <c r="A30" s="347"/>
      <c r="B30" s="10"/>
      <c r="C30" s="536"/>
      <c r="D30" s="272"/>
      <c r="E30" s="14"/>
      <c r="F30" s="455"/>
      <c r="G30" s="454"/>
    </row>
    <row r="31" spans="1:7" ht="32.25" customHeight="1">
      <c r="A31" s="344"/>
      <c r="B31" s="15"/>
      <c r="C31" s="275"/>
      <c r="D31" s="276"/>
      <c r="E31" s="14"/>
      <c r="F31" s="455"/>
      <c r="G31" s="454"/>
    </row>
    <row r="32" spans="1:7" ht="32.25" customHeight="1">
      <c r="A32" s="344"/>
      <c r="B32" s="15"/>
      <c r="C32" s="275"/>
      <c r="D32" s="276"/>
      <c r="E32" s="14"/>
      <c r="F32" s="455"/>
      <c r="G32" s="454"/>
    </row>
    <row r="33" spans="1:7" ht="32.25" customHeight="1">
      <c r="A33" s="344"/>
      <c r="B33" s="10"/>
      <c r="C33" s="274"/>
      <c r="D33" s="219"/>
      <c r="E33" s="451"/>
      <c r="F33" s="342"/>
      <c r="G33" s="446"/>
    </row>
    <row r="34" spans="1:7" ht="32.25" customHeight="1">
      <c r="A34" s="344"/>
      <c r="B34" s="15"/>
      <c r="C34" s="275"/>
      <c r="D34" s="276"/>
      <c r="E34" s="14"/>
      <c r="F34" s="455"/>
      <c r="G34" s="454"/>
    </row>
    <row r="35" spans="1:7" ht="32.25" customHeight="1">
      <c r="A35" s="344"/>
      <c r="B35" s="15"/>
      <c r="C35" s="275"/>
      <c r="D35" s="276"/>
      <c r="E35" s="14"/>
      <c r="F35" s="455"/>
      <c r="G35" s="454"/>
    </row>
    <row r="36" spans="1:7" ht="32.25" customHeight="1">
      <c r="A36" s="344"/>
      <c r="B36" s="15"/>
      <c r="C36" s="275"/>
      <c r="D36" s="276"/>
      <c r="E36" s="14"/>
      <c r="F36" s="455"/>
      <c r="G36" s="454"/>
    </row>
    <row r="37" spans="1:7" ht="32.25" customHeight="1">
      <c r="A37" s="347"/>
      <c r="B37" s="10"/>
      <c r="C37" s="339"/>
      <c r="D37" s="276"/>
      <c r="E37" s="14"/>
      <c r="F37" s="455"/>
      <c r="G37" s="454"/>
    </row>
    <row r="38" spans="1:7" ht="32.25" customHeight="1">
      <c r="A38" s="344"/>
      <c r="B38" s="10"/>
      <c r="C38" s="274"/>
      <c r="D38" s="276"/>
      <c r="E38" s="14"/>
      <c r="F38" s="455"/>
      <c r="G38" s="454"/>
    </row>
    <row r="39" spans="1:7" ht="32.25" customHeight="1">
      <c r="A39" s="344"/>
      <c r="B39" s="10"/>
      <c r="C39" s="274"/>
      <c r="D39" s="276"/>
      <c r="E39" s="14"/>
      <c r="F39" s="456"/>
      <c r="G39" s="454"/>
    </row>
    <row r="40" spans="1:7" ht="32.25" customHeight="1">
      <c r="A40" s="344"/>
      <c r="B40" s="15"/>
      <c r="C40" s="275"/>
      <c r="D40" s="276"/>
      <c r="E40" s="14"/>
      <c r="F40" s="455"/>
      <c r="G40" s="454"/>
    </row>
    <row r="41" spans="1:7" ht="29.25" customHeight="1">
      <c r="A41" s="546" t="s">
        <v>54</v>
      </c>
      <c r="B41" s="547"/>
      <c r="C41" s="547"/>
      <c r="D41" s="547"/>
      <c r="E41" s="547"/>
      <c r="F41" s="548"/>
      <c r="G41" s="457"/>
    </row>
    <row r="42" spans="1:7" ht="27.75" customHeight="1">
      <c r="E42" s="21"/>
    </row>
    <row r="43" spans="1:7" ht="27.75" customHeight="1">
      <c r="E43" s="21"/>
    </row>
    <row r="44" spans="1:7" ht="27.75" customHeight="1">
      <c r="E44" s="21"/>
    </row>
    <row r="45" spans="1:7" ht="27.75" customHeight="1">
      <c r="E45" s="21"/>
    </row>
    <row r="46" spans="1:7" ht="31.5" customHeight="1">
      <c r="E46" s="21"/>
    </row>
    <row r="47" spans="1:7" ht="45.5" customHeight="1">
      <c r="E47" s="21"/>
    </row>
    <row r="48" spans="1:7" ht="31.5" customHeight="1">
      <c r="E48" s="21"/>
    </row>
    <row r="49" spans="5:5" ht="31.5" customHeight="1">
      <c r="E49" s="21"/>
    </row>
    <row r="50" spans="5:5" ht="31.5" customHeight="1">
      <c r="E50" s="21"/>
    </row>
    <row r="51" spans="5:5" ht="31.5" customHeight="1">
      <c r="E51" s="21"/>
    </row>
    <row r="52" spans="5:5" ht="31.5" customHeight="1">
      <c r="E52" s="21"/>
    </row>
    <row r="53" spans="5:5" ht="35.5" customHeight="1">
      <c r="E53" s="21"/>
    </row>
    <row r="54" spans="5:5" ht="34.75" customHeight="1">
      <c r="E54" s="21"/>
    </row>
    <row r="55" spans="5:5" ht="31.5" customHeight="1">
      <c r="E55" s="21"/>
    </row>
    <row r="56" spans="5:5" ht="31.5" customHeight="1">
      <c r="E56" s="21"/>
    </row>
    <row r="57" spans="5:5" ht="31.5" customHeight="1">
      <c r="E57" s="21"/>
    </row>
    <row r="58" spans="5:5" ht="31.5" customHeight="1">
      <c r="E58" s="21"/>
    </row>
    <row r="59" spans="5:5" ht="31.5" customHeight="1">
      <c r="E59" s="21"/>
    </row>
    <row r="60" spans="5:5" ht="31.5" customHeight="1">
      <c r="E60" s="21"/>
    </row>
    <row r="61" spans="5:5" ht="31.5" customHeight="1">
      <c r="E61" s="21"/>
    </row>
    <row r="62" spans="5:5" ht="31.5" customHeight="1">
      <c r="E62" s="21"/>
    </row>
    <row r="63" spans="5:5" ht="31.5" customHeight="1">
      <c r="E63" s="21"/>
    </row>
    <row r="64" spans="5:5" ht="31.5" customHeight="1">
      <c r="E64" s="21"/>
    </row>
    <row r="65" spans="5:5" ht="31.5" customHeight="1">
      <c r="E65" s="21"/>
    </row>
    <row r="66" spans="5:5" ht="31.5" customHeight="1">
      <c r="E66" s="21"/>
    </row>
    <row r="67" spans="5:5" ht="31.5" customHeight="1">
      <c r="E67" s="21"/>
    </row>
    <row r="68" spans="5:5" ht="31.5" customHeight="1">
      <c r="E68" s="21"/>
    </row>
    <row r="69" spans="5:5" ht="31.5" customHeight="1">
      <c r="E69" s="21"/>
    </row>
    <row r="70" spans="5:5" ht="31.5" customHeight="1">
      <c r="E70" s="21"/>
    </row>
    <row r="71" spans="5:5" ht="31.5" customHeight="1">
      <c r="E71" s="21"/>
    </row>
    <row r="72" spans="5:5" ht="31.5" customHeight="1">
      <c r="E72" s="21"/>
    </row>
    <row r="73" spans="5:5" ht="31.5" customHeight="1">
      <c r="E73" s="21"/>
    </row>
    <row r="74" spans="5:5" ht="31.5" customHeight="1">
      <c r="E74" s="21"/>
    </row>
    <row r="75" spans="5:5" ht="31.5" customHeight="1">
      <c r="E75" s="21"/>
    </row>
    <row r="76" spans="5:5" ht="31.5" customHeight="1">
      <c r="E76" s="21"/>
    </row>
    <row r="77" spans="5:5" ht="31.5" customHeight="1">
      <c r="E77" s="21"/>
    </row>
    <row r="78" spans="5:5" ht="31.5" customHeight="1">
      <c r="E78" s="21"/>
    </row>
    <row r="79" spans="5:5" ht="31.5" customHeight="1">
      <c r="E79" s="21"/>
    </row>
    <row r="80" spans="5:5" ht="31.5" customHeight="1">
      <c r="E80" s="21"/>
    </row>
    <row r="81" spans="5:5" ht="31.5" customHeight="1">
      <c r="E81" s="21"/>
    </row>
    <row r="82" spans="5:5" ht="30" customHeight="1">
      <c r="E82" s="21"/>
    </row>
    <row r="83" spans="5:5" ht="39" customHeight="1">
      <c r="E83" s="21"/>
    </row>
    <row r="84" spans="5:5">
      <c r="E84" s="21"/>
    </row>
    <row r="85" spans="5:5">
      <c r="E85" s="21"/>
    </row>
    <row r="86" spans="5:5">
      <c r="E86" s="21"/>
    </row>
    <row r="87" spans="5:5">
      <c r="E87" s="21"/>
    </row>
    <row r="88" spans="5:5">
      <c r="E88" s="21"/>
    </row>
    <row r="89" spans="5:5">
      <c r="E89" s="21"/>
    </row>
    <row r="90" spans="5:5">
      <c r="E90" s="21"/>
    </row>
  </sheetData>
  <mergeCells count="2">
    <mergeCell ref="A41:F41"/>
    <mergeCell ref="C29:C30"/>
  </mergeCells>
  <phoneticPr fontId="39" type="noConversion"/>
  <pageMargins left="0.70866141732283472" right="0.70866141732283472" top="0.74803149606299213" bottom="0.74803149606299213" header="0.31496062992125984" footer="0.31496062992125984"/>
  <pageSetup paperSize="9" scale="49" orientation="portrait" r:id="rId1"/>
  <headerFooter>
    <oddHeader>&amp;C&amp;"-,Bold"BURGERSFORT WWTW UPGRADE - OPERATION AND MAINTENANCE</oddHeader>
    <oddFooter>&amp;LBill of Quantities&amp;CPage &amp;P&amp;RBurgersfort  WWTW</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00B050"/>
  </sheetPr>
  <dimension ref="A1:G83"/>
  <sheetViews>
    <sheetView view="pageBreakPreview" zoomScaleNormal="125" zoomScaleSheetLayoutView="100" zoomScalePageLayoutView="90" workbookViewId="0">
      <selection activeCell="C2" sqref="C2"/>
    </sheetView>
  </sheetViews>
  <sheetFormatPr baseColWidth="10" defaultColWidth="9.1640625" defaultRowHeight="13"/>
  <cols>
    <col min="1" max="1" width="10.1640625" style="21" customWidth="1"/>
    <col min="2" max="2" width="13.6640625" style="21" customWidth="1"/>
    <col min="3" max="3" width="57.6640625" style="21" customWidth="1"/>
    <col min="4" max="4" width="17.5" style="21" customWidth="1"/>
    <col min="5" max="5" width="13.6640625" style="181" customWidth="1"/>
    <col min="6" max="6" width="17.6640625" style="21" customWidth="1"/>
    <col min="7" max="7" width="29" style="21" customWidth="1"/>
    <col min="8" max="16384" width="9.1640625" style="21"/>
  </cols>
  <sheetData>
    <row r="1" spans="1:7" ht="40" customHeight="1">
      <c r="A1" s="445" t="s">
        <v>0</v>
      </c>
      <c r="B1" s="444" t="s">
        <v>9</v>
      </c>
      <c r="C1" s="445" t="s">
        <v>1</v>
      </c>
      <c r="D1" s="445" t="s">
        <v>10</v>
      </c>
      <c r="E1" s="445" t="s">
        <v>11</v>
      </c>
      <c r="F1" s="445" t="s">
        <v>12</v>
      </c>
      <c r="G1" s="445" t="s">
        <v>13</v>
      </c>
    </row>
    <row r="2" spans="1:7" ht="30" customHeight="1">
      <c r="A2" s="343">
        <v>11</v>
      </c>
      <c r="B2" s="264" t="s">
        <v>572</v>
      </c>
      <c r="C2" s="339" t="s">
        <v>929</v>
      </c>
      <c r="D2" s="340"/>
      <c r="E2" s="341"/>
      <c r="F2" s="341"/>
      <c r="G2" s="433"/>
    </row>
    <row r="3" spans="1:7" ht="30" customHeight="1">
      <c r="A3" s="343"/>
      <c r="B3" s="264"/>
      <c r="C3" s="339"/>
      <c r="D3" s="340"/>
      <c r="E3" s="341"/>
      <c r="F3" s="341"/>
      <c r="G3" s="433"/>
    </row>
    <row r="4" spans="1:7" ht="30" customHeight="1">
      <c r="A4" s="343">
        <v>11.1</v>
      </c>
      <c r="B4" s="264" t="s">
        <v>573</v>
      </c>
      <c r="C4" s="339" t="s">
        <v>775</v>
      </c>
      <c r="D4" s="272"/>
      <c r="E4" s="346"/>
      <c r="F4" s="342"/>
      <c r="G4" s="446"/>
    </row>
    <row r="5" spans="1:7" ht="30" customHeight="1">
      <c r="A5" s="343"/>
      <c r="B5" s="338"/>
      <c r="C5" s="339"/>
      <c r="D5" s="272"/>
      <c r="E5" s="179"/>
      <c r="F5" s="341"/>
      <c r="G5" s="446"/>
    </row>
    <row r="6" spans="1:7" ht="29.25" customHeight="1">
      <c r="A6" s="344" t="s">
        <v>864</v>
      </c>
      <c r="B6" s="337"/>
      <c r="C6" s="274" t="s">
        <v>906</v>
      </c>
      <c r="D6" s="337" t="s">
        <v>773</v>
      </c>
      <c r="E6" s="232">
        <v>1</v>
      </c>
      <c r="F6" s="434">
        <v>250000</v>
      </c>
      <c r="G6" s="453">
        <f>F6*E6</f>
        <v>250000</v>
      </c>
    </row>
    <row r="7" spans="1:7" ht="27" customHeight="1">
      <c r="A7" s="344" t="s">
        <v>865</v>
      </c>
      <c r="B7" s="337"/>
      <c r="C7" s="274" t="s">
        <v>778</v>
      </c>
      <c r="D7" s="337" t="s">
        <v>773</v>
      </c>
      <c r="E7" s="232">
        <f>E6</f>
        <v>1</v>
      </c>
      <c r="F7" s="434">
        <v>150000</v>
      </c>
      <c r="G7" s="449">
        <f t="shared" ref="G7" si="0">E7*F7</f>
        <v>150000</v>
      </c>
    </row>
    <row r="8" spans="1:7" ht="35" customHeight="1">
      <c r="A8" s="344" t="s">
        <v>866</v>
      </c>
      <c r="B8" s="337"/>
      <c r="C8" s="274" t="s">
        <v>774</v>
      </c>
      <c r="D8" s="337" t="s">
        <v>773</v>
      </c>
      <c r="E8" s="70">
        <f>E7</f>
        <v>1</v>
      </c>
      <c r="F8" s="434">
        <f>300000</f>
        <v>300000</v>
      </c>
      <c r="G8" s="460">
        <f>F8*E8</f>
        <v>300000</v>
      </c>
    </row>
    <row r="9" spans="1:7" ht="35" customHeight="1">
      <c r="A9" s="344" t="s">
        <v>867</v>
      </c>
      <c r="B9" s="451"/>
      <c r="C9" s="274" t="s">
        <v>905</v>
      </c>
      <c r="D9" s="337" t="s">
        <v>773</v>
      </c>
      <c r="E9" s="70">
        <f>E8</f>
        <v>1</v>
      </c>
      <c r="F9" s="434">
        <v>300000</v>
      </c>
      <c r="G9" s="460">
        <f>F9*E9</f>
        <v>300000</v>
      </c>
    </row>
    <row r="10" spans="1:7" ht="35" customHeight="1">
      <c r="A10" s="344" t="s">
        <v>868</v>
      </c>
      <c r="B10" s="273"/>
      <c r="C10" s="274" t="s">
        <v>776</v>
      </c>
      <c r="D10" s="337" t="s">
        <v>773</v>
      </c>
      <c r="E10" s="70">
        <f>E9</f>
        <v>1</v>
      </c>
      <c r="F10" s="434">
        <v>250000</v>
      </c>
      <c r="G10" s="460">
        <f>F10*E10</f>
        <v>250000</v>
      </c>
    </row>
    <row r="11" spans="1:7" ht="35" customHeight="1">
      <c r="A11" s="344" t="s">
        <v>889</v>
      </c>
      <c r="B11" s="273"/>
      <c r="C11" s="274" t="s">
        <v>873</v>
      </c>
      <c r="D11" s="337" t="s">
        <v>773</v>
      </c>
      <c r="E11" s="434">
        <f>SUM(G6:G10)</f>
        <v>1250000</v>
      </c>
      <c r="F11" s="436">
        <v>0.1</v>
      </c>
      <c r="G11" s="446">
        <f>F11*E11</f>
        <v>125000</v>
      </c>
    </row>
    <row r="12" spans="1:7" ht="30" customHeight="1">
      <c r="A12" s="344"/>
      <c r="B12" s="264"/>
      <c r="C12" s="274"/>
      <c r="D12" s="459"/>
      <c r="E12" s="346"/>
      <c r="F12" s="342"/>
      <c r="G12" s="446"/>
    </row>
    <row r="13" spans="1:7" ht="30" customHeight="1">
      <c r="A13" s="343">
        <v>11.2</v>
      </c>
      <c r="B13" s="264" t="s">
        <v>573</v>
      </c>
      <c r="C13" s="339" t="s">
        <v>335</v>
      </c>
      <c r="D13" s="276"/>
      <c r="E13" s="14"/>
      <c r="F13" s="342"/>
      <c r="G13" s="454"/>
    </row>
    <row r="14" spans="1:7" ht="31.5" customHeight="1">
      <c r="A14" s="344"/>
      <c r="B14" s="337"/>
      <c r="C14" s="274"/>
      <c r="D14" s="276"/>
      <c r="E14" s="14"/>
      <c r="F14" s="341"/>
      <c r="G14" s="454"/>
    </row>
    <row r="15" spans="1:7" ht="39" customHeight="1">
      <c r="A15" s="344" t="s">
        <v>869</v>
      </c>
      <c r="B15" s="337"/>
      <c r="C15" s="274" t="s">
        <v>872</v>
      </c>
      <c r="D15" s="337" t="s">
        <v>773</v>
      </c>
      <c r="E15" s="232">
        <v>1</v>
      </c>
      <c r="F15" s="434">
        <v>100000</v>
      </c>
      <c r="G15" s="449">
        <f>E15*F15</f>
        <v>100000</v>
      </c>
    </row>
    <row r="16" spans="1:7" ht="33" customHeight="1">
      <c r="A16" s="344"/>
      <c r="B16" s="337"/>
      <c r="C16" s="274"/>
      <c r="D16" s="272"/>
      <c r="E16" s="14"/>
      <c r="F16" s="342"/>
      <c r="G16" s="454"/>
    </row>
    <row r="17" spans="1:7" ht="40" customHeight="1">
      <c r="A17" s="343">
        <v>11.3</v>
      </c>
      <c r="B17" s="451"/>
      <c r="C17" s="339" t="s">
        <v>924</v>
      </c>
      <c r="D17" s="337"/>
      <c r="E17" s="232"/>
      <c r="F17" s="434"/>
      <c r="G17" s="449"/>
    </row>
    <row r="18" spans="1:7" ht="76.5" customHeight="1">
      <c r="A18" s="343"/>
      <c r="B18" s="273"/>
      <c r="C18" s="458" t="s">
        <v>871</v>
      </c>
      <c r="D18" s="337"/>
      <c r="E18" s="232"/>
      <c r="F18" s="434"/>
      <c r="G18" s="449"/>
    </row>
    <row r="19" spans="1:7" ht="44" customHeight="1">
      <c r="A19" s="344" t="s">
        <v>870</v>
      </c>
      <c r="B19" s="264"/>
      <c r="C19" s="274" t="s">
        <v>925</v>
      </c>
      <c r="D19" s="337" t="s">
        <v>3</v>
      </c>
      <c r="E19" s="232">
        <v>1</v>
      </c>
      <c r="F19" s="434"/>
      <c r="G19" s="449"/>
    </row>
    <row r="20" spans="1:7" ht="35" customHeight="1">
      <c r="A20" s="344"/>
      <c r="B20" s="15"/>
      <c r="C20" s="275"/>
      <c r="D20" s="272"/>
      <c r="E20" s="14"/>
      <c r="F20" s="342"/>
      <c r="G20" s="454"/>
    </row>
    <row r="21" spans="1:7" ht="35" customHeight="1">
      <c r="A21" s="343">
        <v>11.4</v>
      </c>
      <c r="B21" s="15"/>
      <c r="C21" s="339" t="s">
        <v>927</v>
      </c>
      <c r="D21" s="337" t="s">
        <v>773</v>
      </c>
      <c r="E21" s="232">
        <v>1</v>
      </c>
      <c r="F21" s="434">
        <v>15770000</v>
      </c>
      <c r="G21" s="454">
        <f>F21*E21</f>
        <v>15770000</v>
      </c>
    </row>
    <row r="22" spans="1:7" ht="35" customHeight="1">
      <c r="A22" s="344" t="s">
        <v>926</v>
      </c>
      <c r="B22" s="15"/>
      <c r="C22" s="274" t="s">
        <v>873</v>
      </c>
      <c r="D22" s="337" t="s">
        <v>3</v>
      </c>
      <c r="E22" s="434">
        <f>SUM(G17:G21)</f>
        <v>15770000</v>
      </c>
      <c r="F22" s="436">
        <v>0.1</v>
      </c>
      <c r="G22" s="446">
        <f>F22*E22</f>
        <v>1577000</v>
      </c>
    </row>
    <row r="23" spans="1:7" ht="59" customHeight="1">
      <c r="A23" s="344"/>
      <c r="B23" s="15"/>
      <c r="C23" s="275" t="s">
        <v>928</v>
      </c>
      <c r="D23" s="272"/>
      <c r="E23" s="14"/>
      <c r="F23" s="342"/>
      <c r="G23" s="454"/>
    </row>
    <row r="24" spans="1:7" ht="34" customHeight="1">
      <c r="A24" s="344"/>
      <c r="B24" s="15"/>
      <c r="C24" s="514"/>
      <c r="D24" s="481"/>
      <c r="E24" s="14"/>
      <c r="F24" s="515"/>
      <c r="G24" s="516"/>
    </row>
    <row r="25" spans="1:7" ht="34" customHeight="1">
      <c r="A25" s="343"/>
      <c r="B25" s="15"/>
      <c r="C25" s="275"/>
      <c r="D25" s="337"/>
      <c r="E25" s="232"/>
      <c r="F25" s="434"/>
      <c r="G25" s="449"/>
    </row>
    <row r="26" spans="1:7" ht="34" customHeight="1">
      <c r="A26" s="344"/>
      <c r="B26" s="15"/>
      <c r="C26" s="275"/>
      <c r="D26" s="272"/>
      <c r="E26" s="14"/>
      <c r="F26" s="342"/>
      <c r="G26" s="454"/>
    </row>
    <row r="27" spans="1:7" ht="34" customHeight="1">
      <c r="A27" s="344"/>
      <c r="B27" s="451"/>
      <c r="C27" s="535" t="s">
        <v>879</v>
      </c>
      <c r="D27" s="272"/>
      <c r="E27" s="50"/>
      <c r="F27" s="342"/>
      <c r="G27" s="450"/>
    </row>
    <row r="28" spans="1:7" ht="34" customHeight="1">
      <c r="A28" s="344"/>
      <c r="B28" s="15"/>
      <c r="C28" s="536"/>
      <c r="D28" s="272"/>
      <c r="E28" s="14"/>
      <c r="F28" s="341"/>
      <c r="G28" s="454"/>
    </row>
    <row r="29" spans="1:7" ht="34" customHeight="1">
      <c r="A29" s="344"/>
      <c r="B29" s="15"/>
      <c r="C29" s="275"/>
      <c r="D29" s="272"/>
      <c r="E29" s="14"/>
      <c r="F29" s="342"/>
      <c r="G29" s="454"/>
    </row>
    <row r="30" spans="1:7" ht="34" customHeight="1">
      <c r="A30" s="344"/>
      <c r="B30" s="15"/>
      <c r="C30" s="275"/>
      <c r="D30" s="272"/>
      <c r="E30" s="14"/>
      <c r="F30" s="342"/>
      <c r="G30" s="454"/>
    </row>
    <row r="31" spans="1:7" ht="34" customHeight="1">
      <c r="A31" s="347"/>
      <c r="B31" s="10"/>
      <c r="C31" s="348"/>
      <c r="D31" s="272"/>
      <c r="E31" s="14"/>
      <c r="F31" s="341"/>
      <c r="G31" s="454"/>
    </row>
    <row r="32" spans="1:7" ht="34" customHeight="1">
      <c r="A32" s="344"/>
      <c r="B32" s="15"/>
      <c r="C32" s="275"/>
      <c r="D32" s="276"/>
      <c r="E32" s="14"/>
      <c r="F32" s="341"/>
      <c r="G32" s="454"/>
    </row>
    <row r="33" spans="1:7" ht="34" customHeight="1">
      <c r="A33" s="344"/>
      <c r="B33" s="10"/>
      <c r="C33" s="274"/>
      <c r="D33" s="276"/>
      <c r="E33" s="14"/>
      <c r="F33" s="342"/>
      <c r="G33" s="454"/>
    </row>
    <row r="34" spans="1:7" ht="45" customHeight="1">
      <c r="A34" s="546" t="s">
        <v>54</v>
      </c>
      <c r="B34" s="547"/>
      <c r="C34" s="547"/>
      <c r="D34" s="547"/>
      <c r="E34" s="547"/>
      <c r="F34" s="548"/>
      <c r="G34" s="457">
        <f>SUM(G2:G33)</f>
        <v>18822000</v>
      </c>
    </row>
    <row r="35" spans="1:7" ht="27.75" customHeight="1">
      <c r="E35" s="21"/>
    </row>
    <row r="36" spans="1:7" ht="27.75" customHeight="1">
      <c r="E36" s="21"/>
    </row>
    <row r="37" spans="1:7" ht="27.75" customHeight="1">
      <c r="E37" s="21"/>
    </row>
    <row r="38" spans="1:7" ht="27.75" customHeight="1">
      <c r="E38" s="21"/>
    </row>
    <row r="39" spans="1:7" ht="31.5" customHeight="1">
      <c r="E39" s="21"/>
    </row>
    <row r="40" spans="1:7" ht="45.5" customHeight="1">
      <c r="E40" s="21"/>
    </row>
    <row r="41" spans="1:7" ht="31.5" customHeight="1">
      <c r="E41" s="21"/>
    </row>
    <row r="42" spans="1:7" ht="31.5" customHeight="1">
      <c r="E42" s="21"/>
    </row>
    <row r="43" spans="1:7" ht="31.5" customHeight="1">
      <c r="E43" s="21"/>
    </row>
    <row r="44" spans="1:7" ht="31.5" customHeight="1">
      <c r="E44" s="21"/>
    </row>
    <row r="45" spans="1:7" ht="31.5" customHeight="1">
      <c r="E45" s="21"/>
    </row>
    <row r="46" spans="1:7" ht="35.5" customHeight="1">
      <c r="E46" s="21"/>
    </row>
    <row r="47" spans="1:7" ht="34.75" customHeight="1">
      <c r="E47" s="21"/>
    </row>
    <row r="48" spans="1:7" ht="31.5" customHeight="1">
      <c r="E48" s="21"/>
    </row>
    <row r="49" spans="5:5" ht="31.5" customHeight="1">
      <c r="E49" s="21"/>
    </row>
    <row r="50" spans="5:5" ht="31.5" customHeight="1">
      <c r="E50" s="21"/>
    </row>
    <row r="51" spans="5:5" ht="31.5" customHeight="1">
      <c r="E51" s="21"/>
    </row>
    <row r="52" spans="5:5" ht="31.5" customHeight="1">
      <c r="E52" s="21"/>
    </row>
    <row r="53" spans="5:5" ht="31.5" customHeight="1">
      <c r="E53" s="21"/>
    </row>
    <row r="54" spans="5:5" ht="31.5" customHeight="1">
      <c r="E54" s="21"/>
    </row>
    <row r="55" spans="5:5" ht="31.5" customHeight="1">
      <c r="E55" s="21"/>
    </row>
    <row r="56" spans="5:5" ht="31.5" customHeight="1">
      <c r="E56" s="21"/>
    </row>
    <row r="57" spans="5:5" ht="31.5" customHeight="1">
      <c r="E57" s="21"/>
    </row>
    <row r="58" spans="5:5" ht="31.5" customHeight="1">
      <c r="E58" s="21"/>
    </row>
    <row r="59" spans="5:5" ht="31.5" customHeight="1">
      <c r="E59" s="21"/>
    </row>
    <row r="60" spans="5:5" ht="31.5" customHeight="1">
      <c r="E60" s="21"/>
    </row>
    <row r="61" spans="5:5" ht="31.5" customHeight="1">
      <c r="E61" s="21"/>
    </row>
    <row r="62" spans="5:5" ht="31.5" customHeight="1">
      <c r="E62" s="21"/>
    </row>
    <row r="63" spans="5:5" ht="31.5" customHeight="1">
      <c r="E63" s="21"/>
    </row>
    <row r="64" spans="5:5" ht="31.5" customHeight="1">
      <c r="E64" s="21"/>
    </row>
    <row r="65" spans="5:5" ht="31.5" customHeight="1">
      <c r="E65" s="21"/>
    </row>
    <row r="66" spans="5:5" ht="31.5" customHeight="1">
      <c r="E66" s="21"/>
    </row>
    <row r="67" spans="5:5" ht="31.5" customHeight="1">
      <c r="E67" s="21"/>
    </row>
    <row r="68" spans="5:5" ht="31.5" customHeight="1">
      <c r="E68" s="21"/>
    </row>
    <row r="69" spans="5:5" ht="31.5" customHeight="1">
      <c r="E69" s="21"/>
    </row>
    <row r="70" spans="5:5" ht="31.5" customHeight="1">
      <c r="E70" s="21"/>
    </row>
    <row r="71" spans="5:5" ht="31.5" customHeight="1">
      <c r="E71" s="21"/>
    </row>
    <row r="72" spans="5:5" ht="31.5" customHeight="1">
      <c r="E72" s="21"/>
    </row>
    <row r="73" spans="5:5" ht="31.5" customHeight="1">
      <c r="E73" s="21"/>
    </row>
    <row r="74" spans="5:5" ht="31.5" customHeight="1">
      <c r="E74" s="21"/>
    </row>
    <row r="75" spans="5:5" ht="30" customHeight="1">
      <c r="E75" s="21"/>
    </row>
    <row r="76" spans="5:5" ht="39" customHeight="1">
      <c r="E76" s="21"/>
    </row>
    <row r="77" spans="5:5">
      <c r="E77" s="21"/>
    </row>
    <row r="78" spans="5:5">
      <c r="E78" s="21"/>
    </row>
    <row r="79" spans="5:5">
      <c r="E79" s="21"/>
    </row>
    <row r="80" spans="5:5">
      <c r="E80" s="21"/>
    </row>
    <row r="81" spans="5:5">
      <c r="E81" s="21"/>
    </row>
    <row r="82" spans="5:5">
      <c r="E82" s="21"/>
    </row>
    <row r="83" spans="5:5">
      <c r="E83" s="21"/>
    </row>
  </sheetData>
  <mergeCells count="2">
    <mergeCell ref="A34:F34"/>
    <mergeCell ref="C27:C28"/>
  </mergeCells>
  <pageMargins left="0.70866141732283505" right="0.70866141732283505" top="0.74803149606299202" bottom="0.74803149606299202" header="0.31496062992126" footer="0.31496062992126"/>
  <pageSetup paperSize="9" scale="51" firstPageNumber="131" orientation="portrait" useFirstPageNumber="1" r:id="rId1"/>
  <headerFooter>
    <oddHeader>&amp;C&amp;"-,Bold"BURGERSFORT WWTW UPGRADE - DESIGN AND QUALITY ASSURANCE ENGINEERING FEES</oddHeader>
    <oddFooter>&amp;L&amp;"Calibri,Regular"&amp;K000000Bill of Quantities&amp;C&amp;"Calibri,Regular"&amp;K000000136&amp;R&amp;"Calibri,Regular"&amp;K000000Burgersfort  WWTW</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00B050"/>
  </sheetPr>
  <dimension ref="A1:G36"/>
  <sheetViews>
    <sheetView view="pageLayout" topLeftCell="A25" zoomScale="125" zoomScaleNormal="125" zoomScaleSheetLayoutView="125" zoomScalePageLayoutView="125" workbookViewId="0">
      <selection activeCell="C6" sqref="C6"/>
    </sheetView>
  </sheetViews>
  <sheetFormatPr baseColWidth="10" defaultColWidth="9.1640625" defaultRowHeight="13"/>
  <cols>
    <col min="1" max="1" width="8.1640625" style="21" customWidth="1"/>
    <col min="2" max="2" width="10.6640625" style="21" customWidth="1"/>
    <col min="3" max="3" width="53.6640625" style="21" bestFit="1" customWidth="1"/>
    <col min="4" max="4" width="11.33203125" style="21" customWidth="1"/>
    <col min="5" max="6" width="11.5" style="21" customWidth="1"/>
    <col min="7" max="7" width="13.5" style="21" customWidth="1"/>
    <col min="8" max="11" width="9.1640625" style="21"/>
    <col min="12" max="12" width="15.6640625" style="21" bestFit="1" customWidth="1"/>
    <col min="13" max="16384" width="9.1640625" style="21"/>
  </cols>
  <sheetData>
    <row r="1" spans="1:7">
      <c r="A1" s="15"/>
      <c r="B1" s="15"/>
      <c r="C1" s="15"/>
      <c r="D1" s="15"/>
      <c r="E1" s="15"/>
      <c r="F1" s="20"/>
      <c r="G1" s="20"/>
    </row>
    <row r="2" spans="1:7" ht="26.25" customHeight="1">
      <c r="A2" s="1" t="s">
        <v>0</v>
      </c>
      <c r="B2" s="1" t="s">
        <v>9</v>
      </c>
      <c r="C2" s="2" t="s">
        <v>1</v>
      </c>
      <c r="D2" s="2" t="s">
        <v>10</v>
      </c>
      <c r="E2" s="2" t="s">
        <v>11</v>
      </c>
      <c r="F2" s="2" t="s">
        <v>12</v>
      </c>
      <c r="G2" s="2" t="s">
        <v>13</v>
      </c>
    </row>
    <row r="3" spans="1:7" ht="30" customHeight="1">
      <c r="A3" s="3"/>
      <c r="B3" s="3"/>
      <c r="C3" s="4"/>
      <c r="D3" s="5"/>
      <c r="E3" s="5"/>
      <c r="F3" s="5"/>
      <c r="G3" s="5"/>
    </row>
    <row r="4" spans="1:7" ht="27.75" customHeight="1">
      <c r="A4" s="3">
        <v>4</v>
      </c>
      <c r="B4" s="3"/>
      <c r="C4" s="4" t="s">
        <v>238</v>
      </c>
      <c r="D4" s="3"/>
      <c r="E4" s="3"/>
      <c r="F4" s="3"/>
      <c r="G4" s="3"/>
    </row>
    <row r="5" spans="1:7" ht="33" customHeight="1">
      <c r="A5" s="7">
        <v>4.0999999999999996</v>
      </c>
      <c r="B5" s="3"/>
      <c r="C5" s="11" t="s">
        <v>431</v>
      </c>
      <c r="D5" s="7" t="s">
        <v>430</v>
      </c>
      <c r="E5" s="7">
        <v>10</v>
      </c>
      <c r="F5" s="182">
        <v>4000</v>
      </c>
      <c r="G5" s="182">
        <f t="shared" ref="G5:G11" si="0">E5*F5</f>
        <v>40000</v>
      </c>
    </row>
    <row r="6" spans="1:7" ht="30.5" customHeight="1">
      <c r="A6" s="7">
        <v>4.2</v>
      </c>
      <c r="B6" s="6"/>
      <c r="C6" s="11" t="s">
        <v>432</v>
      </c>
      <c r="D6" s="7" t="s">
        <v>433</v>
      </c>
      <c r="E6" s="7">
        <v>45</v>
      </c>
      <c r="F6" s="182">
        <v>800</v>
      </c>
      <c r="G6" s="182">
        <f t="shared" si="0"/>
        <v>36000</v>
      </c>
    </row>
    <row r="7" spans="1:7" ht="27.75" customHeight="1">
      <c r="A7" s="7">
        <v>4.3</v>
      </c>
      <c r="B7" s="10"/>
      <c r="C7" s="11" t="s">
        <v>434</v>
      </c>
      <c r="D7" s="7" t="s">
        <v>435</v>
      </c>
      <c r="E7" s="7">
        <v>1</v>
      </c>
      <c r="F7" s="182">
        <v>80000</v>
      </c>
      <c r="G7" s="182">
        <f t="shared" si="0"/>
        <v>80000</v>
      </c>
    </row>
    <row r="8" spans="1:7" ht="27.75" customHeight="1">
      <c r="A8" s="7">
        <v>4.4000000000000004</v>
      </c>
      <c r="B8" s="13"/>
      <c r="C8" s="11" t="s">
        <v>436</v>
      </c>
      <c r="D8" s="7" t="s">
        <v>430</v>
      </c>
      <c r="E8" s="7">
        <v>1</v>
      </c>
      <c r="F8" s="182">
        <v>55000</v>
      </c>
      <c r="G8" s="182">
        <f t="shared" si="0"/>
        <v>55000</v>
      </c>
    </row>
    <row r="9" spans="1:7" ht="27.75" customHeight="1">
      <c r="A9" s="7">
        <v>4.5</v>
      </c>
      <c r="B9" s="183"/>
      <c r="C9" s="19" t="s">
        <v>437</v>
      </c>
      <c r="D9" s="103" t="s">
        <v>214</v>
      </c>
      <c r="E9" s="100">
        <v>1</v>
      </c>
      <c r="F9" s="22">
        <v>15000</v>
      </c>
      <c r="G9" s="182">
        <f t="shared" si="0"/>
        <v>15000</v>
      </c>
    </row>
    <row r="10" spans="1:7" ht="30" customHeight="1">
      <c r="A10" s="7">
        <v>4.5999999999999996</v>
      </c>
      <c r="B10" s="183"/>
      <c r="C10" s="19" t="s">
        <v>438</v>
      </c>
      <c r="D10" s="103" t="s">
        <v>214</v>
      </c>
      <c r="E10" s="100">
        <v>1</v>
      </c>
      <c r="F10" s="22">
        <v>30000</v>
      </c>
      <c r="G10" s="105">
        <f t="shared" si="0"/>
        <v>30000</v>
      </c>
    </row>
    <row r="11" spans="1:7" ht="31.75" customHeight="1">
      <c r="A11" s="7">
        <v>4.7</v>
      </c>
      <c r="B11" s="13"/>
      <c r="C11" s="184" t="s">
        <v>445</v>
      </c>
      <c r="D11" s="9" t="s">
        <v>395</v>
      </c>
      <c r="E11" s="14">
        <v>1</v>
      </c>
      <c r="F11" s="191">
        <v>150000</v>
      </c>
      <c r="G11" s="187">
        <f t="shared" si="0"/>
        <v>150000</v>
      </c>
    </row>
    <row r="12" spans="1:7" ht="28.25" customHeight="1">
      <c r="A12" s="221"/>
      <c r="B12" s="13"/>
      <c r="C12" s="184"/>
      <c r="D12" s="185"/>
      <c r="E12" s="14"/>
      <c r="F12" s="186"/>
      <c r="G12" s="187"/>
    </row>
    <row r="13" spans="1:7" ht="28.25" customHeight="1">
      <c r="A13" s="221"/>
      <c r="B13" s="13"/>
      <c r="C13" s="184"/>
      <c r="D13" s="185"/>
      <c r="E13" s="14"/>
      <c r="F13" s="186"/>
      <c r="G13" s="187"/>
    </row>
    <row r="14" spans="1:7" ht="28.25" customHeight="1">
      <c r="A14" s="221"/>
      <c r="B14" s="13"/>
      <c r="C14" s="184"/>
      <c r="D14" s="185"/>
      <c r="E14" s="14"/>
      <c r="F14" s="186"/>
      <c r="G14" s="187"/>
    </row>
    <row r="15" spans="1:7" ht="28.25" customHeight="1">
      <c r="A15" s="221"/>
      <c r="B15" s="13"/>
      <c r="C15" s="184"/>
      <c r="D15" s="185"/>
      <c r="E15" s="14"/>
      <c r="F15" s="186"/>
      <c r="G15" s="187"/>
    </row>
    <row r="16" spans="1:7" ht="28.25" customHeight="1">
      <c r="A16" s="221"/>
      <c r="B16" s="13"/>
      <c r="C16" s="184"/>
      <c r="D16" s="185"/>
      <c r="E16" s="14"/>
      <c r="F16" s="186"/>
      <c r="G16" s="187"/>
    </row>
    <row r="17" spans="1:7" ht="28.25" customHeight="1">
      <c r="A17" s="221"/>
      <c r="B17" s="13"/>
      <c r="C17" s="184"/>
      <c r="D17" s="185"/>
      <c r="E17" s="14"/>
      <c r="F17" s="186"/>
      <c r="G17" s="187"/>
    </row>
    <row r="18" spans="1:7" ht="28.25" customHeight="1">
      <c r="A18" s="221"/>
      <c r="B18" s="13"/>
      <c r="C18" s="184"/>
      <c r="D18" s="185"/>
      <c r="E18" s="14"/>
      <c r="F18" s="186"/>
      <c r="G18" s="187"/>
    </row>
    <row r="19" spans="1:7" ht="28.25" customHeight="1">
      <c r="A19" s="221"/>
      <c r="B19" s="13"/>
      <c r="C19" s="184"/>
      <c r="D19" s="185"/>
      <c r="E19" s="14"/>
      <c r="F19" s="186"/>
      <c r="G19" s="187"/>
    </row>
    <row r="20" spans="1:7" ht="28.25" customHeight="1">
      <c r="A20" s="221"/>
      <c r="B20" s="13"/>
      <c r="C20" s="184"/>
      <c r="D20" s="185"/>
      <c r="E20" s="14"/>
      <c r="F20" s="186"/>
      <c r="G20" s="187"/>
    </row>
    <row r="21" spans="1:7" ht="28.25" customHeight="1">
      <c r="A21" s="221"/>
      <c r="B21" s="13"/>
      <c r="C21" s="184"/>
      <c r="D21" s="185"/>
      <c r="E21" s="14"/>
      <c r="F21" s="186"/>
      <c r="G21" s="187"/>
    </row>
    <row r="22" spans="1:7" ht="28.25" customHeight="1">
      <c r="A22" s="221"/>
      <c r="B22" s="13"/>
      <c r="C22" s="184"/>
      <c r="D22" s="185"/>
      <c r="E22" s="14"/>
      <c r="F22" s="186"/>
      <c r="G22" s="187"/>
    </row>
    <row r="23" spans="1:7" ht="28.25" customHeight="1">
      <c r="A23" s="221"/>
      <c r="B23" s="13"/>
      <c r="C23" s="184"/>
      <c r="D23" s="185"/>
      <c r="E23" s="14"/>
      <c r="F23" s="186"/>
      <c r="G23" s="187"/>
    </row>
    <row r="24" spans="1:7" ht="28.25" customHeight="1">
      <c r="A24" s="221"/>
      <c r="B24" s="13"/>
      <c r="C24" s="184"/>
      <c r="D24" s="185"/>
      <c r="E24" s="14"/>
      <c r="F24" s="186"/>
      <c r="G24" s="187"/>
    </row>
    <row r="25" spans="1:7" ht="28.25" customHeight="1">
      <c r="A25" s="221"/>
      <c r="B25" s="13"/>
      <c r="C25" s="184"/>
      <c r="D25" s="185"/>
      <c r="E25" s="14"/>
      <c r="F25" s="186"/>
      <c r="G25" s="187"/>
    </row>
    <row r="26" spans="1:7" ht="28.25" customHeight="1">
      <c r="A26" s="221"/>
      <c r="B26" s="13"/>
      <c r="C26" s="184"/>
      <c r="D26" s="185"/>
      <c r="E26" s="14"/>
      <c r="F26" s="186"/>
      <c r="G26" s="187"/>
    </row>
    <row r="27" spans="1:7" ht="28.25" customHeight="1">
      <c r="A27" s="221"/>
      <c r="B27" s="13"/>
      <c r="C27" s="184"/>
      <c r="D27" s="185"/>
      <c r="E27" s="14"/>
      <c r="F27" s="186"/>
      <c r="G27" s="187"/>
    </row>
    <row r="28" spans="1:7" ht="28.25" customHeight="1">
      <c r="A28" s="221"/>
      <c r="B28" s="13"/>
      <c r="C28" s="184"/>
      <c r="D28" s="185"/>
      <c r="E28" s="14"/>
      <c r="F28" s="186"/>
      <c r="G28" s="187"/>
    </row>
    <row r="29" spans="1:7" ht="28.25" customHeight="1">
      <c r="A29" s="221"/>
      <c r="B29" s="13"/>
      <c r="C29" s="184"/>
      <c r="D29" s="185"/>
      <c r="E29" s="14"/>
      <c r="F29" s="186"/>
      <c r="G29" s="187"/>
    </row>
    <row r="30" spans="1:7" ht="28.25" customHeight="1">
      <c r="A30" s="221"/>
      <c r="B30" s="13"/>
      <c r="C30" s="184"/>
      <c r="D30" s="185"/>
      <c r="E30" s="14"/>
      <c r="F30" s="186"/>
      <c r="G30" s="187"/>
    </row>
    <row r="31" spans="1:7" ht="30" customHeight="1">
      <c r="A31" s="9"/>
      <c r="B31" s="10"/>
      <c r="C31" s="11"/>
      <c r="D31" s="9"/>
      <c r="E31" s="14"/>
      <c r="F31" s="22"/>
      <c r="G31" s="8"/>
    </row>
    <row r="32" spans="1:7" ht="30" customHeight="1">
      <c r="A32" s="9"/>
      <c r="B32" s="10"/>
      <c r="C32" s="11"/>
      <c r="D32" s="9"/>
      <c r="E32" s="14"/>
      <c r="F32" s="22"/>
      <c r="G32" s="8"/>
    </row>
    <row r="33" spans="1:7" ht="30" customHeight="1">
      <c r="A33" s="185"/>
      <c r="B33" s="10"/>
      <c r="C33" s="184"/>
      <c r="D33" s="185"/>
      <c r="E33" s="14"/>
      <c r="F33" s="222"/>
      <c r="G33" s="187"/>
    </row>
    <row r="34" spans="1:7" ht="30" customHeight="1">
      <c r="A34" s="9"/>
      <c r="B34" s="10"/>
      <c r="C34" s="11"/>
      <c r="D34" s="9"/>
      <c r="E34" s="14"/>
      <c r="F34" s="22"/>
      <c r="G34" s="8"/>
    </row>
    <row r="35" spans="1:7" ht="30" customHeight="1">
      <c r="A35" s="9"/>
      <c r="B35" s="15"/>
      <c r="C35" s="16"/>
      <c r="D35" s="9"/>
      <c r="E35" s="14"/>
      <c r="F35" s="12"/>
      <c r="G35" s="8"/>
    </row>
    <row r="36" spans="1:7" ht="30" customHeight="1">
      <c r="A36" s="532" t="s">
        <v>54</v>
      </c>
      <c r="B36" s="533"/>
      <c r="C36" s="533"/>
      <c r="D36" s="533"/>
      <c r="E36" s="533"/>
      <c r="F36" s="534"/>
      <c r="G36" s="17">
        <f>SUM(G4:G35)</f>
        <v>406000</v>
      </c>
    </row>
  </sheetData>
  <mergeCells count="1">
    <mergeCell ref="A36:F36"/>
  </mergeCells>
  <phoneticPr fontId="39" type="noConversion"/>
  <pageMargins left="0.70866141732283472" right="0.70866141732283472" top="0.74803149606299213" bottom="0.74803149606299213" header="0.31496062992125984" footer="0.31496062992125984"/>
  <pageSetup paperSize="9" scale="72" orientation="portrait" r:id="rId1"/>
  <headerFooter>
    <oddHeader xml:space="preserve">&amp;C&amp;"-,Bold"POLITSI HIGH LIFT PUMP STATION : CONTROL AND INSTURMENTATION
</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G57"/>
  <sheetViews>
    <sheetView showGridLines="0" view="pageLayout" zoomScaleSheetLayoutView="100" workbookViewId="0">
      <selection activeCell="C9" sqref="C9"/>
    </sheetView>
  </sheetViews>
  <sheetFormatPr baseColWidth="10" defaultColWidth="8.83203125" defaultRowHeight="16"/>
  <cols>
    <col min="1" max="1" width="8.6640625" style="216" customWidth="1"/>
    <col min="2" max="2" width="10.33203125" style="216" customWidth="1"/>
    <col min="3" max="3" width="51.1640625" style="216" customWidth="1"/>
    <col min="4" max="4" width="6" style="216" customWidth="1"/>
    <col min="5" max="5" width="8.33203125" style="216" customWidth="1"/>
    <col min="6" max="6" width="10.1640625" style="216" customWidth="1"/>
    <col min="7" max="7" width="11.1640625" style="216" customWidth="1"/>
    <col min="8" max="9" width="8.83203125" style="194"/>
    <col min="10" max="10" width="14.5" style="194" bestFit="1" customWidth="1"/>
    <col min="11" max="11" width="8.83203125" style="194"/>
    <col min="12" max="13" width="14.5" style="194" bestFit="1" customWidth="1"/>
    <col min="14" max="256" width="8.83203125" style="194"/>
    <col min="257" max="257" width="6.6640625" style="194" customWidth="1"/>
    <col min="258" max="258" width="6.5" style="194" customWidth="1"/>
    <col min="259" max="259" width="52.5" style="194" customWidth="1"/>
    <col min="260" max="260" width="6" style="194" customWidth="1"/>
    <col min="261" max="261" width="8.33203125" style="194" customWidth="1"/>
    <col min="262" max="262" width="10.1640625" style="194" customWidth="1"/>
    <col min="263" max="263" width="11.1640625" style="194" customWidth="1"/>
    <col min="264" max="265" width="8.83203125" style="194"/>
    <col min="266" max="266" width="14.5" style="194" bestFit="1" customWidth="1"/>
    <col min="267" max="267" width="8.83203125" style="194"/>
    <col min="268" max="269" width="14.5" style="194" bestFit="1" customWidth="1"/>
    <col min="270" max="512" width="8.83203125" style="194"/>
    <col min="513" max="513" width="6.6640625" style="194" customWidth="1"/>
    <col min="514" max="514" width="6.5" style="194" customWidth="1"/>
    <col min="515" max="515" width="52.5" style="194" customWidth="1"/>
    <col min="516" max="516" width="6" style="194" customWidth="1"/>
    <col min="517" max="517" width="8.33203125" style="194" customWidth="1"/>
    <col min="518" max="518" width="10.1640625" style="194" customWidth="1"/>
    <col min="519" max="519" width="11.1640625" style="194" customWidth="1"/>
    <col min="520" max="521" width="8.83203125" style="194"/>
    <col min="522" max="522" width="14.5" style="194" bestFit="1" customWidth="1"/>
    <col min="523" max="523" width="8.83203125" style="194"/>
    <col min="524" max="525" width="14.5" style="194" bestFit="1" customWidth="1"/>
    <col min="526" max="768" width="8.83203125" style="194"/>
    <col min="769" max="769" width="6.6640625" style="194" customWidth="1"/>
    <col min="770" max="770" width="6.5" style="194" customWidth="1"/>
    <col min="771" max="771" width="52.5" style="194" customWidth="1"/>
    <col min="772" max="772" width="6" style="194" customWidth="1"/>
    <col min="773" max="773" width="8.33203125" style="194" customWidth="1"/>
    <col min="774" max="774" width="10.1640625" style="194" customWidth="1"/>
    <col min="775" max="775" width="11.1640625" style="194" customWidth="1"/>
    <col min="776" max="777" width="8.83203125" style="194"/>
    <col min="778" max="778" width="14.5" style="194" bestFit="1" customWidth="1"/>
    <col min="779" max="779" width="8.83203125" style="194"/>
    <col min="780" max="781" width="14.5" style="194" bestFit="1" customWidth="1"/>
    <col min="782" max="1024" width="8.83203125" style="194"/>
    <col min="1025" max="1025" width="6.6640625" style="194" customWidth="1"/>
    <col min="1026" max="1026" width="6.5" style="194" customWidth="1"/>
    <col min="1027" max="1027" width="52.5" style="194" customWidth="1"/>
    <col min="1028" max="1028" width="6" style="194" customWidth="1"/>
    <col min="1029" max="1029" width="8.33203125" style="194" customWidth="1"/>
    <col min="1030" max="1030" width="10.1640625" style="194" customWidth="1"/>
    <col min="1031" max="1031" width="11.1640625" style="194" customWidth="1"/>
    <col min="1032" max="1033" width="8.83203125" style="194"/>
    <col min="1034" max="1034" width="14.5" style="194" bestFit="1" customWidth="1"/>
    <col min="1035" max="1035" width="8.83203125" style="194"/>
    <col min="1036" max="1037" width="14.5" style="194" bestFit="1" customWidth="1"/>
    <col min="1038" max="1280" width="8.83203125" style="194"/>
    <col min="1281" max="1281" width="6.6640625" style="194" customWidth="1"/>
    <col min="1282" max="1282" width="6.5" style="194" customWidth="1"/>
    <col min="1283" max="1283" width="52.5" style="194" customWidth="1"/>
    <col min="1284" max="1284" width="6" style="194" customWidth="1"/>
    <col min="1285" max="1285" width="8.33203125" style="194" customWidth="1"/>
    <col min="1286" max="1286" width="10.1640625" style="194" customWidth="1"/>
    <col min="1287" max="1287" width="11.1640625" style="194" customWidth="1"/>
    <col min="1288" max="1289" width="8.83203125" style="194"/>
    <col min="1290" max="1290" width="14.5" style="194" bestFit="1" customWidth="1"/>
    <col min="1291" max="1291" width="8.83203125" style="194"/>
    <col min="1292" max="1293" width="14.5" style="194" bestFit="1" customWidth="1"/>
    <col min="1294" max="1536" width="8.83203125" style="194"/>
    <col min="1537" max="1537" width="6.6640625" style="194" customWidth="1"/>
    <col min="1538" max="1538" width="6.5" style="194" customWidth="1"/>
    <col min="1539" max="1539" width="52.5" style="194" customWidth="1"/>
    <col min="1540" max="1540" width="6" style="194" customWidth="1"/>
    <col min="1541" max="1541" width="8.33203125" style="194" customWidth="1"/>
    <col min="1542" max="1542" width="10.1640625" style="194" customWidth="1"/>
    <col min="1543" max="1543" width="11.1640625" style="194" customWidth="1"/>
    <col min="1544" max="1545" width="8.83203125" style="194"/>
    <col min="1546" max="1546" width="14.5" style="194" bestFit="1" customWidth="1"/>
    <col min="1547" max="1547" width="8.83203125" style="194"/>
    <col min="1548" max="1549" width="14.5" style="194" bestFit="1" customWidth="1"/>
    <col min="1550" max="1792" width="8.83203125" style="194"/>
    <col min="1793" max="1793" width="6.6640625" style="194" customWidth="1"/>
    <col min="1794" max="1794" width="6.5" style="194" customWidth="1"/>
    <col min="1795" max="1795" width="52.5" style="194" customWidth="1"/>
    <col min="1796" max="1796" width="6" style="194" customWidth="1"/>
    <col min="1797" max="1797" width="8.33203125" style="194" customWidth="1"/>
    <col min="1798" max="1798" width="10.1640625" style="194" customWidth="1"/>
    <col min="1799" max="1799" width="11.1640625" style="194" customWidth="1"/>
    <col min="1800" max="1801" width="8.83203125" style="194"/>
    <col min="1802" max="1802" width="14.5" style="194" bestFit="1" customWidth="1"/>
    <col min="1803" max="1803" width="8.83203125" style="194"/>
    <col min="1804" max="1805" width="14.5" style="194" bestFit="1" customWidth="1"/>
    <col min="1806" max="2048" width="8.83203125" style="194"/>
    <col min="2049" max="2049" width="6.6640625" style="194" customWidth="1"/>
    <col min="2050" max="2050" width="6.5" style="194" customWidth="1"/>
    <col min="2051" max="2051" width="52.5" style="194" customWidth="1"/>
    <col min="2052" max="2052" width="6" style="194" customWidth="1"/>
    <col min="2053" max="2053" width="8.33203125" style="194" customWidth="1"/>
    <col min="2054" max="2054" width="10.1640625" style="194" customWidth="1"/>
    <col min="2055" max="2055" width="11.1640625" style="194" customWidth="1"/>
    <col min="2056" max="2057" width="8.83203125" style="194"/>
    <col min="2058" max="2058" width="14.5" style="194" bestFit="1" customWidth="1"/>
    <col min="2059" max="2059" width="8.83203125" style="194"/>
    <col min="2060" max="2061" width="14.5" style="194" bestFit="1" customWidth="1"/>
    <col min="2062" max="2304" width="8.83203125" style="194"/>
    <col min="2305" max="2305" width="6.6640625" style="194" customWidth="1"/>
    <col min="2306" max="2306" width="6.5" style="194" customWidth="1"/>
    <col min="2307" max="2307" width="52.5" style="194" customWidth="1"/>
    <col min="2308" max="2308" width="6" style="194" customWidth="1"/>
    <col min="2309" max="2309" width="8.33203125" style="194" customWidth="1"/>
    <col min="2310" max="2310" width="10.1640625" style="194" customWidth="1"/>
    <col min="2311" max="2311" width="11.1640625" style="194" customWidth="1"/>
    <col min="2312" max="2313" width="8.83203125" style="194"/>
    <col min="2314" max="2314" width="14.5" style="194" bestFit="1" customWidth="1"/>
    <col min="2315" max="2315" width="8.83203125" style="194"/>
    <col min="2316" max="2317" width="14.5" style="194" bestFit="1" customWidth="1"/>
    <col min="2318" max="2560" width="8.83203125" style="194"/>
    <col min="2561" max="2561" width="6.6640625" style="194" customWidth="1"/>
    <col min="2562" max="2562" width="6.5" style="194" customWidth="1"/>
    <col min="2563" max="2563" width="52.5" style="194" customWidth="1"/>
    <col min="2564" max="2564" width="6" style="194" customWidth="1"/>
    <col min="2565" max="2565" width="8.33203125" style="194" customWidth="1"/>
    <col min="2566" max="2566" width="10.1640625" style="194" customWidth="1"/>
    <col min="2567" max="2567" width="11.1640625" style="194" customWidth="1"/>
    <col min="2568" max="2569" width="8.83203125" style="194"/>
    <col min="2570" max="2570" width="14.5" style="194" bestFit="1" customWidth="1"/>
    <col min="2571" max="2571" width="8.83203125" style="194"/>
    <col min="2572" max="2573" width="14.5" style="194" bestFit="1" customWidth="1"/>
    <col min="2574" max="2816" width="8.83203125" style="194"/>
    <col min="2817" max="2817" width="6.6640625" style="194" customWidth="1"/>
    <col min="2818" max="2818" width="6.5" style="194" customWidth="1"/>
    <col min="2819" max="2819" width="52.5" style="194" customWidth="1"/>
    <col min="2820" max="2820" width="6" style="194" customWidth="1"/>
    <col min="2821" max="2821" width="8.33203125" style="194" customWidth="1"/>
    <col min="2822" max="2822" width="10.1640625" style="194" customWidth="1"/>
    <col min="2823" max="2823" width="11.1640625" style="194" customWidth="1"/>
    <col min="2824" max="2825" width="8.83203125" style="194"/>
    <col min="2826" max="2826" width="14.5" style="194" bestFit="1" customWidth="1"/>
    <col min="2827" max="2827" width="8.83203125" style="194"/>
    <col min="2828" max="2829" width="14.5" style="194" bestFit="1" customWidth="1"/>
    <col min="2830" max="3072" width="8.83203125" style="194"/>
    <col min="3073" max="3073" width="6.6640625" style="194" customWidth="1"/>
    <col min="3074" max="3074" width="6.5" style="194" customWidth="1"/>
    <col min="3075" max="3075" width="52.5" style="194" customWidth="1"/>
    <col min="3076" max="3076" width="6" style="194" customWidth="1"/>
    <col min="3077" max="3077" width="8.33203125" style="194" customWidth="1"/>
    <col min="3078" max="3078" width="10.1640625" style="194" customWidth="1"/>
    <col min="3079" max="3079" width="11.1640625" style="194" customWidth="1"/>
    <col min="3080" max="3081" width="8.83203125" style="194"/>
    <col min="3082" max="3082" width="14.5" style="194" bestFit="1" customWidth="1"/>
    <col min="3083" max="3083" width="8.83203125" style="194"/>
    <col min="3084" max="3085" width="14.5" style="194" bestFit="1" customWidth="1"/>
    <col min="3086" max="3328" width="8.83203125" style="194"/>
    <col min="3329" max="3329" width="6.6640625" style="194" customWidth="1"/>
    <col min="3330" max="3330" width="6.5" style="194" customWidth="1"/>
    <col min="3331" max="3331" width="52.5" style="194" customWidth="1"/>
    <col min="3332" max="3332" width="6" style="194" customWidth="1"/>
    <col min="3333" max="3333" width="8.33203125" style="194" customWidth="1"/>
    <col min="3334" max="3334" width="10.1640625" style="194" customWidth="1"/>
    <col min="3335" max="3335" width="11.1640625" style="194" customWidth="1"/>
    <col min="3336" max="3337" width="8.83203125" style="194"/>
    <col min="3338" max="3338" width="14.5" style="194" bestFit="1" customWidth="1"/>
    <col min="3339" max="3339" width="8.83203125" style="194"/>
    <col min="3340" max="3341" width="14.5" style="194" bestFit="1" customWidth="1"/>
    <col min="3342" max="3584" width="8.83203125" style="194"/>
    <col min="3585" max="3585" width="6.6640625" style="194" customWidth="1"/>
    <col min="3586" max="3586" width="6.5" style="194" customWidth="1"/>
    <col min="3587" max="3587" width="52.5" style="194" customWidth="1"/>
    <col min="3588" max="3588" width="6" style="194" customWidth="1"/>
    <col min="3589" max="3589" width="8.33203125" style="194" customWidth="1"/>
    <col min="3590" max="3590" width="10.1640625" style="194" customWidth="1"/>
    <col min="3591" max="3591" width="11.1640625" style="194" customWidth="1"/>
    <col min="3592" max="3593" width="8.83203125" style="194"/>
    <col min="3594" max="3594" width="14.5" style="194" bestFit="1" customWidth="1"/>
    <col min="3595" max="3595" width="8.83203125" style="194"/>
    <col min="3596" max="3597" width="14.5" style="194" bestFit="1" customWidth="1"/>
    <col min="3598" max="3840" width="8.83203125" style="194"/>
    <col min="3841" max="3841" width="6.6640625" style="194" customWidth="1"/>
    <col min="3842" max="3842" width="6.5" style="194" customWidth="1"/>
    <col min="3843" max="3843" width="52.5" style="194" customWidth="1"/>
    <col min="3844" max="3844" width="6" style="194" customWidth="1"/>
    <col min="3845" max="3845" width="8.33203125" style="194" customWidth="1"/>
    <col min="3846" max="3846" width="10.1640625" style="194" customWidth="1"/>
    <col min="3847" max="3847" width="11.1640625" style="194" customWidth="1"/>
    <col min="3848" max="3849" width="8.83203125" style="194"/>
    <col min="3850" max="3850" width="14.5" style="194" bestFit="1" customWidth="1"/>
    <col min="3851" max="3851" width="8.83203125" style="194"/>
    <col min="3852" max="3853" width="14.5" style="194" bestFit="1" customWidth="1"/>
    <col min="3854" max="4096" width="8.83203125" style="194"/>
    <col min="4097" max="4097" width="6.6640625" style="194" customWidth="1"/>
    <col min="4098" max="4098" width="6.5" style="194" customWidth="1"/>
    <col min="4099" max="4099" width="52.5" style="194" customWidth="1"/>
    <col min="4100" max="4100" width="6" style="194" customWidth="1"/>
    <col min="4101" max="4101" width="8.33203125" style="194" customWidth="1"/>
    <col min="4102" max="4102" width="10.1640625" style="194" customWidth="1"/>
    <col min="4103" max="4103" width="11.1640625" style="194" customWidth="1"/>
    <col min="4104" max="4105" width="8.83203125" style="194"/>
    <col min="4106" max="4106" width="14.5" style="194" bestFit="1" customWidth="1"/>
    <col min="4107" max="4107" width="8.83203125" style="194"/>
    <col min="4108" max="4109" width="14.5" style="194" bestFit="1" customWidth="1"/>
    <col min="4110" max="4352" width="8.83203125" style="194"/>
    <col min="4353" max="4353" width="6.6640625" style="194" customWidth="1"/>
    <col min="4354" max="4354" width="6.5" style="194" customWidth="1"/>
    <col min="4355" max="4355" width="52.5" style="194" customWidth="1"/>
    <col min="4356" max="4356" width="6" style="194" customWidth="1"/>
    <col min="4357" max="4357" width="8.33203125" style="194" customWidth="1"/>
    <col min="4358" max="4358" width="10.1640625" style="194" customWidth="1"/>
    <col min="4359" max="4359" width="11.1640625" style="194" customWidth="1"/>
    <col min="4360" max="4361" width="8.83203125" style="194"/>
    <col min="4362" max="4362" width="14.5" style="194" bestFit="1" customWidth="1"/>
    <col min="4363" max="4363" width="8.83203125" style="194"/>
    <col min="4364" max="4365" width="14.5" style="194" bestFit="1" customWidth="1"/>
    <col min="4366" max="4608" width="8.83203125" style="194"/>
    <col min="4609" max="4609" width="6.6640625" style="194" customWidth="1"/>
    <col min="4610" max="4610" width="6.5" style="194" customWidth="1"/>
    <col min="4611" max="4611" width="52.5" style="194" customWidth="1"/>
    <col min="4612" max="4612" width="6" style="194" customWidth="1"/>
    <col min="4613" max="4613" width="8.33203125" style="194" customWidth="1"/>
    <col min="4614" max="4614" width="10.1640625" style="194" customWidth="1"/>
    <col min="4615" max="4615" width="11.1640625" style="194" customWidth="1"/>
    <col min="4616" max="4617" width="8.83203125" style="194"/>
    <col min="4618" max="4618" width="14.5" style="194" bestFit="1" customWidth="1"/>
    <col min="4619" max="4619" width="8.83203125" style="194"/>
    <col min="4620" max="4621" width="14.5" style="194" bestFit="1" customWidth="1"/>
    <col min="4622" max="4864" width="8.83203125" style="194"/>
    <col min="4865" max="4865" width="6.6640625" style="194" customWidth="1"/>
    <col min="4866" max="4866" width="6.5" style="194" customWidth="1"/>
    <col min="4867" max="4867" width="52.5" style="194" customWidth="1"/>
    <col min="4868" max="4868" width="6" style="194" customWidth="1"/>
    <col min="4869" max="4869" width="8.33203125" style="194" customWidth="1"/>
    <col min="4870" max="4870" width="10.1640625" style="194" customWidth="1"/>
    <col min="4871" max="4871" width="11.1640625" style="194" customWidth="1"/>
    <col min="4872" max="4873" width="8.83203125" style="194"/>
    <col min="4874" max="4874" width="14.5" style="194" bestFit="1" customWidth="1"/>
    <col min="4875" max="4875" width="8.83203125" style="194"/>
    <col min="4876" max="4877" width="14.5" style="194" bestFit="1" customWidth="1"/>
    <col min="4878" max="5120" width="8.83203125" style="194"/>
    <col min="5121" max="5121" width="6.6640625" style="194" customWidth="1"/>
    <col min="5122" max="5122" width="6.5" style="194" customWidth="1"/>
    <col min="5123" max="5123" width="52.5" style="194" customWidth="1"/>
    <col min="5124" max="5124" width="6" style="194" customWidth="1"/>
    <col min="5125" max="5125" width="8.33203125" style="194" customWidth="1"/>
    <col min="5126" max="5126" width="10.1640625" style="194" customWidth="1"/>
    <col min="5127" max="5127" width="11.1640625" style="194" customWidth="1"/>
    <col min="5128" max="5129" width="8.83203125" style="194"/>
    <col min="5130" max="5130" width="14.5" style="194" bestFit="1" customWidth="1"/>
    <col min="5131" max="5131" width="8.83203125" style="194"/>
    <col min="5132" max="5133" width="14.5" style="194" bestFit="1" customWidth="1"/>
    <col min="5134" max="5376" width="8.83203125" style="194"/>
    <col min="5377" max="5377" width="6.6640625" style="194" customWidth="1"/>
    <col min="5378" max="5378" width="6.5" style="194" customWidth="1"/>
    <col min="5379" max="5379" width="52.5" style="194" customWidth="1"/>
    <col min="5380" max="5380" width="6" style="194" customWidth="1"/>
    <col min="5381" max="5381" width="8.33203125" style="194" customWidth="1"/>
    <col min="5382" max="5382" width="10.1640625" style="194" customWidth="1"/>
    <col min="5383" max="5383" width="11.1640625" style="194" customWidth="1"/>
    <col min="5384" max="5385" width="8.83203125" style="194"/>
    <col min="5386" max="5386" width="14.5" style="194" bestFit="1" customWidth="1"/>
    <col min="5387" max="5387" width="8.83203125" style="194"/>
    <col min="5388" max="5389" width="14.5" style="194" bestFit="1" customWidth="1"/>
    <col min="5390" max="5632" width="8.83203125" style="194"/>
    <col min="5633" max="5633" width="6.6640625" style="194" customWidth="1"/>
    <col min="5634" max="5634" width="6.5" style="194" customWidth="1"/>
    <col min="5635" max="5635" width="52.5" style="194" customWidth="1"/>
    <col min="5636" max="5636" width="6" style="194" customWidth="1"/>
    <col min="5637" max="5637" width="8.33203125" style="194" customWidth="1"/>
    <col min="5638" max="5638" width="10.1640625" style="194" customWidth="1"/>
    <col min="5639" max="5639" width="11.1640625" style="194" customWidth="1"/>
    <col min="5640" max="5641" width="8.83203125" style="194"/>
    <col min="5642" max="5642" width="14.5" style="194" bestFit="1" customWidth="1"/>
    <col min="5643" max="5643" width="8.83203125" style="194"/>
    <col min="5644" max="5645" width="14.5" style="194" bestFit="1" customWidth="1"/>
    <col min="5646" max="5888" width="8.83203125" style="194"/>
    <col min="5889" max="5889" width="6.6640625" style="194" customWidth="1"/>
    <col min="5890" max="5890" width="6.5" style="194" customWidth="1"/>
    <col min="5891" max="5891" width="52.5" style="194" customWidth="1"/>
    <col min="5892" max="5892" width="6" style="194" customWidth="1"/>
    <col min="5893" max="5893" width="8.33203125" style="194" customWidth="1"/>
    <col min="5894" max="5894" width="10.1640625" style="194" customWidth="1"/>
    <col min="5895" max="5895" width="11.1640625" style="194" customWidth="1"/>
    <col min="5896" max="5897" width="8.83203125" style="194"/>
    <col min="5898" max="5898" width="14.5" style="194" bestFit="1" customWidth="1"/>
    <col min="5899" max="5899" width="8.83203125" style="194"/>
    <col min="5900" max="5901" width="14.5" style="194" bestFit="1" customWidth="1"/>
    <col min="5902" max="6144" width="8.83203125" style="194"/>
    <col min="6145" max="6145" width="6.6640625" style="194" customWidth="1"/>
    <col min="6146" max="6146" width="6.5" style="194" customWidth="1"/>
    <col min="6147" max="6147" width="52.5" style="194" customWidth="1"/>
    <col min="6148" max="6148" width="6" style="194" customWidth="1"/>
    <col min="6149" max="6149" width="8.33203125" style="194" customWidth="1"/>
    <col min="6150" max="6150" width="10.1640625" style="194" customWidth="1"/>
    <col min="6151" max="6151" width="11.1640625" style="194" customWidth="1"/>
    <col min="6152" max="6153" width="8.83203125" style="194"/>
    <col min="6154" max="6154" width="14.5" style="194" bestFit="1" customWidth="1"/>
    <col min="6155" max="6155" width="8.83203125" style="194"/>
    <col min="6156" max="6157" width="14.5" style="194" bestFit="1" customWidth="1"/>
    <col min="6158" max="6400" width="8.83203125" style="194"/>
    <col min="6401" max="6401" width="6.6640625" style="194" customWidth="1"/>
    <col min="6402" max="6402" width="6.5" style="194" customWidth="1"/>
    <col min="6403" max="6403" width="52.5" style="194" customWidth="1"/>
    <col min="6404" max="6404" width="6" style="194" customWidth="1"/>
    <col min="6405" max="6405" width="8.33203125" style="194" customWidth="1"/>
    <col min="6406" max="6406" width="10.1640625" style="194" customWidth="1"/>
    <col min="6407" max="6407" width="11.1640625" style="194" customWidth="1"/>
    <col min="6408" max="6409" width="8.83203125" style="194"/>
    <col min="6410" max="6410" width="14.5" style="194" bestFit="1" customWidth="1"/>
    <col min="6411" max="6411" width="8.83203125" style="194"/>
    <col min="6412" max="6413" width="14.5" style="194" bestFit="1" customWidth="1"/>
    <col min="6414" max="6656" width="8.83203125" style="194"/>
    <col min="6657" max="6657" width="6.6640625" style="194" customWidth="1"/>
    <col min="6658" max="6658" width="6.5" style="194" customWidth="1"/>
    <col min="6659" max="6659" width="52.5" style="194" customWidth="1"/>
    <col min="6660" max="6660" width="6" style="194" customWidth="1"/>
    <col min="6661" max="6661" width="8.33203125" style="194" customWidth="1"/>
    <col min="6662" max="6662" width="10.1640625" style="194" customWidth="1"/>
    <col min="6663" max="6663" width="11.1640625" style="194" customWidth="1"/>
    <col min="6664" max="6665" width="8.83203125" style="194"/>
    <col min="6666" max="6666" width="14.5" style="194" bestFit="1" customWidth="1"/>
    <col min="6667" max="6667" width="8.83203125" style="194"/>
    <col min="6668" max="6669" width="14.5" style="194" bestFit="1" customWidth="1"/>
    <col min="6670" max="6912" width="8.83203125" style="194"/>
    <col min="6913" max="6913" width="6.6640625" style="194" customWidth="1"/>
    <col min="6914" max="6914" width="6.5" style="194" customWidth="1"/>
    <col min="6915" max="6915" width="52.5" style="194" customWidth="1"/>
    <col min="6916" max="6916" width="6" style="194" customWidth="1"/>
    <col min="6917" max="6917" width="8.33203125" style="194" customWidth="1"/>
    <col min="6918" max="6918" width="10.1640625" style="194" customWidth="1"/>
    <col min="6919" max="6919" width="11.1640625" style="194" customWidth="1"/>
    <col min="6920" max="6921" width="8.83203125" style="194"/>
    <col min="6922" max="6922" width="14.5" style="194" bestFit="1" customWidth="1"/>
    <col min="6923" max="6923" width="8.83203125" style="194"/>
    <col min="6924" max="6925" width="14.5" style="194" bestFit="1" customWidth="1"/>
    <col min="6926" max="7168" width="8.83203125" style="194"/>
    <col min="7169" max="7169" width="6.6640625" style="194" customWidth="1"/>
    <col min="7170" max="7170" width="6.5" style="194" customWidth="1"/>
    <col min="7171" max="7171" width="52.5" style="194" customWidth="1"/>
    <col min="7172" max="7172" width="6" style="194" customWidth="1"/>
    <col min="7173" max="7173" width="8.33203125" style="194" customWidth="1"/>
    <col min="7174" max="7174" width="10.1640625" style="194" customWidth="1"/>
    <col min="7175" max="7175" width="11.1640625" style="194" customWidth="1"/>
    <col min="7176" max="7177" width="8.83203125" style="194"/>
    <col min="7178" max="7178" width="14.5" style="194" bestFit="1" customWidth="1"/>
    <col min="7179" max="7179" width="8.83203125" style="194"/>
    <col min="7180" max="7181" width="14.5" style="194" bestFit="1" customWidth="1"/>
    <col min="7182" max="7424" width="8.83203125" style="194"/>
    <col min="7425" max="7425" width="6.6640625" style="194" customWidth="1"/>
    <col min="7426" max="7426" width="6.5" style="194" customWidth="1"/>
    <col min="7427" max="7427" width="52.5" style="194" customWidth="1"/>
    <col min="7428" max="7428" width="6" style="194" customWidth="1"/>
    <col min="7429" max="7429" width="8.33203125" style="194" customWidth="1"/>
    <col min="7430" max="7430" width="10.1640625" style="194" customWidth="1"/>
    <col min="7431" max="7431" width="11.1640625" style="194" customWidth="1"/>
    <col min="7432" max="7433" width="8.83203125" style="194"/>
    <col min="7434" max="7434" width="14.5" style="194" bestFit="1" customWidth="1"/>
    <col min="7435" max="7435" width="8.83203125" style="194"/>
    <col min="7436" max="7437" width="14.5" style="194" bestFit="1" customWidth="1"/>
    <col min="7438" max="7680" width="8.83203125" style="194"/>
    <col min="7681" max="7681" width="6.6640625" style="194" customWidth="1"/>
    <col min="7682" max="7682" width="6.5" style="194" customWidth="1"/>
    <col min="7683" max="7683" width="52.5" style="194" customWidth="1"/>
    <col min="7684" max="7684" width="6" style="194" customWidth="1"/>
    <col min="7685" max="7685" width="8.33203125" style="194" customWidth="1"/>
    <col min="7686" max="7686" width="10.1640625" style="194" customWidth="1"/>
    <col min="7687" max="7687" width="11.1640625" style="194" customWidth="1"/>
    <col min="7688" max="7689" width="8.83203125" style="194"/>
    <col min="7690" max="7690" width="14.5" style="194" bestFit="1" customWidth="1"/>
    <col min="7691" max="7691" width="8.83203125" style="194"/>
    <col min="7692" max="7693" width="14.5" style="194" bestFit="1" customWidth="1"/>
    <col min="7694" max="7936" width="8.83203125" style="194"/>
    <col min="7937" max="7937" width="6.6640625" style="194" customWidth="1"/>
    <col min="7938" max="7938" width="6.5" style="194" customWidth="1"/>
    <col min="7939" max="7939" width="52.5" style="194" customWidth="1"/>
    <col min="7940" max="7940" width="6" style="194" customWidth="1"/>
    <col min="7941" max="7941" width="8.33203125" style="194" customWidth="1"/>
    <col min="7942" max="7942" width="10.1640625" style="194" customWidth="1"/>
    <col min="7943" max="7943" width="11.1640625" style="194" customWidth="1"/>
    <col min="7944" max="7945" width="8.83203125" style="194"/>
    <col min="7946" max="7946" width="14.5" style="194" bestFit="1" customWidth="1"/>
    <col min="7947" max="7947" width="8.83203125" style="194"/>
    <col min="7948" max="7949" width="14.5" style="194" bestFit="1" customWidth="1"/>
    <col min="7950" max="8192" width="8.83203125" style="194"/>
    <col min="8193" max="8193" width="6.6640625" style="194" customWidth="1"/>
    <col min="8194" max="8194" width="6.5" style="194" customWidth="1"/>
    <col min="8195" max="8195" width="52.5" style="194" customWidth="1"/>
    <col min="8196" max="8196" width="6" style="194" customWidth="1"/>
    <col min="8197" max="8197" width="8.33203125" style="194" customWidth="1"/>
    <col min="8198" max="8198" width="10.1640625" style="194" customWidth="1"/>
    <col min="8199" max="8199" width="11.1640625" style="194" customWidth="1"/>
    <col min="8200" max="8201" width="8.83203125" style="194"/>
    <col min="8202" max="8202" width="14.5" style="194" bestFit="1" customWidth="1"/>
    <col min="8203" max="8203" width="8.83203125" style="194"/>
    <col min="8204" max="8205" width="14.5" style="194" bestFit="1" customWidth="1"/>
    <col min="8206" max="8448" width="8.83203125" style="194"/>
    <col min="8449" max="8449" width="6.6640625" style="194" customWidth="1"/>
    <col min="8450" max="8450" width="6.5" style="194" customWidth="1"/>
    <col min="8451" max="8451" width="52.5" style="194" customWidth="1"/>
    <col min="8452" max="8452" width="6" style="194" customWidth="1"/>
    <col min="8453" max="8453" width="8.33203125" style="194" customWidth="1"/>
    <col min="8454" max="8454" width="10.1640625" style="194" customWidth="1"/>
    <col min="8455" max="8455" width="11.1640625" style="194" customWidth="1"/>
    <col min="8456" max="8457" width="8.83203125" style="194"/>
    <col min="8458" max="8458" width="14.5" style="194" bestFit="1" customWidth="1"/>
    <col min="8459" max="8459" width="8.83203125" style="194"/>
    <col min="8460" max="8461" width="14.5" style="194" bestFit="1" customWidth="1"/>
    <col min="8462" max="8704" width="8.83203125" style="194"/>
    <col min="8705" max="8705" width="6.6640625" style="194" customWidth="1"/>
    <col min="8706" max="8706" width="6.5" style="194" customWidth="1"/>
    <col min="8707" max="8707" width="52.5" style="194" customWidth="1"/>
    <col min="8708" max="8708" width="6" style="194" customWidth="1"/>
    <col min="8709" max="8709" width="8.33203125" style="194" customWidth="1"/>
    <col min="8710" max="8710" width="10.1640625" style="194" customWidth="1"/>
    <col min="8711" max="8711" width="11.1640625" style="194" customWidth="1"/>
    <col min="8712" max="8713" width="8.83203125" style="194"/>
    <col min="8714" max="8714" width="14.5" style="194" bestFit="1" customWidth="1"/>
    <col min="8715" max="8715" width="8.83203125" style="194"/>
    <col min="8716" max="8717" width="14.5" style="194" bestFit="1" customWidth="1"/>
    <col min="8718" max="8960" width="8.83203125" style="194"/>
    <col min="8961" max="8961" width="6.6640625" style="194" customWidth="1"/>
    <col min="8962" max="8962" width="6.5" style="194" customWidth="1"/>
    <col min="8963" max="8963" width="52.5" style="194" customWidth="1"/>
    <col min="8964" max="8964" width="6" style="194" customWidth="1"/>
    <col min="8965" max="8965" width="8.33203125" style="194" customWidth="1"/>
    <col min="8966" max="8966" width="10.1640625" style="194" customWidth="1"/>
    <col min="8967" max="8967" width="11.1640625" style="194" customWidth="1"/>
    <col min="8968" max="8969" width="8.83203125" style="194"/>
    <col min="8970" max="8970" width="14.5" style="194" bestFit="1" customWidth="1"/>
    <col min="8971" max="8971" width="8.83203125" style="194"/>
    <col min="8972" max="8973" width="14.5" style="194" bestFit="1" customWidth="1"/>
    <col min="8974" max="9216" width="8.83203125" style="194"/>
    <col min="9217" max="9217" width="6.6640625" style="194" customWidth="1"/>
    <col min="9218" max="9218" width="6.5" style="194" customWidth="1"/>
    <col min="9219" max="9219" width="52.5" style="194" customWidth="1"/>
    <col min="9220" max="9220" width="6" style="194" customWidth="1"/>
    <col min="9221" max="9221" width="8.33203125" style="194" customWidth="1"/>
    <col min="9222" max="9222" width="10.1640625" style="194" customWidth="1"/>
    <col min="9223" max="9223" width="11.1640625" style="194" customWidth="1"/>
    <col min="9224" max="9225" width="8.83203125" style="194"/>
    <col min="9226" max="9226" width="14.5" style="194" bestFit="1" customWidth="1"/>
    <col min="9227" max="9227" width="8.83203125" style="194"/>
    <col min="9228" max="9229" width="14.5" style="194" bestFit="1" customWidth="1"/>
    <col min="9230" max="9472" width="8.83203125" style="194"/>
    <col min="9473" max="9473" width="6.6640625" style="194" customWidth="1"/>
    <col min="9474" max="9474" width="6.5" style="194" customWidth="1"/>
    <col min="9475" max="9475" width="52.5" style="194" customWidth="1"/>
    <col min="9476" max="9476" width="6" style="194" customWidth="1"/>
    <col min="9477" max="9477" width="8.33203125" style="194" customWidth="1"/>
    <col min="9478" max="9478" width="10.1640625" style="194" customWidth="1"/>
    <col min="9479" max="9479" width="11.1640625" style="194" customWidth="1"/>
    <col min="9480" max="9481" width="8.83203125" style="194"/>
    <col min="9482" max="9482" width="14.5" style="194" bestFit="1" customWidth="1"/>
    <col min="9483" max="9483" width="8.83203125" style="194"/>
    <col min="9484" max="9485" width="14.5" style="194" bestFit="1" customWidth="1"/>
    <col min="9486" max="9728" width="8.83203125" style="194"/>
    <col min="9729" max="9729" width="6.6640625" style="194" customWidth="1"/>
    <col min="9730" max="9730" width="6.5" style="194" customWidth="1"/>
    <col min="9731" max="9731" width="52.5" style="194" customWidth="1"/>
    <col min="9732" max="9732" width="6" style="194" customWidth="1"/>
    <col min="9733" max="9733" width="8.33203125" style="194" customWidth="1"/>
    <col min="9734" max="9734" width="10.1640625" style="194" customWidth="1"/>
    <col min="9735" max="9735" width="11.1640625" style="194" customWidth="1"/>
    <col min="9736" max="9737" width="8.83203125" style="194"/>
    <col min="9738" max="9738" width="14.5" style="194" bestFit="1" customWidth="1"/>
    <col min="9739" max="9739" width="8.83203125" style="194"/>
    <col min="9740" max="9741" width="14.5" style="194" bestFit="1" customWidth="1"/>
    <col min="9742" max="9984" width="8.83203125" style="194"/>
    <col min="9985" max="9985" width="6.6640625" style="194" customWidth="1"/>
    <col min="9986" max="9986" width="6.5" style="194" customWidth="1"/>
    <col min="9987" max="9987" width="52.5" style="194" customWidth="1"/>
    <col min="9988" max="9988" width="6" style="194" customWidth="1"/>
    <col min="9989" max="9989" width="8.33203125" style="194" customWidth="1"/>
    <col min="9990" max="9990" width="10.1640625" style="194" customWidth="1"/>
    <col min="9991" max="9991" width="11.1640625" style="194" customWidth="1"/>
    <col min="9992" max="9993" width="8.83203125" style="194"/>
    <col min="9994" max="9994" width="14.5" style="194" bestFit="1" customWidth="1"/>
    <col min="9995" max="9995" width="8.83203125" style="194"/>
    <col min="9996" max="9997" width="14.5" style="194" bestFit="1" customWidth="1"/>
    <col min="9998" max="10240" width="8.83203125" style="194"/>
    <col min="10241" max="10241" width="6.6640625" style="194" customWidth="1"/>
    <col min="10242" max="10242" width="6.5" style="194" customWidth="1"/>
    <col min="10243" max="10243" width="52.5" style="194" customWidth="1"/>
    <col min="10244" max="10244" width="6" style="194" customWidth="1"/>
    <col min="10245" max="10245" width="8.33203125" style="194" customWidth="1"/>
    <col min="10246" max="10246" width="10.1640625" style="194" customWidth="1"/>
    <col min="10247" max="10247" width="11.1640625" style="194" customWidth="1"/>
    <col min="10248" max="10249" width="8.83203125" style="194"/>
    <col min="10250" max="10250" width="14.5" style="194" bestFit="1" customWidth="1"/>
    <col min="10251" max="10251" width="8.83203125" style="194"/>
    <col min="10252" max="10253" width="14.5" style="194" bestFit="1" customWidth="1"/>
    <col min="10254" max="10496" width="8.83203125" style="194"/>
    <col min="10497" max="10497" width="6.6640625" style="194" customWidth="1"/>
    <col min="10498" max="10498" width="6.5" style="194" customWidth="1"/>
    <col min="10499" max="10499" width="52.5" style="194" customWidth="1"/>
    <col min="10500" max="10500" width="6" style="194" customWidth="1"/>
    <col min="10501" max="10501" width="8.33203125" style="194" customWidth="1"/>
    <col min="10502" max="10502" width="10.1640625" style="194" customWidth="1"/>
    <col min="10503" max="10503" width="11.1640625" style="194" customWidth="1"/>
    <col min="10504" max="10505" width="8.83203125" style="194"/>
    <col min="10506" max="10506" width="14.5" style="194" bestFit="1" customWidth="1"/>
    <col min="10507" max="10507" width="8.83203125" style="194"/>
    <col min="10508" max="10509" width="14.5" style="194" bestFit="1" customWidth="1"/>
    <col min="10510" max="10752" width="8.83203125" style="194"/>
    <col min="10753" max="10753" width="6.6640625" style="194" customWidth="1"/>
    <col min="10754" max="10754" width="6.5" style="194" customWidth="1"/>
    <col min="10755" max="10755" width="52.5" style="194" customWidth="1"/>
    <col min="10756" max="10756" width="6" style="194" customWidth="1"/>
    <col min="10757" max="10757" width="8.33203125" style="194" customWidth="1"/>
    <col min="10758" max="10758" width="10.1640625" style="194" customWidth="1"/>
    <col min="10759" max="10759" width="11.1640625" style="194" customWidth="1"/>
    <col min="10760" max="10761" width="8.83203125" style="194"/>
    <col min="10762" max="10762" width="14.5" style="194" bestFit="1" customWidth="1"/>
    <col min="10763" max="10763" width="8.83203125" style="194"/>
    <col min="10764" max="10765" width="14.5" style="194" bestFit="1" customWidth="1"/>
    <col min="10766" max="11008" width="8.83203125" style="194"/>
    <col min="11009" max="11009" width="6.6640625" style="194" customWidth="1"/>
    <col min="11010" max="11010" width="6.5" style="194" customWidth="1"/>
    <col min="11011" max="11011" width="52.5" style="194" customWidth="1"/>
    <col min="11012" max="11012" width="6" style="194" customWidth="1"/>
    <col min="11013" max="11013" width="8.33203125" style="194" customWidth="1"/>
    <col min="11014" max="11014" width="10.1640625" style="194" customWidth="1"/>
    <col min="11015" max="11015" width="11.1640625" style="194" customWidth="1"/>
    <col min="11016" max="11017" width="8.83203125" style="194"/>
    <col min="11018" max="11018" width="14.5" style="194" bestFit="1" customWidth="1"/>
    <col min="11019" max="11019" width="8.83203125" style="194"/>
    <col min="11020" max="11021" width="14.5" style="194" bestFit="1" customWidth="1"/>
    <col min="11022" max="11264" width="8.83203125" style="194"/>
    <col min="11265" max="11265" width="6.6640625" style="194" customWidth="1"/>
    <col min="11266" max="11266" width="6.5" style="194" customWidth="1"/>
    <col min="11267" max="11267" width="52.5" style="194" customWidth="1"/>
    <col min="11268" max="11268" width="6" style="194" customWidth="1"/>
    <col min="11269" max="11269" width="8.33203125" style="194" customWidth="1"/>
    <col min="11270" max="11270" width="10.1640625" style="194" customWidth="1"/>
    <col min="11271" max="11271" width="11.1640625" style="194" customWidth="1"/>
    <col min="11272" max="11273" width="8.83203125" style="194"/>
    <col min="11274" max="11274" width="14.5" style="194" bestFit="1" customWidth="1"/>
    <col min="11275" max="11275" width="8.83203125" style="194"/>
    <col min="11276" max="11277" width="14.5" style="194" bestFit="1" customWidth="1"/>
    <col min="11278" max="11520" width="8.83203125" style="194"/>
    <col min="11521" max="11521" width="6.6640625" style="194" customWidth="1"/>
    <col min="11522" max="11522" width="6.5" style="194" customWidth="1"/>
    <col min="11523" max="11523" width="52.5" style="194" customWidth="1"/>
    <col min="11524" max="11524" width="6" style="194" customWidth="1"/>
    <col min="11525" max="11525" width="8.33203125" style="194" customWidth="1"/>
    <col min="11526" max="11526" width="10.1640625" style="194" customWidth="1"/>
    <col min="11527" max="11527" width="11.1640625" style="194" customWidth="1"/>
    <col min="11528" max="11529" width="8.83203125" style="194"/>
    <col min="11530" max="11530" width="14.5" style="194" bestFit="1" customWidth="1"/>
    <col min="11531" max="11531" width="8.83203125" style="194"/>
    <col min="11532" max="11533" width="14.5" style="194" bestFit="1" customWidth="1"/>
    <col min="11534" max="11776" width="8.83203125" style="194"/>
    <col min="11777" max="11777" width="6.6640625" style="194" customWidth="1"/>
    <col min="11778" max="11778" width="6.5" style="194" customWidth="1"/>
    <col min="11779" max="11779" width="52.5" style="194" customWidth="1"/>
    <col min="11780" max="11780" width="6" style="194" customWidth="1"/>
    <col min="11781" max="11781" width="8.33203125" style="194" customWidth="1"/>
    <col min="11782" max="11782" width="10.1640625" style="194" customWidth="1"/>
    <col min="11783" max="11783" width="11.1640625" style="194" customWidth="1"/>
    <col min="11784" max="11785" width="8.83203125" style="194"/>
    <col min="11786" max="11786" width="14.5" style="194" bestFit="1" customWidth="1"/>
    <col min="11787" max="11787" width="8.83203125" style="194"/>
    <col min="11788" max="11789" width="14.5" style="194" bestFit="1" customWidth="1"/>
    <col min="11790" max="12032" width="8.83203125" style="194"/>
    <col min="12033" max="12033" width="6.6640625" style="194" customWidth="1"/>
    <col min="12034" max="12034" width="6.5" style="194" customWidth="1"/>
    <col min="12035" max="12035" width="52.5" style="194" customWidth="1"/>
    <col min="12036" max="12036" width="6" style="194" customWidth="1"/>
    <col min="12037" max="12037" width="8.33203125" style="194" customWidth="1"/>
    <col min="12038" max="12038" width="10.1640625" style="194" customWidth="1"/>
    <col min="12039" max="12039" width="11.1640625" style="194" customWidth="1"/>
    <col min="12040" max="12041" width="8.83203125" style="194"/>
    <col min="12042" max="12042" width="14.5" style="194" bestFit="1" customWidth="1"/>
    <col min="12043" max="12043" width="8.83203125" style="194"/>
    <col min="12044" max="12045" width="14.5" style="194" bestFit="1" customWidth="1"/>
    <col min="12046" max="12288" width="8.83203125" style="194"/>
    <col min="12289" max="12289" width="6.6640625" style="194" customWidth="1"/>
    <col min="12290" max="12290" width="6.5" style="194" customWidth="1"/>
    <col min="12291" max="12291" width="52.5" style="194" customWidth="1"/>
    <col min="12292" max="12292" width="6" style="194" customWidth="1"/>
    <col min="12293" max="12293" width="8.33203125" style="194" customWidth="1"/>
    <col min="12294" max="12294" width="10.1640625" style="194" customWidth="1"/>
    <col min="12295" max="12295" width="11.1640625" style="194" customWidth="1"/>
    <col min="12296" max="12297" width="8.83203125" style="194"/>
    <col min="12298" max="12298" width="14.5" style="194" bestFit="1" customWidth="1"/>
    <col min="12299" max="12299" width="8.83203125" style="194"/>
    <col min="12300" max="12301" width="14.5" style="194" bestFit="1" customWidth="1"/>
    <col min="12302" max="12544" width="8.83203125" style="194"/>
    <col min="12545" max="12545" width="6.6640625" style="194" customWidth="1"/>
    <col min="12546" max="12546" width="6.5" style="194" customWidth="1"/>
    <col min="12547" max="12547" width="52.5" style="194" customWidth="1"/>
    <col min="12548" max="12548" width="6" style="194" customWidth="1"/>
    <col min="12549" max="12549" width="8.33203125" style="194" customWidth="1"/>
    <col min="12550" max="12550" width="10.1640625" style="194" customWidth="1"/>
    <col min="12551" max="12551" width="11.1640625" style="194" customWidth="1"/>
    <col min="12552" max="12553" width="8.83203125" style="194"/>
    <col min="12554" max="12554" width="14.5" style="194" bestFit="1" customWidth="1"/>
    <col min="12555" max="12555" width="8.83203125" style="194"/>
    <col min="12556" max="12557" width="14.5" style="194" bestFit="1" customWidth="1"/>
    <col min="12558" max="12800" width="8.83203125" style="194"/>
    <col min="12801" max="12801" width="6.6640625" style="194" customWidth="1"/>
    <col min="12802" max="12802" width="6.5" style="194" customWidth="1"/>
    <col min="12803" max="12803" width="52.5" style="194" customWidth="1"/>
    <col min="12804" max="12804" width="6" style="194" customWidth="1"/>
    <col min="12805" max="12805" width="8.33203125" style="194" customWidth="1"/>
    <col min="12806" max="12806" width="10.1640625" style="194" customWidth="1"/>
    <col min="12807" max="12807" width="11.1640625" style="194" customWidth="1"/>
    <col min="12808" max="12809" width="8.83203125" style="194"/>
    <col min="12810" max="12810" width="14.5" style="194" bestFit="1" customWidth="1"/>
    <col min="12811" max="12811" width="8.83203125" style="194"/>
    <col min="12812" max="12813" width="14.5" style="194" bestFit="1" customWidth="1"/>
    <col min="12814" max="13056" width="8.83203125" style="194"/>
    <col min="13057" max="13057" width="6.6640625" style="194" customWidth="1"/>
    <col min="13058" max="13058" width="6.5" style="194" customWidth="1"/>
    <col min="13059" max="13059" width="52.5" style="194" customWidth="1"/>
    <col min="13060" max="13060" width="6" style="194" customWidth="1"/>
    <col min="13061" max="13061" width="8.33203125" style="194" customWidth="1"/>
    <col min="13062" max="13062" width="10.1640625" style="194" customWidth="1"/>
    <col min="13063" max="13063" width="11.1640625" style="194" customWidth="1"/>
    <col min="13064" max="13065" width="8.83203125" style="194"/>
    <col min="13066" max="13066" width="14.5" style="194" bestFit="1" customWidth="1"/>
    <col min="13067" max="13067" width="8.83203125" style="194"/>
    <col min="13068" max="13069" width="14.5" style="194" bestFit="1" customWidth="1"/>
    <col min="13070" max="13312" width="8.83203125" style="194"/>
    <col min="13313" max="13313" width="6.6640625" style="194" customWidth="1"/>
    <col min="13314" max="13314" width="6.5" style="194" customWidth="1"/>
    <col min="13315" max="13315" width="52.5" style="194" customWidth="1"/>
    <col min="13316" max="13316" width="6" style="194" customWidth="1"/>
    <col min="13317" max="13317" width="8.33203125" style="194" customWidth="1"/>
    <col min="13318" max="13318" width="10.1640625" style="194" customWidth="1"/>
    <col min="13319" max="13319" width="11.1640625" style="194" customWidth="1"/>
    <col min="13320" max="13321" width="8.83203125" style="194"/>
    <col min="13322" max="13322" width="14.5" style="194" bestFit="1" customWidth="1"/>
    <col min="13323" max="13323" width="8.83203125" style="194"/>
    <col min="13324" max="13325" width="14.5" style="194" bestFit="1" customWidth="1"/>
    <col min="13326" max="13568" width="8.83203125" style="194"/>
    <col min="13569" max="13569" width="6.6640625" style="194" customWidth="1"/>
    <col min="13570" max="13570" width="6.5" style="194" customWidth="1"/>
    <col min="13571" max="13571" width="52.5" style="194" customWidth="1"/>
    <col min="13572" max="13572" width="6" style="194" customWidth="1"/>
    <col min="13573" max="13573" width="8.33203125" style="194" customWidth="1"/>
    <col min="13574" max="13574" width="10.1640625" style="194" customWidth="1"/>
    <col min="13575" max="13575" width="11.1640625" style="194" customWidth="1"/>
    <col min="13576" max="13577" width="8.83203125" style="194"/>
    <col min="13578" max="13578" width="14.5" style="194" bestFit="1" customWidth="1"/>
    <col min="13579" max="13579" width="8.83203125" style="194"/>
    <col min="13580" max="13581" width="14.5" style="194" bestFit="1" customWidth="1"/>
    <col min="13582" max="13824" width="8.83203125" style="194"/>
    <col min="13825" max="13825" width="6.6640625" style="194" customWidth="1"/>
    <col min="13826" max="13826" width="6.5" style="194" customWidth="1"/>
    <col min="13827" max="13827" width="52.5" style="194" customWidth="1"/>
    <col min="13828" max="13828" width="6" style="194" customWidth="1"/>
    <col min="13829" max="13829" width="8.33203125" style="194" customWidth="1"/>
    <col min="13830" max="13830" width="10.1640625" style="194" customWidth="1"/>
    <col min="13831" max="13831" width="11.1640625" style="194" customWidth="1"/>
    <col min="13832" max="13833" width="8.83203125" style="194"/>
    <col min="13834" max="13834" width="14.5" style="194" bestFit="1" customWidth="1"/>
    <col min="13835" max="13835" width="8.83203125" style="194"/>
    <col min="13836" max="13837" width="14.5" style="194" bestFit="1" customWidth="1"/>
    <col min="13838" max="14080" width="8.83203125" style="194"/>
    <col min="14081" max="14081" width="6.6640625" style="194" customWidth="1"/>
    <col min="14082" max="14082" width="6.5" style="194" customWidth="1"/>
    <col min="14083" max="14083" width="52.5" style="194" customWidth="1"/>
    <col min="14084" max="14084" width="6" style="194" customWidth="1"/>
    <col min="14085" max="14085" width="8.33203125" style="194" customWidth="1"/>
    <col min="14086" max="14086" width="10.1640625" style="194" customWidth="1"/>
    <col min="14087" max="14087" width="11.1640625" style="194" customWidth="1"/>
    <col min="14088" max="14089" width="8.83203125" style="194"/>
    <col min="14090" max="14090" width="14.5" style="194" bestFit="1" customWidth="1"/>
    <col min="14091" max="14091" width="8.83203125" style="194"/>
    <col min="14092" max="14093" width="14.5" style="194" bestFit="1" customWidth="1"/>
    <col min="14094" max="14336" width="8.83203125" style="194"/>
    <col min="14337" max="14337" width="6.6640625" style="194" customWidth="1"/>
    <col min="14338" max="14338" width="6.5" style="194" customWidth="1"/>
    <col min="14339" max="14339" width="52.5" style="194" customWidth="1"/>
    <col min="14340" max="14340" width="6" style="194" customWidth="1"/>
    <col min="14341" max="14341" width="8.33203125" style="194" customWidth="1"/>
    <col min="14342" max="14342" width="10.1640625" style="194" customWidth="1"/>
    <col min="14343" max="14343" width="11.1640625" style="194" customWidth="1"/>
    <col min="14344" max="14345" width="8.83203125" style="194"/>
    <col min="14346" max="14346" width="14.5" style="194" bestFit="1" customWidth="1"/>
    <col min="14347" max="14347" width="8.83203125" style="194"/>
    <col min="14348" max="14349" width="14.5" style="194" bestFit="1" customWidth="1"/>
    <col min="14350" max="14592" width="8.83203125" style="194"/>
    <col min="14593" max="14593" width="6.6640625" style="194" customWidth="1"/>
    <col min="14594" max="14594" width="6.5" style="194" customWidth="1"/>
    <col min="14595" max="14595" width="52.5" style="194" customWidth="1"/>
    <col min="14596" max="14596" width="6" style="194" customWidth="1"/>
    <col min="14597" max="14597" width="8.33203125" style="194" customWidth="1"/>
    <col min="14598" max="14598" width="10.1640625" style="194" customWidth="1"/>
    <col min="14599" max="14599" width="11.1640625" style="194" customWidth="1"/>
    <col min="14600" max="14601" width="8.83203125" style="194"/>
    <col min="14602" max="14602" width="14.5" style="194" bestFit="1" customWidth="1"/>
    <col min="14603" max="14603" width="8.83203125" style="194"/>
    <col min="14604" max="14605" width="14.5" style="194" bestFit="1" customWidth="1"/>
    <col min="14606" max="14848" width="8.83203125" style="194"/>
    <col min="14849" max="14849" width="6.6640625" style="194" customWidth="1"/>
    <col min="14850" max="14850" width="6.5" style="194" customWidth="1"/>
    <col min="14851" max="14851" width="52.5" style="194" customWidth="1"/>
    <col min="14852" max="14852" width="6" style="194" customWidth="1"/>
    <col min="14853" max="14853" width="8.33203125" style="194" customWidth="1"/>
    <col min="14854" max="14854" width="10.1640625" style="194" customWidth="1"/>
    <col min="14855" max="14855" width="11.1640625" style="194" customWidth="1"/>
    <col min="14856" max="14857" width="8.83203125" style="194"/>
    <col min="14858" max="14858" width="14.5" style="194" bestFit="1" customWidth="1"/>
    <col min="14859" max="14859" width="8.83203125" style="194"/>
    <col min="14860" max="14861" width="14.5" style="194" bestFit="1" customWidth="1"/>
    <col min="14862" max="15104" width="8.83203125" style="194"/>
    <col min="15105" max="15105" width="6.6640625" style="194" customWidth="1"/>
    <col min="15106" max="15106" width="6.5" style="194" customWidth="1"/>
    <col min="15107" max="15107" width="52.5" style="194" customWidth="1"/>
    <col min="15108" max="15108" width="6" style="194" customWidth="1"/>
    <col min="15109" max="15109" width="8.33203125" style="194" customWidth="1"/>
    <col min="15110" max="15110" width="10.1640625" style="194" customWidth="1"/>
    <col min="15111" max="15111" width="11.1640625" style="194" customWidth="1"/>
    <col min="15112" max="15113" width="8.83203125" style="194"/>
    <col min="15114" max="15114" width="14.5" style="194" bestFit="1" customWidth="1"/>
    <col min="15115" max="15115" width="8.83203125" style="194"/>
    <col min="15116" max="15117" width="14.5" style="194" bestFit="1" customWidth="1"/>
    <col min="15118" max="15360" width="8.83203125" style="194"/>
    <col min="15361" max="15361" width="6.6640625" style="194" customWidth="1"/>
    <col min="15362" max="15362" width="6.5" style="194" customWidth="1"/>
    <col min="15363" max="15363" width="52.5" style="194" customWidth="1"/>
    <col min="15364" max="15364" width="6" style="194" customWidth="1"/>
    <col min="15365" max="15365" width="8.33203125" style="194" customWidth="1"/>
    <col min="15366" max="15366" width="10.1640625" style="194" customWidth="1"/>
    <col min="15367" max="15367" width="11.1640625" style="194" customWidth="1"/>
    <col min="15368" max="15369" width="8.83203125" style="194"/>
    <col min="15370" max="15370" width="14.5" style="194" bestFit="1" customWidth="1"/>
    <col min="15371" max="15371" width="8.83203125" style="194"/>
    <col min="15372" max="15373" width="14.5" style="194" bestFit="1" customWidth="1"/>
    <col min="15374" max="15616" width="8.83203125" style="194"/>
    <col min="15617" max="15617" width="6.6640625" style="194" customWidth="1"/>
    <col min="15618" max="15618" width="6.5" style="194" customWidth="1"/>
    <col min="15619" max="15619" width="52.5" style="194" customWidth="1"/>
    <col min="15620" max="15620" width="6" style="194" customWidth="1"/>
    <col min="15621" max="15621" width="8.33203125" style="194" customWidth="1"/>
    <col min="15622" max="15622" width="10.1640625" style="194" customWidth="1"/>
    <col min="15623" max="15623" width="11.1640625" style="194" customWidth="1"/>
    <col min="15624" max="15625" width="8.83203125" style="194"/>
    <col min="15626" max="15626" width="14.5" style="194" bestFit="1" customWidth="1"/>
    <col min="15627" max="15627" width="8.83203125" style="194"/>
    <col min="15628" max="15629" width="14.5" style="194" bestFit="1" customWidth="1"/>
    <col min="15630" max="15872" width="8.83203125" style="194"/>
    <col min="15873" max="15873" width="6.6640625" style="194" customWidth="1"/>
    <col min="15874" max="15874" width="6.5" style="194" customWidth="1"/>
    <col min="15875" max="15875" width="52.5" style="194" customWidth="1"/>
    <col min="15876" max="15876" width="6" style="194" customWidth="1"/>
    <col min="15877" max="15877" width="8.33203125" style="194" customWidth="1"/>
    <col min="15878" max="15878" width="10.1640625" style="194" customWidth="1"/>
    <col min="15879" max="15879" width="11.1640625" style="194" customWidth="1"/>
    <col min="15880" max="15881" width="8.83203125" style="194"/>
    <col min="15882" max="15882" width="14.5" style="194" bestFit="1" customWidth="1"/>
    <col min="15883" max="15883" width="8.83203125" style="194"/>
    <col min="15884" max="15885" width="14.5" style="194" bestFit="1" customWidth="1"/>
    <col min="15886" max="16128" width="8.83203125" style="194"/>
    <col min="16129" max="16129" width="6.6640625" style="194" customWidth="1"/>
    <col min="16130" max="16130" width="6.5" style="194" customWidth="1"/>
    <col min="16131" max="16131" width="52.5" style="194" customWidth="1"/>
    <col min="16132" max="16132" width="6" style="194" customWidth="1"/>
    <col min="16133" max="16133" width="8.33203125" style="194" customWidth="1"/>
    <col min="16134" max="16134" width="10.1640625" style="194" customWidth="1"/>
    <col min="16135" max="16135" width="11.1640625" style="194" customWidth="1"/>
    <col min="16136" max="16137" width="8.83203125" style="194"/>
    <col min="16138" max="16138" width="14.5" style="194" bestFit="1" customWidth="1"/>
    <col min="16139" max="16139" width="8.83203125" style="194"/>
    <col min="16140" max="16141" width="14.5" style="194" bestFit="1" customWidth="1"/>
    <col min="16142" max="16384" width="8.83203125" style="194"/>
  </cols>
  <sheetData>
    <row r="1" spans="1:7" ht="18.75" customHeight="1">
      <c r="A1" s="192"/>
      <c r="B1" s="193"/>
      <c r="C1" s="193"/>
      <c r="D1" s="193"/>
      <c r="E1" s="193"/>
      <c r="F1" s="193"/>
      <c r="G1" s="193"/>
    </row>
    <row r="2" spans="1:7">
      <c r="A2" s="193"/>
      <c r="B2" s="193"/>
      <c r="C2" s="193"/>
      <c r="D2" s="193"/>
      <c r="E2" s="193"/>
      <c r="F2" s="193"/>
      <c r="G2" s="193"/>
    </row>
    <row r="3" spans="1:7" ht="10.5" customHeight="1">
      <c r="A3" s="551" t="s">
        <v>0</v>
      </c>
      <c r="B3" s="551" t="s">
        <v>461</v>
      </c>
      <c r="C3" s="554" t="s">
        <v>1</v>
      </c>
      <c r="D3" s="551" t="s">
        <v>10</v>
      </c>
      <c r="E3" s="551" t="s">
        <v>11</v>
      </c>
      <c r="F3" s="551" t="s">
        <v>12</v>
      </c>
      <c r="G3" s="195"/>
    </row>
    <row r="4" spans="1:7" ht="10.5" customHeight="1">
      <c r="A4" s="552"/>
      <c r="B4" s="552"/>
      <c r="C4" s="555"/>
      <c r="D4" s="552"/>
      <c r="E4" s="552"/>
      <c r="F4" s="552"/>
      <c r="G4" s="196" t="s">
        <v>462</v>
      </c>
    </row>
    <row r="5" spans="1:7" ht="10.5" customHeight="1">
      <c r="A5" s="552"/>
      <c r="B5" s="552"/>
      <c r="C5" s="555"/>
      <c r="D5" s="552"/>
      <c r="E5" s="552"/>
      <c r="F5" s="552"/>
      <c r="G5" s="196"/>
    </row>
    <row r="6" spans="1:7" ht="3" customHeight="1">
      <c r="A6" s="553"/>
      <c r="B6" s="553"/>
      <c r="C6" s="556"/>
      <c r="D6" s="553"/>
      <c r="E6" s="553"/>
      <c r="F6" s="553"/>
      <c r="G6" s="197"/>
    </row>
    <row r="7" spans="1:7" ht="36" customHeight="1">
      <c r="A7" s="198">
        <v>5</v>
      </c>
      <c r="B7" s="199"/>
      <c r="C7" s="200" t="s">
        <v>463</v>
      </c>
      <c r="D7" s="199"/>
      <c r="E7" s="201"/>
      <c r="F7" s="202"/>
      <c r="G7" s="203"/>
    </row>
    <row r="8" spans="1:7">
      <c r="A8" s="198"/>
      <c r="B8" s="199"/>
      <c r="C8" s="200"/>
      <c r="D8" s="199"/>
      <c r="E8" s="201"/>
      <c r="F8" s="202"/>
      <c r="G8" s="203"/>
    </row>
    <row r="9" spans="1:7" ht="160.75" customHeight="1">
      <c r="A9" s="198"/>
      <c r="B9" s="199"/>
      <c r="C9" s="204" t="s">
        <v>464</v>
      </c>
      <c r="D9" s="199"/>
      <c r="E9" s="201"/>
      <c r="F9" s="202"/>
      <c r="G9" s="203"/>
    </row>
    <row r="10" spans="1:7" ht="57.5" customHeight="1">
      <c r="A10" s="198">
        <v>5.0999999999999996</v>
      </c>
      <c r="B10" s="199"/>
      <c r="C10" s="204" t="s">
        <v>475</v>
      </c>
      <c r="D10" s="199" t="s">
        <v>465</v>
      </c>
      <c r="E10" s="201">
        <v>30</v>
      </c>
      <c r="F10" s="202">
        <v>10</v>
      </c>
      <c r="G10" s="203">
        <f t="shared" ref="G10:G16" si="0">E10*F10</f>
        <v>300</v>
      </c>
    </row>
    <row r="11" spans="1:7" ht="60" customHeight="1">
      <c r="A11" s="198">
        <v>5.2</v>
      </c>
      <c r="B11" s="199"/>
      <c r="C11" s="204" t="s">
        <v>466</v>
      </c>
      <c r="D11" s="199" t="s">
        <v>465</v>
      </c>
      <c r="E11" s="201">
        <v>30</v>
      </c>
      <c r="F11" s="202">
        <v>95</v>
      </c>
      <c r="G11" s="203">
        <f t="shared" si="0"/>
        <v>2850</v>
      </c>
    </row>
    <row r="12" spans="1:7" ht="76.25" customHeight="1">
      <c r="A12" s="198">
        <v>5.3</v>
      </c>
      <c r="B12" s="199"/>
      <c r="C12" s="204" t="s">
        <v>467</v>
      </c>
      <c r="D12" s="199" t="s">
        <v>468</v>
      </c>
      <c r="E12" s="201">
        <v>12</v>
      </c>
      <c r="F12" s="202">
        <v>250</v>
      </c>
      <c r="G12" s="203">
        <f t="shared" si="0"/>
        <v>3000</v>
      </c>
    </row>
    <row r="13" spans="1:7" ht="63.5" customHeight="1">
      <c r="A13" s="198">
        <v>5.4</v>
      </c>
      <c r="B13" s="199"/>
      <c r="C13" s="204" t="s">
        <v>469</v>
      </c>
      <c r="D13" s="199" t="s">
        <v>468</v>
      </c>
      <c r="E13" s="201">
        <v>6</v>
      </c>
      <c r="F13" s="202">
        <v>410</v>
      </c>
      <c r="G13" s="203">
        <f t="shared" si="0"/>
        <v>2460</v>
      </c>
    </row>
    <row r="14" spans="1:7" ht="63.5" customHeight="1">
      <c r="A14" s="198">
        <v>5.5</v>
      </c>
      <c r="B14" s="199"/>
      <c r="C14" s="204" t="s">
        <v>470</v>
      </c>
      <c r="D14" s="199" t="s">
        <v>465</v>
      </c>
      <c r="E14" s="208">
        <v>30</v>
      </c>
      <c r="F14" s="202">
        <v>35</v>
      </c>
      <c r="G14" s="203">
        <f t="shared" si="0"/>
        <v>1050</v>
      </c>
    </row>
    <row r="15" spans="1:7" ht="45.5" customHeight="1">
      <c r="A15" s="198">
        <v>5.6</v>
      </c>
      <c r="B15" s="199"/>
      <c r="C15" s="209" t="s">
        <v>471</v>
      </c>
      <c r="D15" s="199" t="s">
        <v>429</v>
      </c>
      <c r="E15" s="210">
        <v>4</v>
      </c>
      <c r="F15" s="207">
        <v>500</v>
      </c>
      <c r="G15" s="203">
        <f t="shared" si="0"/>
        <v>2000</v>
      </c>
    </row>
    <row r="16" spans="1:7" ht="78.5" customHeight="1">
      <c r="A16" s="198">
        <v>5.7</v>
      </c>
      <c r="B16" s="199"/>
      <c r="C16" s="209" t="s">
        <v>472</v>
      </c>
      <c r="D16" s="199" t="s">
        <v>465</v>
      </c>
      <c r="E16" s="207">
        <v>30</v>
      </c>
      <c r="F16" s="207">
        <v>250</v>
      </c>
      <c r="G16" s="203">
        <f t="shared" si="0"/>
        <v>7500</v>
      </c>
    </row>
    <row r="17" spans="1:7" ht="23" customHeight="1">
      <c r="A17" s="198"/>
      <c r="B17" s="199"/>
      <c r="C17" s="209"/>
      <c r="D17" s="199"/>
      <c r="E17" s="207"/>
      <c r="F17" s="207"/>
      <c r="G17" s="203"/>
    </row>
    <row r="18" spans="1:7" ht="23" customHeight="1">
      <c r="A18" s="198"/>
      <c r="B18" s="199"/>
      <c r="C18" s="209"/>
      <c r="D18" s="199"/>
      <c r="E18" s="207"/>
      <c r="F18" s="207"/>
      <c r="G18" s="203"/>
    </row>
    <row r="19" spans="1:7" ht="23" customHeight="1">
      <c r="A19" s="198"/>
      <c r="B19" s="199"/>
      <c r="C19" s="209"/>
      <c r="D19" s="199"/>
      <c r="E19" s="207"/>
      <c r="F19" s="207"/>
      <c r="G19" s="203"/>
    </row>
    <row r="20" spans="1:7" ht="23" customHeight="1">
      <c r="A20" s="198"/>
      <c r="B20" s="199"/>
      <c r="C20" s="209"/>
      <c r="D20" s="199"/>
      <c r="E20" s="207"/>
      <c r="F20" s="207"/>
      <c r="G20" s="203"/>
    </row>
    <row r="21" spans="1:7" ht="23" customHeight="1">
      <c r="A21" s="198"/>
      <c r="B21" s="199"/>
      <c r="C21" s="209"/>
      <c r="D21" s="199"/>
      <c r="E21" s="207"/>
      <c r="F21" s="207"/>
      <c r="G21" s="203"/>
    </row>
    <row r="22" spans="1:7" ht="23" customHeight="1">
      <c r="A22" s="198"/>
      <c r="B22" s="199"/>
      <c r="C22" s="209"/>
      <c r="D22" s="199"/>
      <c r="E22" s="207"/>
      <c r="F22" s="207"/>
      <c r="G22" s="203"/>
    </row>
    <row r="23" spans="1:7" ht="23" customHeight="1">
      <c r="A23" s="532" t="s">
        <v>26</v>
      </c>
      <c r="B23" s="533"/>
      <c r="C23" s="533"/>
      <c r="D23" s="533"/>
      <c r="E23" s="533"/>
      <c r="F23" s="534"/>
      <c r="G23" s="17">
        <f>SUM(G7:G13)</f>
        <v>8610</v>
      </c>
    </row>
    <row r="24" spans="1:7" ht="23" customHeight="1">
      <c r="A24" s="532" t="s">
        <v>33</v>
      </c>
      <c r="B24" s="533"/>
      <c r="C24" s="533"/>
      <c r="D24" s="533"/>
      <c r="E24" s="533"/>
      <c r="F24" s="534"/>
      <c r="G24" s="17">
        <f>G23</f>
        <v>8610</v>
      </c>
    </row>
    <row r="25" spans="1:7" ht="148.25" customHeight="1">
      <c r="A25" s="198">
        <v>4.8</v>
      </c>
      <c r="B25" s="199"/>
      <c r="C25" s="209" t="s">
        <v>473</v>
      </c>
      <c r="D25" s="199" t="s">
        <v>31</v>
      </c>
      <c r="E25" s="207">
        <v>20</v>
      </c>
      <c r="F25" s="207">
        <v>170</v>
      </c>
      <c r="G25" s="203">
        <f>F25*E25</f>
        <v>3400</v>
      </c>
    </row>
    <row r="26" spans="1:7" ht="23" customHeight="1">
      <c r="A26" s="211"/>
      <c r="B26" s="212"/>
      <c r="C26" s="206"/>
      <c r="D26" s="199"/>
      <c r="E26" s="210"/>
      <c r="F26" s="207"/>
      <c r="G26" s="203"/>
    </row>
    <row r="27" spans="1:7" ht="36.75" customHeight="1">
      <c r="A27" s="198">
        <v>4.9000000000000004</v>
      </c>
      <c r="B27" s="199"/>
      <c r="C27" s="206" t="s">
        <v>474</v>
      </c>
      <c r="D27" s="199" t="s">
        <v>468</v>
      </c>
      <c r="E27" s="201">
        <v>0.5</v>
      </c>
      <c r="F27" s="207">
        <v>2200</v>
      </c>
      <c r="G27" s="203">
        <f>E27*F27</f>
        <v>1100</v>
      </c>
    </row>
    <row r="28" spans="1:7" ht="28" customHeight="1">
      <c r="A28" s="198"/>
      <c r="B28" s="205"/>
      <c r="C28" s="206"/>
      <c r="D28" s="199"/>
      <c r="E28" s="213"/>
      <c r="F28" s="207"/>
      <c r="G28" s="203"/>
    </row>
    <row r="29" spans="1:7" ht="28" customHeight="1">
      <c r="A29" s="198"/>
      <c r="B29" s="205"/>
      <c r="C29" s="206"/>
      <c r="D29" s="199"/>
      <c r="E29" s="213"/>
      <c r="F29" s="207"/>
      <c r="G29" s="203"/>
    </row>
    <row r="30" spans="1:7" ht="28" customHeight="1">
      <c r="A30" s="198"/>
      <c r="B30" s="205"/>
      <c r="C30" s="206"/>
      <c r="D30" s="199"/>
      <c r="E30" s="213"/>
      <c r="F30" s="207"/>
      <c r="G30" s="203"/>
    </row>
    <row r="31" spans="1:7" ht="28" customHeight="1">
      <c r="A31" s="198"/>
      <c r="B31" s="205"/>
      <c r="C31" s="206"/>
      <c r="D31" s="199"/>
      <c r="E31" s="213"/>
      <c r="F31" s="207"/>
      <c r="G31" s="203"/>
    </row>
    <row r="32" spans="1:7" ht="28" customHeight="1">
      <c r="A32" s="198"/>
      <c r="B32" s="205"/>
      <c r="C32" s="206"/>
      <c r="D32" s="199"/>
      <c r="E32" s="213"/>
      <c r="F32" s="207"/>
      <c r="G32" s="203"/>
    </row>
    <row r="33" spans="1:7" ht="28" customHeight="1">
      <c r="A33" s="198"/>
      <c r="B33" s="205"/>
      <c r="C33" s="206"/>
      <c r="D33" s="199"/>
      <c r="E33" s="213"/>
      <c r="F33" s="207"/>
      <c r="G33" s="203"/>
    </row>
    <row r="34" spans="1:7" ht="28" customHeight="1">
      <c r="A34" s="198"/>
      <c r="B34" s="205"/>
      <c r="C34" s="206"/>
      <c r="D34" s="199"/>
      <c r="E34" s="213"/>
      <c r="F34" s="207"/>
      <c r="G34" s="203"/>
    </row>
    <row r="35" spans="1:7" ht="28" customHeight="1">
      <c r="A35" s="198"/>
      <c r="B35" s="205"/>
      <c r="C35" s="206"/>
      <c r="D35" s="199"/>
      <c r="E35" s="213"/>
      <c r="F35" s="207"/>
      <c r="G35" s="203"/>
    </row>
    <row r="36" spans="1:7" ht="28" customHeight="1">
      <c r="A36" s="198"/>
      <c r="B36" s="205"/>
      <c r="C36" s="206"/>
      <c r="D36" s="199"/>
      <c r="E36" s="213"/>
      <c r="F36" s="207"/>
      <c r="G36" s="203"/>
    </row>
    <row r="37" spans="1:7" ht="28" customHeight="1">
      <c r="A37" s="198"/>
      <c r="B37" s="205"/>
      <c r="C37" s="206"/>
      <c r="D37" s="199"/>
      <c r="E37" s="213"/>
      <c r="F37" s="207"/>
      <c r="G37" s="203"/>
    </row>
    <row r="38" spans="1:7" ht="28" customHeight="1">
      <c r="A38" s="198"/>
      <c r="B38" s="205"/>
      <c r="C38" s="206"/>
      <c r="D38" s="199"/>
      <c r="E38" s="213"/>
      <c r="F38" s="207"/>
      <c r="G38" s="203"/>
    </row>
    <row r="39" spans="1:7" ht="28" customHeight="1">
      <c r="A39" s="198"/>
      <c r="B39" s="205"/>
      <c r="C39" s="206"/>
      <c r="D39" s="199"/>
      <c r="E39" s="213"/>
      <c r="F39" s="207"/>
      <c r="G39" s="203"/>
    </row>
    <row r="40" spans="1:7" ht="28" customHeight="1">
      <c r="A40" s="198"/>
      <c r="B40" s="205"/>
      <c r="C40" s="206"/>
      <c r="D40" s="199"/>
      <c r="E40" s="213"/>
      <c r="F40" s="207"/>
      <c r="G40" s="203"/>
    </row>
    <row r="41" spans="1:7" ht="28" customHeight="1">
      <c r="A41" s="198"/>
      <c r="B41" s="205"/>
      <c r="C41" s="206"/>
      <c r="D41" s="199"/>
      <c r="E41" s="213"/>
      <c r="F41" s="207"/>
      <c r="G41" s="203"/>
    </row>
    <row r="42" spans="1:7" ht="28" customHeight="1">
      <c r="A42" s="198"/>
      <c r="B42" s="205"/>
      <c r="C42" s="206"/>
      <c r="D42" s="199"/>
      <c r="E42" s="213"/>
      <c r="F42" s="207"/>
      <c r="G42" s="203"/>
    </row>
    <row r="43" spans="1:7" ht="28" customHeight="1">
      <c r="A43" s="198"/>
      <c r="B43" s="205"/>
      <c r="C43" s="206"/>
      <c r="D43" s="199"/>
      <c r="E43" s="213"/>
      <c r="F43" s="207"/>
      <c r="G43" s="203"/>
    </row>
    <row r="44" spans="1:7" ht="28" customHeight="1">
      <c r="A44" s="198"/>
      <c r="B44" s="205"/>
      <c r="C44" s="206"/>
      <c r="D44" s="199"/>
      <c r="E44" s="213"/>
      <c r="F44" s="207"/>
      <c r="G44" s="203"/>
    </row>
    <row r="45" spans="1:7" ht="28" customHeight="1">
      <c r="A45" s="198"/>
      <c r="B45" s="205"/>
      <c r="C45" s="206"/>
      <c r="D45" s="199"/>
      <c r="E45" s="213"/>
      <c r="F45" s="207"/>
      <c r="G45" s="203"/>
    </row>
    <row r="46" spans="1:7" ht="28" customHeight="1">
      <c r="A46" s="198"/>
      <c r="B46" s="205"/>
      <c r="C46" s="206"/>
      <c r="D46" s="199"/>
      <c r="E46" s="213"/>
      <c r="F46" s="207"/>
      <c r="G46" s="203"/>
    </row>
    <row r="47" spans="1:7" ht="28" customHeight="1">
      <c r="A47" s="198"/>
      <c r="B47" s="205"/>
      <c r="C47" s="206"/>
      <c r="D47" s="199"/>
      <c r="E47" s="213"/>
      <c r="F47" s="207"/>
      <c r="G47" s="203"/>
    </row>
    <row r="48" spans="1:7" ht="28" customHeight="1">
      <c r="A48" s="198"/>
      <c r="B48" s="205"/>
      <c r="C48" s="206"/>
      <c r="D48" s="199"/>
      <c r="E48" s="213"/>
      <c r="F48" s="207"/>
      <c r="G48" s="203"/>
    </row>
    <row r="49" spans="1:7" ht="28" customHeight="1">
      <c r="A49" s="198"/>
      <c r="B49" s="205"/>
      <c r="C49" s="206"/>
      <c r="D49" s="199"/>
      <c r="E49" s="213"/>
      <c r="F49" s="207"/>
      <c r="G49" s="203"/>
    </row>
    <row r="50" spans="1:7" ht="28.5" customHeight="1">
      <c r="A50" s="549" t="s">
        <v>54</v>
      </c>
      <c r="B50" s="550"/>
      <c r="C50" s="550"/>
      <c r="D50" s="550"/>
      <c r="E50" s="550"/>
      <c r="F50" s="550"/>
      <c r="G50" s="214">
        <f>SUM(G24:G49)</f>
        <v>13110</v>
      </c>
    </row>
    <row r="51" spans="1:7">
      <c r="A51" s="193"/>
      <c r="B51" s="193"/>
      <c r="C51" s="193"/>
      <c r="D51" s="193"/>
      <c r="E51" s="193"/>
      <c r="F51" s="193"/>
      <c r="G51" s="193"/>
    </row>
    <row r="52" spans="1:7">
      <c r="A52" s="193"/>
      <c r="B52" s="193"/>
      <c r="C52" s="193"/>
      <c r="D52" s="193"/>
      <c r="E52" s="193"/>
      <c r="F52" s="193"/>
      <c r="G52" s="193"/>
    </row>
    <row r="53" spans="1:7">
      <c r="A53" s="193"/>
      <c r="B53" s="193"/>
      <c r="C53" s="193"/>
      <c r="D53" s="193"/>
      <c r="E53" s="193"/>
      <c r="F53" s="193"/>
      <c r="G53" s="193"/>
    </row>
    <row r="54" spans="1:7">
      <c r="A54" s="193"/>
      <c r="B54" s="193"/>
      <c r="C54" s="193"/>
      <c r="D54" s="193"/>
      <c r="E54" s="193"/>
      <c r="F54" s="215"/>
      <c r="G54" s="193"/>
    </row>
    <row r="57" spans="1:7">
      <c r="F57" s="217"/>
    </row>
  </sheetData>
  <mergeCells count="9">
    <mergeCell ref="A50:F50"/>
    <mergeCell ref="A23:F23"/>
    <mergeCell ref="A24:F24"/>
    <mergeCell ref="A3:A6"/>
    <mergeCell ref="B3:B6"/>
    <mergeCell ref="C3:C6"/>
    <mergeCell ref="D3:D6"/>
    <mergeCell ref="E3:E6"/>
    <mergeCell ref="F3:F6"/>
  </mergeCells>
  <phoneticPr fontId="39" type="noConversion"/>
  <pageMargins left="0.55118110236220474" right="0.15748031496062992" top="0.74803149606299213" bottom="0.74803149606299213" header="0.31496062992125984" footer="0.31496062992125984"/>
  <pageSetup paperSize="9" scale="83" fitToHeight="0" orientation="portrait" r:id="rId1"/>
  <headerFooter>
    <oddHeader xml:space="preserve">&amp;C&amp;"-,Bold"Paving works, Transfomer yard 
</oddHeader>
    <oddFooter>&amp;LBill of Quantities&amp;CPage &amp;P&amp;RPolitsi</oddFoot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00B050"/>
  </sheetPr>
  <dimension ref="A1:J171"/>
  <sheetViews>
    <sheetView showWhiteSpace="0" view="pageLayout" topLeftCell="A13" zoomScaleNormal="125" zoomScaleSheetLayoutView="100" workbookViewId="0">
      <selection activeCell="C18" sqref="C18"/>
    </sheetView>
  </sheetViews>
  <sheetFormatPr baseColWidth="10" defaultColWidth="9.1640625" defaultRowHeight="13"/>
  <cols>
    <col min="1" max="1" width="8.1640625" style="21" customWidth="1"/>
    <col min="2" max="2" width="9.5" style="21" customWidth="1"/>
    <col min="3" max="3" width="53.83203125" style="21" customWidth="1"/>
    <col min="4" max="4" width="11.33203125" style="21" customWidth="1"/>
    <col min="5" max="5" width="12.33203125" style="21" customWidth="1"/>
    <col min="6" max="6" width="13.6640625" style="21" customWidth="1"/>
    <col min="7" max="7" width="15.5" style="21" customWidth="1"/>
    <col min="8" max="8" width="9.1640625" style="21"/>
    <col min="9" max="9" width="11.6640625" style="21" bestFit="1" customWidth="1"/>
    <col min="10" max="16384" width="9.1640625" style="21"/>
  </cols>
  <sheetData>
    <row r="1" spans="1:10">
      <c r="A1" s="15"/>
      <c r="B1" s="15"/>
      <c r="C1" s="15"/>
      <c r="D1" s="15"/>
      <c r="E1" s="15"/>
      <c r="F1" s="20"/>
      <c r="G1" s="20"/>
    </row>
    <row r="2" spans="1:10" ht="26.25" customHeight="1">
      <c r="A2" s="1" t="s">
        <v>0</v>
      </c>
      <c r="B2" s="1" t="s">
        <v>9</v>
      </c>
      <c r="C2" s="2" t="s">
        <v>1</v>
      </c>
      <c r="D2" s="2" t="s">
        <v>10</v>
      </c>
      <c r="E2" s="2" t="s">
        <v>11</v>
      </c>
      <c r="F2" s="2" t="s">
        <v>12</v>
      </c>
      <c r="G2" s="2" t="s">
        <v>13</v>
      </c>
    </row>
    <row r="3" spans="1:10" ht="30" customHeight="1">
      <c r="A3" s="3">
        <v>2</v>
      </c>
      <c r="B3" s="3"/>
      <c r="C3" s="4" t="s">
        <v>497</v>
      </c>
      <c r="D3" s="3"/>
      <c r="E3" s="3"/>
      <c r="F3" s="3"/>
      <c r="G3" s="3"/>
    </row>
    <row r="4" spans="1:10" ht="30" customHeight="1">
      <c r="A4" s="3"/>
      <c r="B4" s="3"/>
      <c r="C4" s="41" t="s">
        <v>95</v>
      </c>
      <c r="D4" s="3"/>
      <c r="E4" s="3"/>
      <c r="F4" s="3"/>
      <c r="G4" s="3"/>
    </row>
    <row r="5" spans="1:10" ht="30" customHeight="1">
      <c r="A5" s="6">
        <v>2.1</v>
      </c>
      <c r="B5" s="6"/>
      <c r="C5" s="4" t="s">
        <v>330</v>
      </c>
      <c r="D5" s="7"/>
      <c r="E5" s="7"/>
      <c r="F5" s="8"/>
      <c r="G5" s="8"/>
    </row>
    <row r="6" spans="1:10" ht="72.5" customHeight="1">
      <c r="A6" s="9"/>
      <c r="B6" s="10"/>
      <c r="C6" s="109" t="s">
        <v>324</v>
      </c>
      <c r="D6" s="7"/>
      <c r="E6" s="7"/>
      <c r="F6" s="108"/>
      <c r="G6" s="8"/>
    </row>
    <row r="7" spans="1:10" ht="150" customHeight="1">
      <c r="A7" s="9" t="s">
        <v>63</v>
      </c>
      <c r="B7" s="13"/>
      <c r="C7" s="11" t="s">
        <v>498</v>
      </c>
      <c r="D7" s="7" t="s">
        <v>2</v>
      </c>
      <c r="E7" s="14">
        <v>2</v>
      </c>
      <c r="F7" s="12">
        <f>(916850+60000+40000+45000)*1.3</f>
        <v>1380405</v>
      </c>
      <c r="G7" s="8">
        <f t="shared" ref="G7:G30" si="0">E7*F7</f>
        <v>2760810</v>
      </c>
      <c r="J7" s="21">
        <f>1.1*9.81*0.09145*190/0.8</f>
        <v>234.37377562500006</v>
      </c>
    </row>
    <row r="8" spans="1:10" ht="41.5" customHeight="1">
      <c r="A8" s="9" t="s">
        <v>4</v>
      </c>
      <c r="B8" s="13"/>
      <c r="C8" s="54" t="s">
        <v>493</v>
      </c>
      <c r="D8" s="7" t="s">
        <v>2</v>
      </c>
      <c r="E8" s="14">
        <f>$E$7</f>
        <v>2</v>
      </c>
      <c r="F8" s="26">
        <v>5960</v>
      </c>
      <c r="G8" s="8">
        <f t="shared" si="0"/>
        <v>11920</v>
      </c>
      <c r="I8" s="178"/>
    </row>
    <row r="9" spans="1:10" ht="45.5" customHeight="1">
      <c r="A9" s="9" t="s">
        <v>5</v>
      </c>
      <c r="B9" s="13"/>
      <c r="C9" s="54" t="s">
        <v>495</v>
      </c>
      <c r="D9" s="7" t="s">
        <v>2</v>
      </c>
      <c r="E9" s="50">
        <f>E8</f>
        <v>2</v>
      </c>
      <c r="F9" s="56">
        <v>62500</v>
      </c>
      <c r="G9" s="52">
        <f>F9*E9</f>
        <v>125000</v>
      </c>
    </row>
    <row r="10" spans="1:10" ht="28.75" customHeight="1">
      <c r="A10" s="9" t="s">
        <v>15</v>
      </c>
      <c r="B10" s="13"/>
      <c r="C10" s="54" t="s">
        <v>427</v>
      </c>
      <c r="D10" s="7" t="s">
        <v>2</v>
      </c>
      <c r="E10" s="50">
        <f>E9</f>
        <v>2</v>
      </c>
      <c r="F10" s="56">
        <v>75580</v>
      </c>
      <c r="G10" s="52">
        <f>F10*E10</f>
        <v>151160</v>
      </c>
    </row>
    <row r="11" spans="1:10" ht="111.75" customHeight="1">
      <c r="A11" s="9" t="s">
        <v>17</v>
      </c>
      <c r="B11" s="13"/>
      <c r="C11" s="19" t="s">
        <v>496</v>
      </c>
      <c r="D11" s="7" t="s">
        <v>2</v>
      </c>
      <c r="E11" s="100">
        <f>E7</f>
        <v>2</v>
      </c>
      <c r="F11" s="26">
        <f>352650*1.3</f>
        <v>458445</v>
      </c>
      <c r="G11" s="52">
        <f t="shared" si="0"/>
        <v>916890</v>
      </c>
    </row>
    <row r="12" spans="1:10" ht="127.75" customHeight="1">
      <c r="A12" s="9" t="s">
        <v>18</v>
      </c>
      <c r="B12" s="13"/>
      <c r="C12" s="54" t="s">
        <v>446</v>
      </c>
      <c r="D12" s="55" t="s">
        <v>3</v>
      </c>
      <c r="E12" s="50">
        <v>1</v>
      </c>
      <c r="F12" s="56">
        <v>55000</v>
      </c>
      <c r="G12" s="52">
        <f>E12*F12</f>
        <v>55000</v>
      </c>
    </row>
    <row r="13" spans="1:10" ht="26.5" customHeight="1">
      <c r="A13" s="9"/>
      <c r="B13" s="13"/>
      <c r="C13" s="19"/>
      <c r="D13" s="7"/>
      <c r="E13" s="14"/>
      <c r="F13" s="106"/>
      <c r="G13" s="8"/>
    </row>
    <row r="14" spans="1:10" ht="26.5" customHeight="1">
      <c r="A14" s="43">
        <v>2.2000000000000002</v>
      </c>
      <c r="B14" s="62"/>
      <c r="C14" s="68" t="s">
        <v>323</v>
      </c>
      <c r="D14" s="7"/>
      <c r="E14" s="100"/>
      <c r="F14" s="106"/>
      <c r="G14" s="107"/>
    </row>
    <row r="15" spans="1:10" ht="26.5" customHeight="1">
      <c r="A15" s="43"/>
      <c r="B15" s="62"/>
      <c r="C15" s="68"/>
      <c r="D15" s="7"/>
      <c r="E15" s="100"/>
      <c r="F15" s="106"/>
      <c r="G15" s="107"/>
    </row>
    <row r="16" spans="1:10" ht="80.75" customHeight="1">
      <c r="A16" s="9" t="s">
        <v>6</v>
      </c>
      <c r="B16" s="13"/>
      <c r="C16" s="11" t="s">
        <v>478</v>
      </c>
      <c r="D16" s="9" t="s">
        <v>31</v>
      </c>
      <c r="E16" s="100">
        <v>20</v>
      </c>
      <c r="F16" s="12">
        <f>7800*PI()*0.35*0.006*1*(45.75)*3.9</f>
        <v>9181.6234017705101</v>
      </c>
      <c r="G16" s="8">
        <f t="shared" si="0"/>
        <v>183632.46803541022</v>
      </c>
      <c r="I16" s="21">
        <f>4*(330/3600)/PI()/0.35^2</f>
        <v>0.95276428517597211</v>
      </c>
    </row>
    <row r="17" spans="1:7" ht="68" customHeight="1">
      <c r="A17" s="9" t="s">
        <v>7</v>
      </c>
      <c r="B17" s="13"/>
      <c r="C17" s="11" t="s">
        <v>458</v>
      </c>
      <c r="D17" s="9" t="s">
        <v>31</v>
      </c>
      <c r="E17" s="100">
        <f>5*3</f>
        <v>15</v>
      </c>
      <c r="F17" s="12">
        <f>7800*PI()*0.3*0.006*1*(45.75)*3.9</f>
        <v>7869.962915803294</v>
      </c>
      <c r="G17" s="8">
        <f t="shared" si="0"/>
        <v>118049.44373704941</v>
      </c>
    </row>
    <row r="18" spans="1:7" ht="70.25" customHeight="1">
      <c r="A18" s="9" t="s">
        <v>106</v>
      </c>
      <c r="B18" s="13"/>
      <c r="C18" s="11" t="s">
        <v>460</v>
      </c>
      <c r="D18" s="9" t="s">
        <v>31</v>
      </c>
      <c r="E18" s="100">
        <v>25</v>
      </c>
      <c r="F18" s="12">
        <f>7800*PI()*0.35*0.006*1*(45.75)*3.9</f>
        <v>9181.6234017705101</v>
      </c>
      <c r="G18" s="8">
        <f t="shared" si="0"/>
        <v>229540.58504426276</v>
      </c>
    </row>
    <row r="19" spans="1:7" ht="30.5" customHeight="1">
      <c r="A19" s="9" t="s">
        <v>108</v>
      </c>
      <c r="B19" s="13"/>
      <c r="C19" s="58" t="s">
        <v>428</v>
      </c>
      <c r="D19" s="9" t="s">
        <v>2</v>
      </c>
      <c r="E19" s="14">
        <f>E7</f>
        <v>2</v>
      </c>
      <c r="F19" s="12">
        <f>37312*1.3</f>
        <v>48505.599999999999</v>
      </c>
      <c r="G19" s="8">
        <f t="shared" si="0"/>
        <v>97011.199999999997</v>
      </c>
    </row>
    <row r="20" spans="1:7" ht="31.25" customHeight="1">
      <c r="A20" s="9" t="s">
        <v>111</v>
      </c>
      <c r="B20" s="13"/>
      <c r="C20" s="58" t="s">
        <v>454</v>
      </c>
      <c r="D20" s="9" t="s">
        <v>2</v>
      </c>
      <c r="E20" s="14">
        <f>E19</f>
        <v>2</v>
      </c>
      <c r="F20" s="12">
        <f>50905*1.3</f>
        <v>66176.5</v>
      </c>
      <c r="G20" s="8">
        <f t="shared" si="0"/>
        <v>132353</v>
      </c>
    </row>
    <row r="21" spans="1:7" ht="36.5" customHeight="1">
      <c r="A21" s="9" t="s">
        <v>113</v>
      </c>
      <c r="B21" s="13"/>
      <c r="C21" s="48" t="s">
        <v>455</v>
      </c>
      <c r="D21" s="9" t="s">
        <v>2</v>
      </c>
      <c r="E21" s="14">
        <f>E20</f>
        <v>2</v>
      </c>
      <c r="F21" s="12">
        <f>90098.75*1.5</f>
        <v>135148.125</v>
      </c>
      <c r="G21" s="8">
        <f t="shared" si="0"/>
        <v>270296.25</v>
      </c>
    </row>
    <row r="22" spans="1:7" ht="28.25" customHeight="1">
      <c r="A22" s="9"/>
      <c r="B22" s="13"/>
      <c r="C22" s="11"/>
      <c r="D22" s="9"/>
      <c r="E22" s="14"/>
      <c r="F22" s="23"/>
      <c r="G22" s="107"/>
    </row>
    <row r="23" spans="1:7" ht="28.25" customHeight="1">
      <c r="A23" s="532" t="s">
        <v>26</v>
      </c>
      <c r="B23" s="533"/>
      <c r="C23" s="533"/>
      <c r="D23" s="533"/>
      <c r="E23" s="533"/>
      <c r="F23" s="534"/>
      <c r="G23" s="17">
        <f>SUM(G3:G22)</f>
        <v>5051662.9468167229</v>
      </c>
    </row>
    <row r="24" spans="1:7" ht="27.75" customHeight="1">
      <c r="A24" s="532" t="s">
        <v>33</v>
      </c>
      <c r="B24" s="533"/>
      <c r="C24" s="533"/>
      <c r="D24" s="533"/>
      <c r="E24" s="533"/>
      <c r="F24" s="534"/>
      <c r="G24" s="17">
        <f>G23</f>
        <v>5051662.9468167229</v>
      </c>
    </row>
    <row r="25" spans="1:7" ht="70.75" customHeight="1">
      <c r="A25" s="9" t="s">
        <v>115</v>
      </c>
      <c r="B25" s="13"/>
      <c r="C25" s="101" t="s">
        <v>448</v>
      </c>
      <c r="D25" s="102" t="s">
        <v>2</v>
      </c>
      <c r="E25" s="102">
        <f>E19</f>
        <v>2</v>
      </c>
      <c r="F25" s="110">
        <f>70499.7*1.1*1.3</f>
        <v>100814.571</v>
      </c>
      <c r="G25" s="111">
        <v>211499.1</v>
      </c>
    </row>
    <row r="26" spans="1:7" ht="69" customHeight="1">
      <c r="A26" s="9" t="s">
        <v>117</v>
      </c>
      <c r="B26" s="13"/>
      <c r="C26" s="101" t="s">
        <v>456</v>
      </c>
      <c r="D26" s="102" t="s">
        <v>2</v>
      </c>
      <c r="E26" s="14">
        <f>E20</f>
        <v>2</v>
      </c>
      <c r="F26" s="110">
        <f>62499.7*1.1*1.3</f>
        <v>89374.570999999996</v>
      </c>
      <c r="G26" s="111">
        <v>211499.1</v>
      </c>
    </row>
    <row r="27" spans="1:7" ht="53.5" customHeight="1">
      <c r="A27" s="9" t="s">
        <v>119</v>
      </c>
      <c r="B27" s="13"/>
      <c r="C27" s="11" t="s">
        <v>339</v>
      </c>
      <c r="D27" s="9" t="s">
        <v>2</v>
      </c>
      <c r="E27" s="14">
        <v>1</v>
      </c>
      <c r="F27" s="12">
        <f>152785.1*(350/300)*1.1</f>
        <v>196074.2116666667</v>
      </c>
      <c r="G27" s="8">
        <f t="shared" si="0"/>
        <v>196074.2116666667</v>
      </c>
    </row>
    <row r="28" spans="1:7" ht="68.75" customHeight="1">
      <c r="A28" s="9" t="s">
        <v>121</v>
      </c>
      <c r="B28" s="13"/>
      <c r="C28" s="11" t="s">
        <v>447</v>
      </c>
      <c r="D28" s="9" t="s">
        <v>2</v>
      </c>
      <c r="E28" s="14">
        <v>1</v>
      </c>
      <c r="F28" s="12">
        <f>85988*1.1*1.3</f>
        <v>122962.84000000001</v>
      </c>
      <c r="G28" s="8">
        <f t="shared" si="0"/>
        <v>122962.84000000001</v>
      </c>
    </row>
    <row r="29" spans="1:7" ht="61.25" customHeight="1">
      <c r="A29" s="9" t="s">
        <v>123</v>
      </c>
      <c r="B29" s="15"/>
      <c r="C29" s="16" t="s">
        <v>251</v>
      </c>
      <c r="D29" s="9" t="s">
        <v>2</v>
      </c>
      <c r="E29" s="14">
        <v>3</v>
      </c>
      <c r="F29" s="12">
        <f>2800*1.3</f>
        <v>3640</v>
      </c>
      <c r="G29" s="8">
        <f t="shared" si="0"/>
        <v>10920</v>
      </c>
    </row>
    <row r="30" spans="1:7" ht="54.75" customHeight="1">
      <c r="A30" s="9" t="s">
        <v>125</v>
      </c>
      <c r="B30" s="15"/>
      <c r="C30" s="16" t="s">
        <v>329</v>
      </c>
      <c r="D30" s="9" t="s">
        <v>2</v>
      </c>
      <c r="E30" s="14">
        <v>3</v>
      </c>
      <c r="F30" s="12">
        <f>6250*1.3</f>
        <v>8125</v>
      </c>
      <c r="G30" s="8">
        <f t="shared" si="0"/>
        <v>24375</v>
      </c>
    </row>
    <row r="31" spans="1:7" ht="27" customHeight="1">
      <c r="A31" s="9"/>
      <c r="B31" s="15"/>
      <c r="C31" s="16"/>
      <c r="D31" s="9"/>
      <c r="E31" s="14"/>
      <c r="F31" s="12"/>
      <c r="G31" s="8"/>
    </row>
    <row r="32" spans="1:7" ht="30" customHeight="1">
      <c r="A32" s="6">
        <v>2.2000000000000002</v>
      </c>
      <c r="B32" s="10"/>
      <c r="C32" s="4" t="s">
        <v>325</v>
      </c>
      <c r="D32" s="9"/>
      <c r="E32" s="14"/>
      <c r="F32" s="12"/>
      <c r="G32" s="8"/>
    </row>
    <row r="33" spans="1:7" ht="30" customHeight="1">
      <c r="A33" s="9" t="s">
        <v>6</v>
      </c>
      <c r="B33" s="10"/>
      <c r="C33" s="11" t="s">
        <v>35</v>
      </c>
      <c r="D33" s="9" t="s">
        <v>2</v>
      </c>
      <c r="E33" s="14">
        <v>3</v>
      </c>
      <c r="F33" s="12">
        <v>2300</v>
      </c>
      <c r="G33" s="8">
        <f>E33*F33</f>
        <v>6900</v>
      </c>
    </row>
    <row r="34" spans="1:7" ht="34.75" customHeight="1">
      <c r="A34" s="9" t="s">
        <v>7</v>
      </c>
      <c r="B34" s="10"/>
      <c r="C34" s="11" t="s">
        <v>36</v>
      </c>
      <c r="D34" s="9" t="s">
        <v>252</v>
      </c>
      <c r="E34" s="14">
        <v>3</v>
      </c>
      <c r="F34" s="12">
        <v>2400</v>
      </c>
      <c r="G34" s="8">
        <f>E34*F34</f>
        <v>7200</v>
      </c>
    </row>
    <row r="35" spans="1:7" ht="34.75" customHeight="1">
      <c r="A35" s="9" t="s">
        <v>106</v>
      </c>
      <c r="B35" s="10"/>
      <c r="C35" s="11" t="s">
        <v>326</v>
      </c>
      <c r="D35" s="9" t="s">
        <v>252</v>
      </c>
      <c r="E35" s="14">
        <v>3</v>
      </c>
      <c r="F35" s="12">
        <v>2400</v>
      </c>
      <c r="G35" s="8">
        <f>E35*F35</f>
        <v>7200</v>
      </c>
    </row>
    <row r="36" spans="1:7" ht="50.5" customHeight="1">
      <c r="A36" s="9" t="s">
        <v>108</v>
      </c>
      <c r="B36" s="10"/>
      <c r="C36" s="11" t="s">
        <v>459</v>
      </c>
      <c r="D36" s="9" t="s">
        <v>2</v>
      </c>
      <c r="E36" s="14">
        <v>3</v>
      </c>
      <c r="F36" s="12">
        <f>9585*1.25</f>
        <v>11981.25</v>
      </c>
      <c r="G36" s="8">
        <f>E36*F36</f>
        <v>35943.75</v>
      </c>
    </row>
    <row r="37" spans="1:7" ht="24.5" customHeight="1">
      <c r="A37" s="9"/>
      <c r="B37" s="10"/>
      <c r="C37" s="112"/>
      <c r="D37" s="9"/>
      <c r="E37" s="14"/>
      <c r="F37" s="12"/>
      <c r="G37" s="8"/>
    </row>
    <row r="38" spans="1:7" ht="24.5" customHeight="1">
      <c r="A38" s="6">
        <v>2.2999999999999998</v>
      </c>
      <c r="B38" s="15"/>
      <c r="C38" s="18" t="s">
        <v>331</v>
      </c>
      <c r="D38" s="7"/>
      <c r="E38" s="14"/>
      <c r="F38" s="12"/>
      <c r="G38" s="8"/>
    </row>
    <row r="39" spans="1:7" ht="24.5" customHeight="1">
      <c r="A39" s="9" t="s">
        <v>8</v>
      </c>
      <c r="B39" s="15"/>
      <c r="C39" s="16" t="s">
        <v>28</v>
      </c>
      <c r="D39" s="7" t="s">
        <v>3</v>
      </c>
      <c r="E39" s="14">
        <v>3</v>
      </c>
      <c r="F39" s="12">
        <v>5000</v>
      </c>
      <c r="G39" s="8">
        <f>E39*F39</f>
        <v>15000</v>
      </c>
    </row>
    <row r="40" spans="1:7" ht="24.5" customHeight="1">
      <c r="A40" s="9"/>
      <c r="B40" s="15"/>
      <c r="C40" s="16"/>
      <c r="D40" s="7"/>
      <c r="E40" s="14"/>
      <c r="F40" s="12"/>
      <c r="G40" s="8"/>
    </row>
    <row r="41" spans="1:7" ht="24.5" customHeight="1">
      <c r="A41" s="6">
        <v>2.4</v>
      </c>
      <c r="B41" s="10"/>
      <c r="C41" s="18" t="s">
        <v>332</v>
      </c>
      <c r="D41" s="7"/>
      <c r="E41" s="14"/>
      <c r="F41" s="12"/>
      <c r="G41" s="8"/>
    </row>
    <row r="42" spans="1:7" ht="48.5" customHeight="1">
      <c r="A42" s="9" t="s">
        <v>38</v>
      </c>
      <c r="B42" s="15"/>
      <c r="C42" s="16" t="s">
        <v>245</v>
      </c>
      <c r="D42" s="9" t="s">
        <v>3</v>
      </c>
      <c r="E42" s="14">
        <v>1</v>
      </c>
      <c r="F42" s="12">
        <v>45000</v>
      </c>
      <c r="G42" s="8">
        <f>E42*F42</f>
        <v>45000</v>
      </c>
    </row>
    <row r="43" spans="1:7" ht="33.5" customHeight="1">
      <c r="A43" s="9" t="s">
        <v>55</v>
      </c>
      <c r="B43" s="15"/>
      <c r="C43" s="16" t="s">
        <v>41</v>
      </c>
      <c r="D43" s="9" t="s">
        <v>3</v>
      </c>
      <c r="E43" s="14">
        <v>1</v>
      </c>
      <c r="F43" s="12">
        <v>35000</v>
      </c>
      <c r="G43" s="8">
        <f>E43*F43</f>
        <v>35000</v>
      </c>
    </row>
    <row r="44" spans="1:7" ht="37.25" customHeight="1">
      <c r="A44" s="9" t="s">
        <v>210</v>
      </c>
      <c r="B44" s="15"/>
      <c r="C44" s="16" t="s">
        <v>333</v>
      </c>
      <c r="D44" s="9" t="s">
        <v>67</v>
      </c>
      <c r="E44" s="14">
        <v>2</v>
      </c>
      <c r="F44" s="12">
        <v>20000</v>
      </c>
      <c r="G44" s="8">
        <f>E44*F44</f>
        <v>40000</v>
      </c>
    </row>
    <row r="45" spans="1:7" ht="24.5" customHeight="1">
      <c r="A45" s="9"/>
      <c r="B45" s="10"/>
      <c r="C45" s="112"/>
      <c r="D45" s="9"/>
      <c r="E45" s="14"/>
      <c r="F45" s="12"/>
      <c r="G45" s="8"/>
    </row>
    <row r="46" spans="1:7" ht="24.5" customHeight="1">
      <c r="A46" s="6">
        <v>2.5</v>
      </c>
      <c r="B46" s="10"/>
      <c r="C46" s="18" t="s">
        <v>334</v>
      </c>
      <c r="D46" s="9"/>
      <c r="E46" s="14"/>
      <c r="F46" s="12"/>
      <c r="G46" s="8"/>
    </row>
    <row r="47" spans="1:7" ht="34.75" customHeight="1">
      <c r="A47" s="185" t="s">
        <v>216</v>
      </c>
      <c r="B47" s="10"/>
      <c r="C47" s="184" t="s">
        <v>337</v>
      </c>
      <c r="D47" s="185" t="s">
        <v>2</v>
      </c>
      <c r="E47" s="14">
        <v>3</v>
      </c>
      <c r="F47" s="186">
        <v>15000</v>
      </c>
      <c r="G47" s="187">
        <f>E47*F47</f>
        <v>45000</v>
      </c>
    </row>
    <row r="48" spans="1:7" ht="36" customHeight="1">
      <c r="A48" s="185" t="s">
        <v>220</v>
      </c>
      <c r="B48" s="10"/>
      <c r="C48" s="184" t="s">
        <v>494</v>
      </c>
      <c r="D48" s="185" t="s">
        <v>457</v>
      </c>
      <c r="E48" s="14">
        <v>3</v>
      </c>
      <c r="F48" s="190">
        <v>60000</v>
      </c>
      <c r="G48" s="187">
        <f>E48*F48</f>
        <v>180000</v>
      </c>
    </row>
    <row r="49" spans="1:7" ht="29.5" customHeight="1">
      <c r="A49" s="185" t="s">
        <v>222</v>
      </c>
      <c r="B49" s="10"/>
      <c r="C49" s="184" t="s">
        <v>244</v>
      </c>
      <c r="D49" s="185" t="s">
        <v>457</v>
      </c>
      <c r="E49" s="14">
        <v>1</v>
      </c>
      <c r="F49" s="191">
        <v>45000</v>
      </c>
      <c r="G49" s="187">
        <f>E49*F49</f>
        <v>45000</v>
      </c>
    </row>
    <row r="50" spans="1:7" ht="25.25" customHeight="1">
      <c r="A50" s="185" t="s">
        <v>444</v>
      </c>
      <c r="B50" s="185"/>
      <c r="C50" s="184" t="s">
        <v>453</v>
      </c>
      <c r="D50" s="9" t="s">
        <v>3</v>
      </c>
      <c r="E50" s="185">
        <v>1</v>
      </c>
      <c r="F50" s="186">
        <v>2500</v>
      </c>
      <c r="G50" s="187">
        <f>E50*F50</f>
        <v>2500</v>
      </c>
    </row>
    <row r="51" spans="1:7" ht="25.75" customHeight="1">
      <c r="A51" s="532" t="s">
        <v>26</v>
      </c>
      <c r="B51" s="533"/>
      <c r="C51" s="533"/>
      <c r="D51" s="533"/>
      <c r="E51" s="533"/>
      <c r="F51" s="534"/>
      <c r="G51" s="17">
        <f>SUM(G24:G50)</f>
        <v>6293736.9484833889</v>
      </c>
    </row>
    <row r="52" spans="1:7" ht="25.75" customHeight="1">
      <c r="A52" s="532" t="s">
        <v>33</v>
      </c>
      <c r="B52" s="533"/>
      <c r="C52" s="533"/>
      <c r="D52" s="533"/>
      <c r="E52" s="533"/>
      <c r="F52" s="534"/>
      <c r="G52" s="17">
        <f>G51</f>
        <v>6293736.9484833889</v>
      </c>
    </row>
    <row r="53" spans="1:7" ht="25.5" customHeight="1">
      <c r="A53" s="9"/>
      <c r="B53" s="15"/>
      <c r="C53" s="16"/>
      <c r="D53" s="7"/>
      <c r="E53" s="14"/>
      <c r="F53" s="12"/>
      <c r="G53" s="8"/>
    </row>
    <row r="54" spans="1:7" ht="28.5" customHeight="1">
      <c r="A54" s="6">
        <v>2.6</v>
      </c>
      <c r="B54" s="10"/>
      <c r="C54" s="4" t="s">
        <v>336</v>
      </c>
      <c r="D54" s="9"/>
      <c r="E54" s="14"/>
      <c r="F54" s="12"/>
      <c r="G54" s="8"/>
    </row>
    <row r="55" spans="1:7" ht="28.5" customHeight="1">
      <c r="A55" s="9" t="s">
        <v>43</v>
      </c>
      <c r="B55" s="10"/>
      <c r="C55" s="11" t="s">
        <v>327</v>
      </c>
      <c r="D55" s="9" t="s">
        <v>3</v>
      </c>
      <c r="E55" s="14">
        <v>1</v>
      </c>
      <c r="F55" s="12">
        <v>35000</v>
      </c>
      <c r="G55" s="8">
        <f>E55*F55</f>
        <v>35000</v>
      </c>
    </row>
    <row r="56" spans="1:7" ht="28.5" customHeight="1">
      <c r="A56" s="9"/>
      <c r="B56" s="10"/>
      <c r="C56" s="11"/>
      <c r="D56" s="9"/>
      <c r="E56" s="14"/>
      <c r="F56" s="12"/>
      <c r="G56" s="8"/>
    </row>
    <row r="57" spans="1:7" ht="28.5" customHeight="1">
      <c r="A57" s="6">
        <v>2.7</v>
      </c>
      <c r="B57" s="10"/>
      <c r="C57" s="42" t="s">
        <v>215</v>
      </c>
      <c r="D57" s="46"/>
      <c r="E57" s="44"/>
      <c r="F57" s="113"/>
      <c r="G57" s="45"/>
    </row>
    <row r="58" spans="1:7" ht="103.25" customHeight="1">
      <c r="A58" s="9" t="s">
        <v>46</v>
      </c>
      <c r="B58" s="10"/>
      <c r="C58" s="58" t="s">
        <v>338</v>
      </c>
      <c r="D58" s="46" t="s">
        <v>2</v>
      </c>
      <c r="E58" s="44">
        <v>1</v>
      </c>
      <c r="F58" s="113">
        <v>50000</v>
      </c>
      <c r="G58" s="45">
        <f t="shared" ref="G58:G61" si="1">F58*E58</f>
        <v>50000</v>
      </c>
    </row>
    <row r="59" spans="1:7" ht="30" customHeight="1">
      <c r="A59" s="9" t="s">
        <v>246</v>
      </c>
      <c r="B59" s="10"/>
      <c r="C59" s="58" t="s">
        <v>219</v>
      </c>
      <c r="D59" s="46" t="s">
        <v>2</v>
      </c>
      <c r="E59" s="44">
        <v>1</v>
      </c>
      <c r="F59" s="113">
        <v>750</v>
      </c>
      <c r="G59" s="45">
        <f t="shared" si="1"/>
        <v>750</v>
      </c>
    </row>
    <row r="60" spans="1:7" ht="30" customHeight="1">
      <c r="A60" s="9" t="s">
        <v>247</v>
      </c>
      <c r="B60" s="10"/>
      <c r="C60" s="58" t="s">
        <v>221</v>
      </c>
      <c r="D60" s="46" t="s">
        <v>2</v>
      </c>
      <c r="E60" s="44">
        <v>1</v>
      </c>
      <c r="F60" s="113">
        <v>1828.75</v>
      </c>
      <c r="G60" s="45">
        <f t="shared" si="1"/>
        <v>1828.75</v>
      </c>
    </row>
    <row r="61" spans="1:7" ht="30.5" customHeight="1">
      <c r="A61" s="9" t="s">
        <v>248</v>
      </c>
      <c r="B61" s="10"/>
      <c r="C61" s="58" t="s">
        <v>328</v>
      </c>
      <c r="D61" s="46" t="s">
        <v>31</v>
      </c>
      <c r="E61" s="44">
        <v>15</v>
      </c>
      <c r="F61" s="113">
        <v>1650</v>
      </c>
      <c r="G61" s="45">
        <f t="shared" si="1"/>
        <v>24750</v>
      </c>
    </row>
    <row r="62" spans="1:7" ht="40.5" customHeight="1">
      <c r="A62" s="9"/>
      <c r="B62" s="10"/>
      <c r="C62" s="58"/>
      <c r="D62" s="46"/>
      <c r="E62" s="59"/>
      <c r="F62" s="78"/>
      <c r="G62" s="45"/>
    </row>
    <row r="63" spans="1:7" ht="30" customHeight="1">
      <c r="A63" s="6">
        <v>2.8</v>
      </c>
      <c r="B63" s="10"/>
      <c r="C63" s="4" t="s">
        <v>335</v>
      </c>
      <c r="D63" s="9"/>
      <c r="E63" s="14"/>
      <c r="F63" s="12"/>
      <c r="G63" s="8"/>
    </row>
    <row r="64" spans="1:7" ht="33.5" customHeight="1">
      <c r="A64" s="9" t="s">
        <v>48</v>
      </c>
      <c r="B64" s="10"/>
      <c r="C64" s="11" t="s">
        <v>249</v>
      </c>
      <c r="D64" s="9" t="s">
        <v>3</v>
      </c>
      <c r="E64" s="14">
        <v>1</v>
      </c>
      <c r="F64" s="12">
        <v>30000</v>
      </c>
      <c r="G64" s="8">
        <f>E64*F64</f>
        <v>30000</v>
      </c>
    </row>
    <row r="65" spans="1:10" ht="31.75" customHeight="1">
      <c r="A65" s="9" t="s">
        <v>56</v>
      </c>
      <c r="B65" s="10"/>
      <c r="C65" s="11" t="s">
        <v>250</v>
      </c>
      <c r="D65" s="9" t="s">
        <v>3</v>
      </c>
      <c r="E65" s="14">
        <v>1</v>
      </c>
      <c r="F65" s="12">
        <f>8*10*800*1.15</f>
        <v>73600</v>
      </c>
      <c r="G65" s="8">
        <f>E65*F65</f>
        <v>73600</v>
      </c>
    </row>
    <row r="66" spans="1:10" ht="23.5" customHeight="1">
      <c r="A66" s="9" t="s">
        <v>57</v>
      </c>
      <c r="B66" s="10"/>
      <c r="C66" s="11" t="s">
        <v>24</v>
      </c>
      <c r="D66" s="9" t="s">
        <v>3</v>
      </c>
      <c r="E66" s="14">
        <v>1</v>
      </c>
      <c r="F66" s="22">
        <v>75000</v>
      </c>
      <c r="G66" s="8">
        <f t="shared" ref="G66:G68" si="2">E66*F66</f>
        <v>75000</v>
      </c>
    </row>
    <row r="67" spans="1:10" ht="28.5" customHeight="1">
      <c r="A67" s="9" t="s">
        <v>58</v>
      </c>
      <c r="B67" s="10"/>
      <c r="C67" s="11" t="s">
        <v>25</v>
      </c>
      <c r="D67" s="9" t="s">
        <v>3</v>
      </c>
      <c r="E67" s="14">
        <v>1</v>
      </c>
      <c r="F67" s="22">
        <v>25000</v>
      </c>
      <c r="G67" s="8">
        <f t="shared" si="2"/>
        <v>25000</v>
      </c>
    </row>
    <row r="68" spans="1:10" ht="36" customHeight="1">
      <c r="A68" s="9" t="s">
        <v>59</v>
      </c>
      <c r="B68" s="10"/>
      <c r="C68" s="11" t="s">
        <v>322</v>
      </c>
      <c r="D68" s="9" t="s">
        <v>3</v>
      </c>
      <c r="E68" s="14">
        <v>3</v>
      </c>
      <c r="F68" s="22">
        <v>15000</v>
      </c>
      <c r="G68" s="8">
        <f t="shared" si="2"/>
        <v>45000</v>
      </c>
    </row>
    <row r="69" spans="1:10" ht="27.5" customHeight="1">
      <c r="A69" s="9"/>
      <c r="B69" s="10"/>
      <c r="C69" s="11"/>
      <c r="D69" s="9"/>
      <c r="E69" s="14"/>
      <c r="F69" s="12"/>
      <c r="G69" s="8"/>
    </row>
    <row r="70" spans="1:10" ht="27.5" customHeight="1">
      <c r="A70" s="6">
        <v>2.9</v>
      </c>
      <c r="B70" s="10"/>
      <c r="C70" s="68" t="s">
        <v>480</v>
      </c>
      <c r="D70" s="55"/>
      <c r="E70" s="55"/>
      <c r="F70" s="52"/>
      <c r="G70" s="52"/>
    </row>
    <row r="71" spans="1:10" ht="44" customHeight="1">
      <c r="A71" s="9" t="s">
        <v>479</v>
      </c>
      <c r="B71" s="10"/>
      <c r="C71" s="48" t="s">
        <v>489</v>
      </c>
      <c r="D71" s="9" t="s">
        <v>395</v>
      </c>
      <c r="E71" s="50">
        <v>2</v>
      </c>
      <c r="F71" s="71">
        <v>45000</v>
      </c>
      <c r="G71" s="8">
        <f t="shared" ref="G71:G73" si="3">E71*F71</f>
        <v>90000</v>
      </c>
      <c r="I71" s="21">
        <f>91.5*2*0.05</f>
        <v>9.15</v>
      </c>
    </row>
    <row r="72" spans="1:10" ht="32.5" customHeight="1">
      <c r="A72" s="9" t="s">
        <v>481</v>
      </c>
      <c r="B72" s="10"/>
      <c r="C72" s="48" t="s">
        <v>482</v>
      </c>
      <c r="D72" s="9" t="s">
        <v>395</v>
      </c>
      <c r="E72" s="50">
        <v>1</v>
      </c>
      <c r="F72" s="71">
        <v>40000</v>
      </c>
      <c r="G72" s="8">
        <f t="shared" si="3"/>
        <v>40000</v>
      </c>
    </row>
    <row r="73" spans="1:10" ht="33" customHeight="1">
      <c r="A73" s="9" t="s">
        <v>484</v>
      </c>
      <c r="B73" s="10"/>
      <c r="C73" s="48" t="s">
        <v>483</v>
      </c>
      <c r="D73" s="9" t="s">
        <v>395</v>
      </c>
      <c r="E73" s="50">
        <v>140</v>
      </c>
      <c r="F73" s="71">
        <v>160</v>
      </c>
      <c r="G73" s="8">
        <f t="shared" si="3"/>
        <v>22400</v>
      </c>
      <c r="J73" s="21">
        <f>(0.04/PI()/1.8)^0.5*1000</f>
        <v>84.104417400672006</v>
      </c>
    </row>
    <row r="74" spans="1:10" ht="31.25" customHeight="1">
      <c r="A74" s="9"/>
      <c r="B74" s="10"/>
      <c r="C74" s="48"/>
      <c r="D74" s="49"/>
      <c r="E74" s="50"/>
      <c r="F74" s="51"/>
      <c r="G74" s="8"/>
      <c r="I74" s="178"/>
    </row>
    <row r="75" spans="1:10" ht="31.25" customHeight="1">
      <c r="A75" s="223">
        <v>2.1</v>
      </c>
      <c r="B75" s="10"/>
      <c r="C75" s="68" t="s">
        <v>491</v>
      </c>
      <c r="D75" s="55"/>
      <c r="E75" s="55"/>
      <c r="F75" s="52"/>
      <c r="G75" s="8"/>
      <c r="I75" s="178"/>
    </row>
    <row r="76" spans="1:10" ht="46.25" customHeight="1">
      <c r="A76" s="9" t="s">
        <v>485</v>
      </c>
      <c r="B76" s="10"/>
      <c r="C76" s="48" t="s">
        <v>488</v>
      </c>
      <c r="D76" s="9" t="s">
        <v>395</v>
      </c>
      <c r="E76" s="50">
        <v>2</v>
      </c>
      <c r="F76" s="71">
        <v>25000</v>
      </c>
      <c r="G76" s="8">
        <f t="shared" ref="G76:G77" si="4">E76*F76</f>
        <v>50000</v>
      </c>
    </row>
    <row r="77" spans="1:10" ht="31.25" customHeight="1">
      <c r="A77" s="9" t="s">
        <v>481</v>
      </c>
      <c r="B77" s="10"/>
      <c r="C77" s="48" t="s">
        <v>482</v>
      </c>
      <c r="D77" s="9" t="s">
        <v>395</v>
      </c>
      <c r="E77" s="50">
        <v>1</v>
      </c>
      <c r="F77" s="71">
        <v>20000</v>
      </c>
      <c r="G77" s="8">
        <f t="shared" si="4"/>
        <v>20000</v>
      </c>
    </row>
    <row r="78" spans="1:10" ht="31.25" customHeight="1">
      <c r="A78" s="9"/>
      <c r="B78" s="10"/>
      <c r="C78" s="48"/>
      <c r="D78" s="49"/>
      <c r="E78" s="50"/>
      <c r="F78" s="51"/>
      <c r="G78" s="8"/>
    </row>
    <row r="79" spans="1:10" ht="31.25" customHeight="1">
      <c r="A79" s="223">
        <v>2.11</v>
      </c>
      <c r="B79" s="10"/>
      <c r="C79" s="68" t="s">
        <v>492</v>
      </c>
      <c r="D79" s="55"/>
      <c r="E79" s="55"/>
      <c r="F79" s="52"/>
      <c r="G79" s="8"/>
    </row>
    <row r="80" spans="1:10" ht="53.75" customHeight="1">
      <c r="A80" s="9" t="s">
        <v>486</v>
      </c>
      <c r="B80" s="10"/>
      <c r="C80" s="48" t="s">
        <v>487</v>
      </c>
      <c r="D80" s="9" t="s">
        <v>395</v>
      </c>
      <c r="E80" s="50">
        <v>2</v>
      </c>
      <c r="F80" s="71">
        <v>120000</v>
      </c>
      <c r="G80" s="8">
        <f t="shared" ref="G80:G82" si="5">E80*F80</f>
        <v>240000</v>
      </c>
    </row>
    <row r="81" spans="1:9" ht="31.25" customHeight="1">
      <c r="A81" s="9" t="s">
        <v>481</v>
      </c>
      <c r="B81" s="10"/>
      <c r="C81" s="48" t="s">
        <v>482</v>
      </c>
      <c r="D81" s="9" t="s">
        <v>395</v>
      </c>
      <c r="E81" s="50">
        <v>1</v>
      </c>
      <c r="F81" s="71">
        <v>200000</v>
      </c>
      <c r="G81" s="8">
        <f t="shared" si="5"/>
        <v>200000</v>
      </c>
    </row>
    <row r="82" spans="1:9" ht="28.25" customHeight="1">
      <c r="A82" s="9" t="s">
        <v>484</v>
      </c>
      <c r="B82" s="10"/>
      <c r="C82" s="11" t="s">
        <v>490</v>
      </c>
      <c r="D82" s="9" t="s">
        <v>395</v>
      </c>
      <c r="E82" s="14">
        <v>1</v>
      </c>
      <c r="F82" s="224">
        <v>200000</v>
      </c>
      <c r="G82" s="8">
        <f t="shared" si="5"/>
        <v>200000</v>
      </c>
      <c r="I82" s="178">
        <f>SUM(G71:G82)</f>
        <v>862400</v>
      </c>
    </row>
    <row r="83" spans="1:9" ht="31.25" customHeight="1">
      <c r="A83" s="532" t="s">
        <v>54</v>
      </c>
      <c r="B83" s="533"/>
      <c r="C83" s="533"/>
      <c r="D83" s="533"/>
      <c r="E83" s="533"/>
      <c r="F83" s="534"/>
      <c r="G83" s="17">
        <f>SUM(G52:G82)</f>
        <v>7517065.6984833889</v>
      </c>
    </row>
    <row r="84" spans="1:9" ht="31.25" customHeight="1"/>
    <row r="85" spans="1:9" ht="31.25" customHeight="1"/>
    <row r="86" spans="1:9" ht="31.25" customHeight="1"/>
    <row r="87" spans="1:9" ht="58.75" customHeight="1"/>
    <row r="88" spans="1:9" ht="31.25" customHeight="1"/>
    <row r="89" spans="1:9" ht="31.25" customHeight="1"/>
    <row r="90" spans="1:9" ht="31.25" customHeight="1"/>
    <row r="91" spans="1:9" ht="31.25" customHeight="1"/>
    <row r="92" spans="1:9" ht="31.25" customHeight="1"/>
    <row r="93" spans="1:9" ht="31.25" customHeight="1"/>
    <row r="94" spans="1:9" ht="31.25" customHeight="1"/>
    <row r="95" spans="1:9" ht="31.25" customHeight="1"/>
    <row r="96" spans="1:9" ht="31.25" customHeight="1"/>
    <row r="97" ht="33.5" customHeight="1"/>
    <row r="98" ht="33.5" customHeight="1"/>
    <row r="99" ht="26.5" customHeight="1"/>
    <row r="100" ht="27.5" customHeight="1"/>
    <row r="101" ht="33.5" customHeight="1"/>
    <row r="102" ht="27.75" customHeight="1"/>
    <row r="103" ht="33.5" customHeight="1"/>
    <row r="104" ht="27.75" customHeight="1"/>
    <row r="105" ht="27.75" customHeight="1"/>
    <row r="106" ht="27.75" customHeight="1"/>
    <row r="107" ht="27.75" customHeight="1"/>
    <row r="108" ht="27.75" customHeight="1"/>
    <row r="109" ht="27.75" customHeight="1"/>
    <row r="110" ht="27.75" customHeight="1"/>
    <row r="111" ht="27.75" customHeight="1"/>
    <row r="112" ht="27.75" customHeight="1"/>
    <row r="113" ht="27.75" customHeight="1"/>
    <row r="114" ht="27.75" customHeight="1"/>
    <row r="115" ht="27.75" customHeight="1"/>
    <row r="116" ht="27.75" customHeight="1"/>
    <row r="117" ht="27.75" customHeight="1"/>
    <row r="118" ht="27.75" customHeight="1"/>
    <row r="119" ht="27.75" customHeight="1"/>
    <row r="120" ht="27.75" customHeight="1"/>
    <row r="121" ht="27.75" customHeight="1"/>
    <row r="122" ht="27.75" customHeight="1"/>
    <row r="123" ht="27.75" customHeight="1"/>
    <row r="124" ht="27.75" customHeight="1"/>
    <row r="125" ht="22.75" customHeight="1"/>
    <row r="126" ht="22.75" customHeight="1"/>
    <row r="127" ht="22.75" customHeight="1"/>
    <row r="128" ht="22.75" customHeight="1"/>
    <row r="129" ht="22.75" customHeight="1"/>
    <row r="130" ht="22.75" customHeight="1"/>
    <row r="131" ht="22.75" customHeight="1"/>
    <row r="132" ht="22.75" customHeight="1"/>
    <row r="133" ht="22.75" customHeight="1"/>
    <row r="134" ht="22.75" customHeight="1"/>
    <row r="135" ht="22.75" customHeight="1"/>
    <row r="136" ht="22.75" customHeight="1"/>
    <row r="137" ht="22.75" customHeight="1"/>
    <row r="138" ht="22.75" customHeight="1"/>
    <row r="139" ht="22.75" customHeight="1"/>
    <row r="140" ht="22.75" customHeight="1"/>
    <row r="141" ht="22.75" customHeight="1"/>
    <row r="142" ht="22.75" customHeight="1"/>
    <row r="143" ht="22.75" customHeight="1"/>
    <row r="144" ht="22.75" customHeight="1"/>
    <row r="145" ht="22.75" customHeight="1"/>
    <row r="146" ht="22.75" customHeight="1"/>
    <row r="147" ht="22.75" customHeight="1"/>
    <row r="148" ht="22.75" customHeight="1"/>
    <row r="149" ht="22.75" customHeight="1"/>
    <row r="150" ht="22.75" customHeight="1"/>
    <row r="151" ht="22.75" customHeight="1"/>
    <row r="152" ht="22.75" customHeight="1"/>
    <row r="153" ht="22.75" customHeight="1"/>
    <row r="154" ht="22.75" customHeight="1"/>
    <row r="155" ht="22.75" customHeight="1"/>
    <row r="156" ht="22.75" customHeight="1"/>
    <row r="157" ht="22.75" customHeight="1"/>
    <row r="158" ht="22.75" customHeight="1"/>
    <row r="159" ht="22.75" customHeight="1"/>
    <row r="160" ht="25.25" customHeight="1"/>
    <row r="161" ht="25.25" customHeight="1"/>
    <row r="162" ht="25.25" customHeight="1"/>
    <row r="163" ht="25.25" customHeight="1"/>
    <row r="164" ht="25.25" customHeight="1"/>
    <row r="165" ht="25.25" customHeight="1"/>
    <row r="166" ht="25.25" customHeight="1"/>
    <row r="167" ht="30" customHeight="1"/>
    <row r="168" ht="23.25" customHeight="1"/>
    <row r="169" ht="27.75" customHeight="1"/>
    <row r="170" ht="30" customHeight="1"/>
    <row r="171" ht="35.25" customHeight="1"/>
  </sheetData>
  <mergeCells count="5">
    <mergeCell ref="A23:F23"/>
    <mergeCell ref="A24:F24"/>
    <mergeCell ref="A51:F51"/>
    <mergeCell ref="A52:F52"/>
    <mergeCell ref="A83:F83"/>
  </mergeCells>
  <pageMargins left="0.70866141732283472" right="0.70866141732283472" top="0.74803149606299213" bottom="0.74803149606299213" header="0.31496062992125984" footer="0.31496062992125984"/>
  <pageSetup paperSize="9" scale="67" firstPageNumber="97" orientation="portrait" useFirstPageNumber="1" r:id="rId1"/>
  <headerFooter>
    <oddHeader xml:space="preserve">&amp;C&amp;"-,Bold"POLITSI HIGH LIFT PUMP STATION : MECHANICAL WORKS
</oddHeader>
    <oddFooter>&amp;LBill of Quantities&amp;CPage &amp;P&amp;RPolitsi</oddFooter>
  </headerFooter>
  <rowBreaks count="4" manualBreakCount="4">
    <brk id="23" max="6" man="1"/>
    <brk id="51" max="16383" man="1"/>
    <brk id="83" max="6" man="1"/>
    <brk id="117" max="6"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FF9900"/>
  </sheetPr>
  <dimension ref="A1:G53"/>
  <sheetViews>
    <sheetView view="pageBreakPreview" zoomScaleNormal="125" zoomScaleSheetLayoutView="100" zoomScalePageLayoutView="125" workbookViewId="0">
      <selection activeCell="C35" sqref="C35"/>
    </sheetView>
  </sheetViews>
  <sheetFormatPr baseColWidth="10" defaultColWidth="9.1640625" defaultRowHeight="13"/>
  <cols>
    <col min="1" max="1" width="8.1640625" style="21" customWidth="1"/>
    <col min="2" max="2" width="10.6640625" style="21" customWidth="1"/>
    <col min="3" max="3" width="54" style="21" customWidth="1"/>
    <col min="4" max="4" width="11.33203125" style="21" customWidth="1"/>
    <col min="5" max="6" width="11.5" style="21" customWidth="1"/>
    <col min="7" max="7" width="15.33203125" style="21" customWidth="1"/>
    <col min="8" max="16384" width="9.1640625" style="21"/>
  </cols>
  <sheetData>
    <row r="1" spans="1:7">
      <c r="A1" s="15"/>
      <c r="B1" s="15"/>
      <c r="C1" s="15"/>
      <c r="D1" s="15"/>
      <c r="E1" s="15"/>
      <c r="F1" s="20"/>
      <c r="G1" s="20"/>
    </row>
    <row r="2" spans="1:7" ht="26.25" customHeight="1">
      <c r="A2" s="1" t="s">
        <v>0</v>
      </c>
      <c r="B2" s="1" t="s">
        <v>9</v>
      </c>
      <c r="C2" s="2" t="s">
        <v>1</v>
      </c>
      <c r="D2" s="2" t="s">
        <v>10</v>
      </c>
      <c r="E2" s="2" t="s">
        <v>11</v>
      </c>
      <c r="F2" s="2" t="s">
        <v>12</v>
      </c>
      <c r="G2" s="2" t="s">
        <v>13</v>
      </c>
    </row>
    <row r="3" spans="1:7" ht="30" customHeight="1">
      <c r="A3" s="3"/>
      <c r="B3" s="3"/>
      <c r="C3" s="4"/>
      <c r="D3" s="5"/>
      <c r="E3" s="5"/>
      <c r="F3" s="5"/>
      <c r="G3" s="5"/>
    </row>
    <row r="4" spans="1:7" ht="30" customHeight="1">
      <c r="A4" s="3">
        <v>7</v>
      </c>
      <c r="B4" s="3"/>
      <c r="C4" s="4" t="s">
        <v>75</v>
      </c>
      <c r="D4" s="3"/>
      <c r="E4" s="3"/>
      <c r="F4" s="3"/>
      <c r="G4" s="3"/>
    </row>
    <row r="5" spans="1:7" ht="30" customHeight="1">
      <c r="A5" s="6">
        <v>7.1</v>
      </c>
      <c r="B5" s="6"/>
      <c r="C5" s="4" t="s">
        <v>74</v>
      </c>
      <c r="D5" s="7"/>
      <c r="E5" s="7"/>
      <c r="F5" s="8"/>
      <c r="G5" s="8"/>
    </row>
    <row r="6" spans="1:7" ht="54.75" customHeight="1">
      <c r="A6" s="9"/>
      <c r="B6" s="10"/>
      <c r="C6" s="11" t="s">
        <v>14</v>
      </c>
      <c r="D6" s="7"/>
      <c r="E6" s="7"/>
      <c r="F6" s="12"/>
      <c r="G6" s="8"/>
    </row>
    <row r="7" spans="1:7" ht="40.25" customHeight="1">
      <c r="A7" s="29" t="s">
        <v>306</v>
      </c>
      <c r="B7" s="13"/>
      <c r="C7" s="19" t="s">
        <v>76</v>
      </c>
      <c r="D7" s="7" t="s">
        <v>2</v>
      </c>
      <c r="E7" s="14">
        <v>2</v>
      </c>
      <c r="F7" s="12">
        <v>149857.84</v>
      </c>
      <c r="G7" s="8">
        <f t="shared" ref="G7:G22" si="0">E7*F7</f>
        <v>299715.68</v>
      </c>
    </row>
    <row r="8" spans="1:7" ht="30" customHeight="1">
      <c r="A8" s="29" t="s">
        <v>307</v>
      </c>
      <c r="B8" s="13"/>
      <c r="C8" s="11" t="s">
        <v>88</v>
      </c>
      <c r="D8" s="7" t="s">
        <v>2</v>
      </c>
      <c r="E8" s="14">
        <v>2</v>
      </c>
      <c r="F8" s="12">
        <v>189073.00076967757</v>
      </c>
      <c r="G8" s="8">
        <f t="shared" si="0"/>
        <v>378146.00153935514</v>
      </c>
    </row>
    <row r="9" spans="1:7" ht="28.25" customHeight="1">
      <c r="A9" s="29" t="s">
        <v>308</v>
      </c>
      <c r="B9" s="13"/>
      <c r="C9" s="11" t="s">
        <v>254</v>
      </c>
      <c r="D9" s="9" t="s">
        <v>2</v>
      </c>
      <c r="E9" s="14">
        <f>E7</f>
        <v>2</v>
      </c>
      <c r="F9" s="12">
        <v>38000</v>
      </c>
      <c r="G9" s="8">
        <f t="shared" si="0"/>
        <v>76000</v>
      </c>
    </row>
    <row r="10" spans="1:7" ht="28.25" customHeight="1">
      <c r="A10" s="29" t="s">
        <v>309</v>
      </c>
      <c r="B10" s="13"/>
      <c r="C10" s="11" t="s">
        <v>64</v>
      </c>
      <c r="D10" s="9" t="s">
        <v>2</v>
      </c>
      <c r="E10" s="14">
        <v>1</v>
      </c>
      <c r="F10" s="12">
        <v>4000</v>
      </c>
      <c r="G10" s="8">
        <f t="shared" si="0"/>
        <v>4000</v>
      </c>
    </row>
    <row r="11" spans="1:7" ht="28.25" customHeight="1">
      <c r="A11" s="29" t="s">
        <v>310</v>
      </c>
      <c r="B11" s="13"/>
      <c r="C11" s="11" t="s">
        <v>77</v>
      </c>
      <c r="D11" s="9" t="s">
        <v>31</v>
      </c>
      <c r="E11" s="25">
        <f>4*3</f>
        <v>12</v>
      </c>
      <c r="F11" s="12">
        <f>7800*PI()*0.3*0.00635*(25*3)</f>
        <v>3501.0693929768054</v>
      </c>
      <c r="G11" s="8">
        <f t="shared" si="0"/>
        <v>42012.832715721663</v>
      </c>
    </row>
    <row r="12" spans="1:7" ht="28.25" customHeight="1">
      <c r="A12" s="29" t="s">
        <v>311</v>
      </c>
      <c r="B12" s="13"/>
      <c r="C12" s="11" t="s">
        <v>78</v>
      </c>
      <c r="D12" s="9" t="s">
        <v>60</v>
      </c>
      <c r="E12" s="14">
        <f>8*3</f>
        <v>24</v>
      </c>
      <c r="F12" s="12">
        <f>7800*PI()*0.25*0.01031*(25*3)</f>
        <v>4737.0112128071996</v>
      </c>
      <c r="G12" s="8">
        <f t="shared" si="0"/>
        <v>113688.26910737279</v>
      </c>
    </row>
    <row r="13" spans="1:7" ht="28.25" customHeight="1">
      <c r="A13" s="29" t="s">
        <v>312</v>
      </c>
      <c r="B13" s="13"/>
      <c r="C13" s="11" t="s">
        <v>79</v>
      </c>
      <c r="D13" s="9" t="s">
        <v>2</v>
      </c>
      <c r="E13" s="14">
        <v>2</v>
      </c>
      <c r="F13" s="12">
        <v>27421.333333333332</v>
      </c>
      <c r="G13" s="8">
        <f t="shared" si="0"/>
        <v>54842.666666666664</v>
      </c>
    </row>
    <row r="14" spans="1:7" ht="28.25" customHeight="1">
      <c r="A14" s="29" t="s">
        <v>313</v>
      </c>
      <c r="B14" s="13"/>
      <c r="C14" s="11" t="s">
        <v>80</v>
      </c>
      <c r="D14" s="9" t="s">
        <v>2</v>
      </c>
      <c r="E14" s="14">
        <v>2</v>
      </c>
      <c r="F14" s="12">
        <v>58397.083333333336</v>
      </c>
      <c r="G14" s="8">
        <f t="shared" si="0"/>
        <v>116794.16666666667</v>
      </c>
    </row>
    <row r="15" spans="1:7" ht="28.25" customHeight="1">
      <c r="A15" s="29" t="s">
        <v>314</v>
      </c>
      <c r="B15" s="13"/>
      <c r="C15" s="11" t="s">
        <v>93</v>
      </c>
      <c r="D15" s="9" t="s">
        <v>2</v>
      </c>
      <c r="E15" s="14">
        <v>2</v>
      </c>
      <c r="F15" s="23">
        <v>30000</v>
      </c>
      <c r="G15" s="8">
        <f t="shared" si="0"/>
        <v>60000</v>
      </c>
    </row>
    <row r="16" spans="1:7" ht="58.25" customHeight="1">
      <c r="A16" s="29" t="s">
        <v>315</v>
      </c>
      <c r="B16" s="13"/>
      <c r="C16" s="11" t="s">
        <v>83</v>
      </c>
      <c r="D16" s="9">
        <v>100000</v>
      </c>
      <c r="E16" s="9"/>
      <c r="F16" s="12">
        <v>41666.666666666672</v>
      </c>
      <c r="G16" s="8">
        <f t="shared" si="0"/>
        <v>0</v>
      </c>
    </row>
    <row r="17" spans="1:7" ht="45" customHeight="1">
      <c r="A17" s="29" t="s">
        <v>316</v>
      </c>
      <c r="B17" s="15"/>
      <c r="C17" s="16" t="s">
        <v>65</v>
      </c>
      <c r="D17" s="9" t="s">
        <v>2</v>
      </c>
      <c r="E17" s="14">
        <v>3</v>
      </c>
      <c r="F17" s="12">
        <v>2925</v>
      </c>
      <c r="G17" s="8">
        <f t="shared" si="0"/>
        <v>8775</v>
      </c>
    </row>
    <row r="18" spans="1:7" ht="33" customHeight="1">
      <c r="A18" s="29" t="s">
        <v>317</v>
      </c>
      <c r="B18" s="15"/>
      <c r="C18" s="16" t="s">
        <v>32</v>
      </c>
      <c r="D18" s="7" t="s">
        <v>3</v>
      </c>
      <c r="E18" s="14">
        <v>2</v>
      </c>
      <c r="F18" s="12">
        <v>2000</v>
      </c>
      <c r="G18" s="8">
        <f t="shared" si="0"/>
        <v>4000</v>
      </c>
    </row>
    <row r="19" spans="1:7" ht="33.75" customHeight="1">
      <c r="A19" s="29" t="s">
        <v>318</v>
      </c>
      <c r="B19" s="15"/>
      <c r="C19" s="16" t="s">
        <v>23</v>
      </c>
      <c r="D19" s="7" t="s">
        <v>3</v>
      </c>
      <c r="E19" s="14">
        <v>2</v>
      </c>
      <c r="F19" s="12">
        <v>20000</v>
      </c>
      <c r="G19" s="8">
        <f t="shared" si="0"/>
        <v>40000</v>
      </c>
    </row>
    <row r="20" spans="1:7" ht="28.5" customHeight="1">
      <c r="A20" s="29" t="s">
        <v>319</v>
      </c>
      <c r="B20" s="15"/>
      <c r="C20" s="11" t="s">
        <v>24</v>
      </c>
      <c r="D20" s="9" t="s">
        <v>3</v>
      </c>
      <c r="E20" s="14">
        <v>2</v>
      </c>
      <c r="F20" s="12">
        <v>20000</v>
      </c>
      <c r="G20" s="8">
        <f t="shared" si="0"/>
        <v>40000</v>
      </c>
    </row>
    <row r="21" spans="1:7" ht="28.5" customHeight="1">
      <c r="A21" s="29" t="s">
        <v>320</v>
      </c>
      <c r="B21" s="15"/>
      <c r="C21" s="11" t="s">
        <v>25</v>
      </c>
      <c r="D21" s="9" t="s">
        <v>3</v>
      </c>
      <c r="E21" s="7">
        <v>1</v>
      </c>
      <c r="F21" s="12">
        <v>25000</v>
      </c>
      <c r="G21" s="8">
        <f t="shared" si="0"/>
        <v>25000</v>
      </c>
    </row>
    <row r="22" spans="1:7" ht="28.5" customHeight="1">
      <c r="A22" s="29" t="s">
        <v>321</v>
      </c>
      <c r="B22" s="15"/>
      <c r="C22" s="16" t="s">
        <v>62</v>
      </c>
      <c r="D22" s="7" t="s">
        <v>3</v>
      </c>
      <c r="E22" s="14">
        <v>1</v>
      </c>
      <c r="F22" s="12">
        <v>40000</v>
      </c>
      <c r="G22" s="8">
        <f t="shared" si="0"/>
        <v>40000</v>
      </c>
    </row>
    <row r="23" spans="1:7" ht="28.5" customHeight="1">
      <c r="A23" s="532" t="s">
        <v>26</v>
      </c>
      <c r="B23" s="533"/>
      <c r="C23" s="533"/>
      <c r="D23" s="533"/>
      <c r="E23" s="533"/>
      <c r="F23" s="534"/>
      <c r="G23" s="17">
        <f>SUM(G5:G22)</f>
        <v>1302974.6166957829</v>
      </c>
    </row>
    <row r="24" spans="1:7" ht="28.5" customHeight="1">
      <c r="A24" s="532" t="s">
        <v>33</v>
      </c>
      <c r="B24" s="533"/>
      <c r="C24" s="533"/>
      <c r="D24" s="533"/>
      <c r="E24" s="533"/>
      <c r="F24" s="534"/>
      <c r="G24" s="17">
        <f>G23</f>
        <v>1302974.6166957829</v>
      </c>
    </row>
    <row r="25" spans="1:7" ht="30" customHeight="1">
      <c r="A25" s="6">
        <v>7.2</v>
      </c>
      <c r="B25" s="10"/>
      <c r="C25" s="4" t="s">
        <v>34</v>
      </c>
      <c r="D25" s="9"/>
      <c r="E25" s="14"/>
      <c r="F25" s="12"/>
      <c r="G25" s="8"/>
    </row>
    <row r="26" spans="1:7" ht="30" customHeight="1">
      <c r="A26" s="9" t="s">
        <v>256</v>
      </c>
      <c r="B26" s="10"/>
      <c r="C26" s="11" t="s">
        <v>35</v>
      </c>
      <c r="D26" s="9" t="s">
        <v>2</v>
      </c>
      <c r="E26" s="14">
        <v>2</v>
      </c>
      <c r="F26" s="12">
        <v>2300</v>
      </c>
      <c r="G26" s="8">
        <f>E26*F26</f>
        <v>4600</v>
      </c>
    </row>
    <row r="27" spans="1:7" ht="30" customHeight="1">
      <c r="A27" s="9" t="s">
        <v>257</v>
      </c>
      <c r="B27" s="10"/>
      <c r="C27" s="11" t="s">
        <v>36</v>
      </c>
      <c r="D27" s="9" t="s">
        <v>2</v>
      </c>
      <c r="E27" s="14">
        <v>2</v>
      </c>
      <c r="F27" s="12">
        <v>2400</v>
      </c>
      <c r="G27" s="8">
        <f>E27*F27</f>
        <v>4800</v>
      </c>
    </row>
    <row r="28" spans="1:7" ht="30" customHeight="1">
      <c r="A28" s="9"/>
      <c r="B28" s="10"/>
      <c r="C28" s="11" t="s">
        <v>27</v>
      </c>
      <c r="D28" s="9" t="s">
        <v>2</v>
      </c>
      <c r="E28" s="14">
        <v>2</v>
      </c>
      <c r="F28" s="12">
        <v>1000</v>
      </c>
      <c r="G28" s="8">
        <f>E28*F28</f>
        <v>2000</v>
      </c>
    </row>
    <row r="29" spans="1:7" ht="30" customHeight="1">
      <c r="A29" s="6">
        <v>7.3</v>
      </c>
      <c r="B29" s="15"/>
      <c r="C29" s="18" t="s">
        <v>37</v>
      </c>
      <c r="D29" s="7"/>
      <c r="E29" s="14"/>
      <c r="F29" s="12"/>
      <c r="G29" s="8"/>
    </row>
    <row r="30" spans="1:7" ht="30" customHeight="1">
      <c r="A30" s="9" t="s">
        <v>258</v>
      </c>
      <c r="B30" s="15"/>
      <c r="C30" s="16" t="s">
        <v>28</v>
      </c>
      <c r="D30" s="7" t="s">
        <v>3</v>
      </c>
      <c r="E30" s="14">
        <v>3</v>
      </c>
      <c r="F30" s="12">
        <v>3500</v>
      </c>
      <c r="G30" s="8">
        <f>E30*F30</f>
        <v>10500</v>
      </c>
    </row>
    <row r="31" spans="1:7" ht="28">
      <c r="A31" s="6">
        <v>7.4</v>
      </c>
      <c r="B31" s="10"/>
      <c r="C31" s="18" t="s">
        <v>39</v>
      </c>
      <c r="D31" s="7"/>
      <c r="E31" s="14"/>
      <c r="F31" s="12"/>
      <c r="G31" s="8"/>
    </row>
    <row r="32" spans="1:7" ht="30" customHeight="1">
      <c r="A32" s="9" t="s">
        <v>259</v>
      </c>
      <c r="B32" s="15"/>
      <c r="C32" s="16" t="s">
        <v>203</v>
      </c>
      <c r="D32" s="9" t="s">
        <v>3</v>
      </c>
      <c r="E32" s="14">
        <v>3</v>
      </c>
      <c r="F32" s="12">
        <v>7000</v>
      </c>
      <c r="G32" s="8">
        <f>E32*F32</f>
        <v>21000</v>
      </c>
    </row>
    <row r="33" spans="1:7" ht="30" customHeight="1">
      <c r="A33" s="9" t="s">
        <v>260</v>
      </c>
      <c r="B33" s="15"/>
      <c r="C33" s="16" t="s">
        <v>41</v>
      </c>
      <c r="D33" s="9" t="s">
        <v>3</v>
      </c>
      <c r="E33" s="14">
        <v>3</v>
      </c>
      <c r="F33" s="12">
        <v>12000</v>
      </c>
      <c r="G33" s="8">
        <f>E33*F33</f>
        <v>36000</v>
      </c>
    </row>
    <row r="34" spans="1:7" ht="30" customHeight="1">
      <c r="A34" s="6">
        <v>7.5</v>
      </c>
      <c r="B34" s="10"/>
      <c r="C34" s="18" t="s">
        <v>42</v>
      </c>
      <c r="D34" s="7"/>
      <c r="E34" s="14"/>
      <c r="F34" s="12"/>
      <c r="G34" s="8"/>
    </row>
    <row r="35" spans="1:7" ht="42" customHeight="1">
      <c r="A35" s="9" t="s">
        <v>261</v>
      </c>
      <c r="B35" s="15"/>
      <c r="C35" s="16" t="s">
        <v>245</v>
      </c>
      <c r="D35" s="9" t="s">
        <v>3</v>
      </c>
      <c r="E35" s="14">
        <v>1</v>
      </c>
      <c r="F35" s="12">
        <v>3400</v>
      </c>
      <c r="G35" s="8">
        <f>E35*F35</f>
        <v>3400</v>
      </c>
    </row>
    <row r="36" spans="1:7" ht="30" customHeight="1">
      <c r="A36" s="9" t="s">
        <v>262</v>
      </c>
      <c r="B36" s="15"/>
      <c r="C36" s="16" t="s">
        <v>41</v>
      </c>
      <c r="D36" s="9" t="s">
        <v>3</v>
      </c>
      <c r="E36" s="14">
        <v>1</v>
      </c>
      <c r="F36" s="12">
        <v>20000</v>
      </c>
      <c r="G36" s="8">
        <f>E36*F36</f>
        <v>20000</v>
      </c>
    </row>
    <row r="37" spans="1:7" ht="30" customHeight="1">
      <c r="A37" s="9"/>
      <c r="B37" s="15"/>
      <c r="C37" s="16"/>
      <c r="D37" s="9"/>
      <c r="E37" s="14"/>
      <c r="F37" s="12"/>
      <c r="G37" s="8"/>
    </row>
    <row r="38" spans="1:7" ht="30" customHeight="1">
      <c r="A38" s="9"/>
      <c r="B38" s="15"/>
      <c r="C38" s="16" t="s">
        <v>68</v>
      </c>
      <c r="D38" s="9" t="s">
        <v>67</v>
      </c>
      <c r="E38" s="14">
        <v>2</v>
      </c>
      <c r="F38" s="12">
        <v>18000</v>
      </c>
      <c r="G38" s="8">
        <f>E38*F38</f>
        <v>36000</v>
      </c>
    </row>
    <row r="39" spans="1:7" ht="30" customHeight="1">
      <c r="A39" s="9"/>
      <c r="B39" s="15"/>
      <c r="C39" s="16"/>
      <c r="D39" s="9"/>
      <c r="E39" s="14"/>
      <c r="F39" s="12"/>
      <c r="G39" s="8"/>
    </row>
    <row r="40" spans="1:7" ht="30" customHeight="1">
      <c r="A40" s="6">
        <v>7.6</v>
      </c>
      <c r="B40" s="10"/>
      <c r="C40" s="18" t="s">
        <v>45</v>
      </c>
      <c r="D40" s="9"/>
      <c r="E40" s="14"/>
      <c r="F40" s="12"/>
      <c r="G40" s="8"/>
    </row>
    <row r="41" spans="1:7" ht="30" customHeight="1">
      <c r="A41" s="9" t="s">
        <v>263</v>
      </c>
      <c r="B41" s="10"/>
      <c r="C41" s="11" t="s">
        <v>89</v>
      </c>
      <c r="D41" s="9" t="s">
        <v>2</v>
      </c>
      <c r="E41" s="14">
        <v>1</v>
      </c>
      <c r="F41" s="12">
        <v>15000</v>
      </c>
      <c r="G41" s="8">
        <f>E41*F41</f>
        <v>15000</v>
      </c>
    </row>
    <row r="42" spans="1:7" ht="30" customHeight="1">
      <c r="A42" s="9" t="s">
        <v>264</v>
      </c>
      <c r="B42" s="10"/>
      <c r="C42" s="11" t="s">
        <v>61</v>
      </c>
      <c r="D42" s="9" t="s">
        <v>3</v>
      </c>
      <c r="E42" s="14">
        <v>2</v>
      </c>
      <c r="F42" s="12">
        <f>5500*1.3</f>
        <v>7150</v>
      </c>
      <c r="G42" s="8">
        <f>E42*F42</f>
        <v>14300</v>
      </c>
    </row>
    <row r="43" spans="1:7" ht="30" customHeight="1">
      <c r="A43" s="9" t="s">
        <v>265</v>
      </c>
      <c r="B43" s="10"/>
      <c r="C43" s="11" t="s">
        <v>69</v>
      </c>
      <c r="D43" s="9" t="s">
        <v>3</v>
      </c>
      <c r="E43" s="14">
        <v>1</v>
      </c>
      <c r="F43" s="12">
        <v>15000</v>
      </c>
      <c r="G43" s="8">
        <f>E43*F43</f>
        <v>15000</v>
      </c>
    </row>
    <row r="44" spans="1:7" ht="30" customHeight="1">
      <c r="A44" s="6">
        <v>7.7</v>
      </c>
      <c r="B44" s="10"/>
      <c r="C44" s="4" t="s">
        <v>47</v>
      </c>
      <c r="D44" s="9"/>
      <c r="E44" s="14"/>
      <c r="F44" s="12"/>
      <c r="G44" s="8"/>
    </row>
    <row r="45" spans="1:7" ht="30" customHeight="1">
      <c r="A45" s="9" t="s">
        <v>266</v>
      </c>
      <c r="B45" s="10"/>
      <c r="C45" s="11" t="s">
        <v>49</v>
      </c>
      <c r="D45" s="9" t="s">
        <v>3</v>
      </c>
      <c r="E45" s="14">
        <v>1</v>
      </c>
      <c r="F45" s="12">
        <v>9000</v>
      </c>
      <c r="G45" s="8">
        <f>E45*F45</f>
        <v>9000</v>
      </c>
    </row>
    <row r="46" spans="1:7" ht="30" customHeight="1">
      <c r="A46" s="6">
        <v>7.8</v>
      </c>
      <c r="B46" s="10"/>
      <c r="C46" s="4" t="s">
        <v>50</v>
      </c>
      <c r="D46" s="9"/>
      <c r="E46" s="14"/>
      <c r="F46" s="12"/>
      <c r="G46" s="8"/>
    </row>
    <row r="47" spans="1:7" ht="30" customHeight="1">
      <c r="A47" s="9" t="s">
        <v>267</v>
      </c>
      <c r="B47" s="10"/>
      <c r="C47" s="11" t="s">
        <v>51</v>
      </c>
      <c r="D47" s="9" t="s">
        <v>3</v>
      </c>
      <c r="E47" s="14">
        <v>1</v>
      </c>
      <c r="F47" s="12">
        <v>5000</v>
      </c>
      <c r="G47" s="8">
        <f>E47*F47</f>
        <v>5000</v>
      </c>
    </row>
    <row r="48" spans="1:7" ht="30" customHeight="1">
      <c r="A48" s="9" t="s">
        <v>268</v>
      </c>
      <c r="B48" s="10"/>
      <c r="C48" s="11" t="s">
        <v>52</v>
      </c>
      <c r="D48" s="9" t="s">
        <v>53</v>
      </c>
      <c r="E48" s="14"/>
      <c r="F48" s="12"/>
      <c r="G48" s="8"/>
    </row>
    <row r="49" spans="1:7" ht="30" customHeight="1">
      <c r="A49" s="9" t="s">
        <v>269</v>
      </c>
      <c r="B49" s="10"/>
      <c r="C49" s="11" t="s">
        <v>24</v>
      </c>
      <c r="D49" s="9" t="s">
        <v>3</v>
      </c>
      <c r="E49" s="14">
        <v>2</v>
      </c>
      <c r="F49" s="22">
        <v>3000</v>
      </c>
      <c r="G49" s="8">
        <f>E49*F49</f>
        <v>6000</v>
      </c>
    </row>
    <row r="50" spans="1:7" ht="30" customHeight="1">
      <c r="A50" s="9" t="s">
        <v>270</v>
      </c>
      <c r="B50" s="10"/>
      <c r="C50" s="11" t="s">
        <v>25</v>
      </c>
      <c r="D50" s="9" t="s">
        <v>3</v>
      </c>
      <c r="E50" s="14">
        <v>1</v>
      </c>
      <c r="F50" s="22">
        <v>15000</v>
      </c>
      <c r="G50" s="8">
        <f>E50*F50</f>
        <v>15000</v>
      </c>
    </row>
    <row r="51" spans="1:7" ht="30" customHeight="1">
      <c r="A51" s="9" t="s">
        <v>271</v>
      </c>
      <c r="B51" s="10"/>
      <c r="C51" s="11" t="s">
        <v>30</v>
      </c>
      <c r="D51" s="9" t="s">
        <v>3</v>
      </c>
      <c r="E51" s="14">
        <v>2</v>
      </c>
      <c r="F51" s="22">
        <v>9000</v>
      </c>
      <c r="G51" s="8">
        <f>E51*F51</f>
        <v>18000</v>
      </c>
    </row>
    <row r="52" spans="1:7" ht="30" customHeight="1">
      <c r="A52" s="9"/>
      <c r="B52" s="15"/>
      <c r="C52" s="16"/>
      <c r="D52" s="9"/>
      <c r="E52" s="14"/>
      <c r="F52" s="12"/>
      <c r="G52" s="8"/>
    </row>
    <row r="53" spans="1:7" ht="30" customHeight="1">
      <c r="A53" s="532" t="s">
        <v>54</v>
      </c>
      <c r="B53" s="533"/>
      <c r="C53" s="533"/>
      <c r="D53" s="533"/>
      <c r="E53" s="533"/>
      <c r="F53" s="534"/>
      <c r="G53" s="17">
        <f>SUM(G24:G52)</f>
        <v>1538574.6166957829</v>
      </c>
    </row>
  </sheetData>
  <mergeCells count="3">
    <mergeCell ref="A23:F23"/>
    <mergeCell ref="A24:F24"/>
    <mergeCell ref="A53:F53"/>
  </mergeCells>
  <pageMargins left="0.70866141732283472" right="0.70866141732283472" top="0.74803149606299213" bottom="0.74803149606299213" header="0.31496062992125984" footer="0.31496062992125984"/>
  <pageSetup paperSize="9" scale="72" orientation="portrait"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H221"/>
  <sheetViews>
    <sheetView showGridLines="0" showZeros="0" view="pageLayout" topLeftCell="A133" zoomScale="194" zoomScaleNormal="125" zoomScaleSheetLayoutView="166" zoomScalePageLayoutView="194" workbookViewId="0">
      <selection activeCell="G23" sqref="F21:G23"/>
    </sheetView>
  </sheetViews>
  <sheetFormatPr baseColWidth="10" defaultColWidth="8.83203125" defaultRowHeight="13"/>
  <cols>
    <col min="1" max="1" width="7.33203125" style="118" customWidth="1"/>
    <col min="2" max="2" width="14.33203125" style="118" customWidth="1"/>
    <col min="3" max="3" width="51.83203125" style="118" customWidth="1"/>
    <col min="4" max="4" width="9.83203125" style="168" customWidth="1"/>
    <col min="5" max="5" width="11.33203125" style="168" customWidth="1"/>
    <col min="6" max="6" width="13.5" style="169" customWidth="1"/>
    <col min="7" max="7" width="12" style="169" customWidth="1"/>
    <col min="8" max="9" width="8.83203125" style="118"/>
    <col min="10" max="10" width="12.83203125" style="118" bestFit="1" customWidth="1"/>
    <col min="11" max="11" width="40.83203125" style="118" customWidth="1"/>
    <col min="12" max="12" width="8.83203125" style="118"/>
    <col min="13" max="13" width="11.83203125" style="118" customWidth="1"/>
    <col min="14" max="14" width="11.5" style="118" bestFit="1" customWidth="1"/>
    <col min="15" max="15" width="15.83203125" style="118" customWidth="1"/>
    <col min="16" max="16384" width="8.83203125" style="118"/>
  </cols>
  <sheetData>
    <row r="1" spans="1:7">
      <c r="A1" s="114"/>
      <c r="B1" s="114"/>
      <c r="C1" s="115"/>
      <c r="D1" s="116"/>
      <c r="E1" s="116"/>
      <c r="F1" s="117"/>
      <c r="G1" s="117"/>
    </row>
    <row r="2" spans="1:7">
      <c r="A2" s="119"/>
      <c r="B2" s="119"/>
      <c r="C2" s="119"/>
      <c r="D2" s="119"/>
      <c r="E2" s="119"/>
      <c r="F2" s="120"/>
      <c r="G2" s="120"/>
    </row>
    <row r="3" spans="1:7">
      <c r="A3" s="121" t="s">
        <v>0</v>
      </c>
      <c r="B3" s="121" t="s">
        <v>340</v>
      </c>
      <c r="C3" s="121" t="s">
        <v>1</v>
      </c>
      <c r="D3" s="121" t="s">
        <v>10</v>
      </c>
      <c r="E3" s="121" t="s">
        <v>11</v>
      </c>
      <c r="F3" s="122" t="s">
        <v>341</v>
      </c>
      <c r="G3" s="122" t="s">
        <v>13</v>
      </c>
    </row>
    <row r="4" spans="1:7">
      <c r="A4" s="123"/>
      <c r="B4" s="123"/>
      <c r="C4" s="123"/>
      <c r="D4" s="123"/>
      <c r="E4" s="123"/>
      <c r="F4" s="124"/>
      <c r="G4" s="124"/>
    </row>
    <row r="5" spans="1:7">
      <c r="A5" s="121"/>
      <c r="B5" s="121"/>
      <c r="C5" s="121"/>
      <c r="D5" s="121"/>
      <c r="E5" s="121"/>
      <c r="F5" s="122"/>
      <c r="G5" s="122"/>
    </row>
    <row r="6" spans="1:7" ht="14">
      <c r="A6" s="121"/>
      <c r="B6" s="128" t="s">
        <v>342</v>
      </c>
      <c r="C6" s="126" t="s">
        <v>343</v>
      </c>
      <c r="D6" s="121"/>
      <c r="E6" s="121"/>
      <c r="F6" s="122"/>
      <c r="G6" s="122"/>
    </row>
    <row r="7" spans="1:7">
      <c r="A7" s="128"/>
      <c r="B7" s="128"/>
      <c r="C7" s="127"/>
      <c r="D7" s="128"/>
      <c r="E7" s="128"/>
      <c r="F7" s="129"/>
      <c r="G7" s="129"/>
    </row>
    <row r="8" spans="1:7" ht="14">
      <c r="A8" s="128">
        <v>1.1000000000000001</v>
      </c>
      <c r="B8" s="128">
        <v>8.3000000000000007</v>
      </c>
      <c r="C8" s="130" t="s">
        <v>344</v>
      </c>
      <c r="D8" s="128"/>
      <c r="E8" s="128"/>
      <c r="F8" s="129"/>
      <c r="G8" s="129"/>
    </row>
    <row r="9" spans="1:7">
      <c r="A9" s="128"/>
      <c r="B9" s="128"/>
      <c r="C9" s="130"/>
      <c r="D9" s="128"/>
      <c r="E9" s="128"/>
      <c r="F9" s="129"/>
      <c r="G9" s="129"/>
    </row>
    <row r="10" spans="1:7" ht="14">
      <c r="A10" s="132" t="s">
        <v>345</v>
      </c>
      <c r="B10" s="132" t="s">
        <v>346</v>
      </c>
      <c r="C10" s="131" t="s">
        <v>347</v>
      </c>
      <c r="D10" s="132"/>
      <c r="E10" s="132"/>
      <c r="F10" s="133"/>
      <c r="G10" s="133"/>
    </row>
    <row r="11" spans="1:7">
      <c r="A11" s="132"/>
      <c r="B11" s="132"/>
      <c r="C11" s="131"/>
      <c r="D11" s="132"/>
      <c r="E11" s="132"/>
      <c r="F11" s="133"/>
      <c r="G11" s="133"/>
    </row>
    <row r="12" spans="1:7" ht="14">
      <c r="A12" s="135" t="s">
        <v>348</v>
      </c>
      <c r="B12" s="135" t="s">
        <v>349</v>
      </c>
      <c r="C12" s="134" t="s">
        <v>350</v>
      </c>
      <c r="D12" s="135" t="s">
        <v>3</v>
      </c>
      <c r="E12" s="135">
        <v>1</v>
      </c>
      <c r="F12" s="133"/>
      <c r="G12" s="136"/>
    </row>
    <row r="13" spans="1:7">
      <c r="A13" s="135"/>
      <c r="B13" s="135"/>
      <c r="C13" s="134"/>
      <c r="D13" s="135"/>
      <c r="E13" s="135"/>
      <c r="F13" s="133"/>
      <c r="G13" s="137"/>
    </row>
    <row r="14" spans="1:7" ht="14">
      <c r="A14" s="135" t="s">
        <v>351</v>
      </c>
      <c r="B14" s="135" t="s">
        <v>352</v>
      </c>
      <c r="C14" s="134" t="s">
        <v>353</v>
      </c>
      <c r="D14" s="135" t="s">
        <v>3</v>
      </c>
      <c r="E14" s="135">
        <v>1</v>
      </c>
      <c r="F14" s="133"/>
      <c r="G14" s="136">
        <f>F14*E14</f>
        <v>0</v>
      </c>
    </row>
    <row r="15" spans="1:7">
      <c r="A15" s="139"/>
      <c r="B15" s="139"/>
      <c r="C15" s="138"/>
      <c r="D15" s="139"/>
      <c r="E15" s="139"/>
      <c r="F15" s="133"/>
      <c r="G15" s="137"/>
    </row>
    <row r="16" spans="1:7">
      <c r="A16" s="132"/>
      <c r="B16" s="132"/>
      <c r="C16" s="131"/>
      <c r="D16" s="132"/>
      <c r="E16" s="132"/>
      <c r="F16" s="133"/>
      <c r="G16" s="133"/>
    </row>
    <row r="17" spans="1:7" ht="14">
      <c r="A17" s="132" t="s">
        <v>354</v>
      </c>
      <c r="B17" s="132" t="s">
        <v>355</v>
      </c>
      <c r="C17" s="131" t="s">
        <v>356</v>
      </c>
      <c r="D17" s="132"/>
      <c r="E17" s="132"/>
      <c r="F17" s="133"/>
      <c r="G17" s="133"/>
    </row>
    <row r="18" spans="1:7">
      <c r="A18" s="132"/>
      <c r="B18" s="132"/>
      <c r="C18" s="131"/>
      <c r="D18" s="132"/>
      <c r="E18" s="132"/>
      <c r="F18" s="133"/>
      <c r="G18" s="133"/>
    </row>
    <row r="19" spans="1:7" ht="14">
      <c r="A19" s="132" t="s">
        <v>357</v>
      </c>
      <c r="B19" s="132" t="s">
        <v>358</v>
      </c>
      <c r="C19" s="131" t="s">
        <v>359</v>
      </c>
      <c r="D19" s="132"/>
      <c r="E19" s="132"/>
      <c r="F19" s="133"/>
      <c r="G19" s="133"/>
    </row>
    <row r="20" spans="1:7">
      <c r="A20" s="132"/>
      <c r="B20" s="132"/>
      <c r="C20" s="131"/>
      <c r="D20" s="132"/>
      <c r="E20" s="132"/>
      <c r="F20" s="133"/>
      <c r="G20" s="133"/>
    </row>
    <row r="21" spans="1:7" ht="28">
      <c r="A21" s="132"/>
      <c r="B21" s="132"/>
      <c r="C21" s="364" t="s">
        <v>895</v>
      </c>
      <c r="D21" s="378" t="s">
        <v>360</v>
      </c>
      <c r="E21" s="378">
        <v>1</v>
      </c>
      <c r="F21" s="437">
        <f>35000+(5000*9)</f>
        <v>80000</v>
      </c>
      <c r="G21" s="437">
        <f>F21*E21</f>
        <v>80000</v>
      </c>
    </row>
    <row r="22" spans="1:7">
      <c r="A22" s="132"/>
      <c r="B22" s="132"/>
      <c r="C22" s="364"/>
      <c r="D22" s="378"/>
      <c r="E22" s="378"/>
      <c r="F22" s="437"/>
      <c r="G22" s="437"/>
    </row>
    <row r="23" spans="1:7" ht="14">
      <c r="A23" s="132"/>
      <c r="B23" s="132"/>
      <c r="C23" s="364" t="s">
        <v>794</v>
      </c>
      <c r="D23" s="378" t="s">
        <v>360</v>
      </c>
      <c r="E23" s="378">
        <v>1</v>
      </c>
      <c r="F23" s="437">
        <v>9000</v>
      </c>
      <c r="G23" s="437">
        <f t="shared" ref="G23" si="0">F23*E23</f>
        <v>9000</v>
      </c>
    </row>
    <row r="24" spans="1:7">
      <c r="A24" s="132"/>
      <c r="B24" s="132"/>
      <c r="C24" s="131"/>
      <c r="D24" s="132"/>
      <c r="E24" s="132"/>
      <c r="F24" s="133"/>
      <c r="G24" s="133"/>
    </row>
    <row r="25" spans="1:7" ht="14">
      <c r="A25" s="132"/>
      <c r="B25" s="132"/>
      <c r="C25" s="131" t="s">
        <v>361</v>
      </c>
      <c r="D25" s="132" t="s">
        <v>3</v>
      </c>
      <c r="E25" s="132">
        <v>1</v>
      </c>
      <c r="F25" s="133"/>
      <c r="G25" s="133">
        <f>F25*E25</f>
        <v>0</v>
      </c>
    </row>
    <row r="26" spans="1:7">
      <c r="A26" s="132"/>
      <c r="B26" s="132"/>
      <c r="C26" s="131"/>
      <c r="D26" s="132"/>
      <c r="E26" s="132"/>
      <c r="F26" s="133"/>
      <c r="G26" s="133"/>
    </row>
    <row r="27" spans="1:7" ht="14">
      <c r="A27" s="132" t="s">
        <v>362</v>
      </c>
      <c r="B27" s="132" t="s">
        <v>363</v>
      </c>
      <c r="C27" s="131" t="s">
        <v>364</v>
      </c>
      <c r="D27" s="132"/>
      <c r="E27" s="132"/>
      <c r="F27" s="133"/>
      <c r="G27" s="133"/>
    </row>
    <row r="28" spans="1:7">
      <c r="A28" s="132"/>
      <c r="B28" s="132"/>
      <c r="C28" s="131"/>
      <c r="D28" s="132"/>
      <c r="E28" s="132"/>
      <c r="F28" s="133"/>
      <c r="G28" s="133"/>
    </row>
    <row r="29" spans="1:7" ht="14">
      <c r="A29" s="132"/>
      <c r="B29" s="132"/>
      <c r="C29" s="131" t="s">
        <v>365</v>
      </c>
      <c r="D29" s="132" t="s">
        <v>366</v>
      </c>
      <c r="E29" s="132">
        <v>9</v>
      </c>
      <c r="F29" s="133"/>
      <c r="G29" s="133">
        <f>F29*E29</f>
        <v>0</v>
      </c>
    </row>
    <row r="30" spans="1:7">
      <c r="A30" s="132"/>
      <c r="B30" s="132"/>
      <c r="C30" s="131"/>
      <c r="D30" s="132"/>
      <c r="E30" s="132"/>
      <c r="F30" s="133"/>
      <c r="G30" s="133"/>
    </row>
    <row r="31" spans="1:7" s="142" customFormat="1" ht="14">
      <c r="A31" s="141"/>
      <c r="B31" s="141"/>
      <c r="C31" s="140" t="s">
        <v>367</v>
      </c>
      <c r="D31" s="132" t="s">
        <v>366</v>
      </c>
      <c r="E31" s="141">
        <f>E29</f>
        <v>9</v>
      </c>
      <c r="F31" s="133"/>
      <c r="G31" s="133">
        <f>F31*E31</f>
        <v>0</v>
      </c>
    </row>
    <row r="32" spans="1:7">
      <c r="A32" s="132"/>
      <c r="B32" s="132"/>
      <c r="C32" s="131"/>
      <c r="D32" s="132"/>
      <c r="E32" s="132"/>
      <c r="F32" s="133"/>
      <c r="G32" s="133"/>
    </row>
    <row r="33" spans="1:7" ht="14">
      <c r="A33" s="132"/>
      <c r="B33" s="132"/>
      <c r="C33" s="131" t="s">
        <v>368</v>
      </c>
      <c r="D33" s="132" t="s">
        <v>366</v>
      </c>
      <c r="E33" s="132">
        <f>E29</f>
        <v>9</v>
      </c>
      <c r="F33" s="133"/>
      <c r="G33" s="133">
        <f>F33*E33</f>
        <v>0</v>
      </c>
    </row>
    <row r="34" spans="1:7">
      <c r="A34" s="132"/>
      <c r="B34" s="132"/>
      <c r="C34" s="131"/>
      <c r="D34" s="132"/>
      <c r="E34" s="132"/>
      <c r="F34" s="133"/>
      <c r="G34" s="133"/>
    </row>
    <row r="35" spans="1:7" ht="14">
      <c r="A35" s="132"/>
      <c r="B35" s="132"/>
      <c r="C35" s="131" t="s">
        <v>369</v>
      </c>
      <c r="D35" s="132" t="s">
        <v>366</v>
      </c>
      <c r="E35" s="132">
        <f>E29</f>
        <v>9</v>
      </c>
      <c r="F35" s="133"/>
      <c r="G35" s="133">
        <f>F35*E35</f>
        <v>0</v>
      </c>
    </row>
    <row r="36" spans="1:7">
      <c r="A36" s="132"/>
      <c r="B36" s="132"/>
      <c r="C36" s="131"/>
      <c r="D36" s="132"/>
      <c r="E36" s="132"/>
      <c r="F36" s="133"/>
      <c r="G36" s="133"/>
    </row>
    <row r="37" spans="1:7" ht="14">
      <c r="A37" s="132"/>
      <c r="B37" s="132"/>
      <c r="C37" s="131" t="s">
        <v>370</v>
      </c>
      <c r="D37" s="132" t="s">
        <v>366</v>
      </c>
      <c r="E37" s="132">
        <f>E29</f>
        <v>9</v>
      </c>
      <c r="F37" s="133"/>
      <c r="G37" s="133">
        <f>F37*E37</f>
        <v>0</v>
      </c>
    </row>
    <row r="38" spans="1:7">
      <c r="A38" s="132"/>
      <c r="B38" s="132"/>
      <c r="C38" s="131"/>
      <c r="D38" s="132"/>
      <c r="E38" s="132"/>
      <c r="F38" s="133"/>
      <c r="G38" s="133"/>
    </row>
    <row r="39" spans="1:7" ht="14">
      <c r="A39" s="132"/>
      <c r="B39" s="132"/>
      <c r="C39" s="131" t="s">
        <v>371</v>
      </c>
      <c r="D39" s="132" t="s">
        <v>366</v>
      </c>
      <c r="E39" s="132">
        <f>E29</f>
        <v>9</v>
      </c>
      <c r="F39" s="133"/>
      <c r="G39" s="133">
        <f>F39*E39</f>
        <v>0</v>
      </c>
    </row>
    <row r="40" spans="1:7">
      <c r="A40" s="132"/>
      <c r="B40" s="132"/>
      <c r="C40" s="131"/>
      <c r="D40" s="132"/>
      <c r="E40" s="132"/>
      <c r="F40" s="133"/>
      <c r="G40" s="133"/>
    </row>
    <row r="41" spans="1:7" ht="14">
      <c r="A41" s="132"/>
      <c r="B41" s="132"/>
      <c r="C41" s="131" t="s">
        <v>372</v>
      </c>
      <c r="D41" s="132" t="s">
        <v>366</v>
      </c>
      <c r="E41" s="132">
        <f>E29</f>
        <v>9</v>
      </c>
      <c r="F41" s="133"/>
      <c r="G41" s="133">
        <f>F41*E41</f>
        <v>0</v>
      </c>
    </row>
    <row r="42" spans="1:7">
      <c r="A42" s="132"/>
      <c r="B42" s="132"/>
      <c r="C42" s="131"/>
      <c r="D42" s="132"/>
      <c r="E42" s="132"/>
      <c r="F42" s="133"/>
      <c r="G42" s="133"/>
    </row>
    <row r="43" spans="1:7" ht="14">
      <c r="A43" s="132"/>
      <c r="B43" s="132"/>
      <c r="C43" s="131" t="s">
        <v>373</v>
      </c>
      <c r="D43" s="132" t="s">
        <v>366</v>
      </c>
      <c r="E43" s="132">
        <f>E29</f>
        <v>9</v>
      </c>
      <c r="F43" s="133"/>
      <c r="G43" s="133">
        <f>F43*E43</f>
        <v>0</v>
      </c>
    </row>
    <row r="44" spans="1:7">
      <c r="A44" s="132"/>
      <c r="B44" s="132"/>
      <c r="C44" s="131"/>
      <c r="D44" s="132"/>
      <c r="E44" s="132"/>
      <c r="F44" s="133"/>
      <c r="G44" s="133"/>
    </row>
    <row r="45" spans="1:7" ht="14">
      <c r="A45" s="132"/>
      <c r="B45" s="132"/>
      <c r="C45" s="131" t="s">
        <v>374</v>
      </c>
      <c r="D45" s="132" t="s">
        <v>366</v>
      </c>
      <c r="E45" s="132">
        <f>E29</f>
        <v>9</v>
      </c>
      <c r="F45" s="133"/>
      <c r="G45" s="133">
        <f>F45*E45</f>
        <v>0</v>
      </c>
    </row>
    <row r="46" spans="1:7">
      <c r="A46" s="132"/>
      <c r="B46" s="132"/>
      <c r="C46" s="131"/>
      <c r="D46" s="132"/>
      <c r="E46" s="132"/>
      <c r="F46" s="133"/>
      <c r="G46" s="133"/>
    </row>
    <row r="47" spans="1:7" ht="14">
      <c r="A47" s="132" t="s">
        <v>375</v>
      </c>
      <c r="B47" s="132" t="s">
        <v>376</v>
      </c>
      <c r="C47" s="131" t="s">
        <v>377</v>
      </c>
      <c r="D47" s="132" t="s">
        <v>366</v>
      </c>
      <c r="E47" s="132">
        <f>E29</f>
        <v>9</v>
      </c>
      <c r="F47" s="133"/>
      <c r="G47" s="133">
        <f>F47*E47</f>
        <v>0</v>
      </c>
    </row>
    <row r="48" spans="1:7">
      <c r="A48" s="132"/>
      <c r="B48" s="132"/>
      <c r="C48" s="131"/>
      <c r="D48" s="132"/>
      <c r="E48" s="132"/>
      <c r="F48" s="133"/>
      <c r="G48" s="133"/>
    </row>
    <row r="49" spans="1:8" ht="14">
      <c r="A49" s="132" t="s">
        <v>378</v>
      </c>
      <c r="B49" s="132" t="s">
        <v>379</v>
      </c>
      <c r="C49" s="131" t="s">
        <v>380</v>
      </c>
      <c r="D49" s="132" t="s">
        <v>3</v>
      </c>
      <c r="E49" s="132">
        <v>1</v>
      </c>
      <c r="F49" s="133"/>
      <c r="G49" s="133">
        <f>F49*E49</f>
        <v>0</v>
      </c>
    </row>
    <row r="50" spans="1:8">
      <c r="A50" s="230"/>
      <c r="B50" s="230"/>
      <c r="C50" s="227"/>
      <c r="D50" s="230"/>
      <c r="E50" s="230"/>
      <c r="F50" s="229"/>
      <c r="G50" s="133"/>
    </row>
    <row r="51" spans="1:8" ht="14">
      <c r="A51" s="132" t="s">
        <v>510</v>
      </c>
      <c r="B51" s="132"/>
      <c r="C51" s="131" t="s">
        <v>511</v>
      </c>
      <c r="D51" s="132" t="s">
        <v>3</v>
      </c>
      <c r="E51" s="132">
        <v>1</v>
      </c>
      <c r="F51" s="133"/>
      <c r="G51" s="133">
        <f>F51*E51</f>
        <v>0</v>
      </c>
    </row>
    <row r="52" spans="1:8">
      <c r="A52" s="132"/>
      <c r="B52" s="132"/>
      <c r="C52" s="131"/>
      <c r="D52" s="132"/>
      <c r="E52" s="132"/>
      <c r="F52" s="133"/>
      <c r="G52" s="133"/>
    </row>
    <row r="53" spans="1:8" ht="14">
      <c r="A53" s="128">
        <v>1.2</v>
      </c>
      <c r="B53" s="128">
        <v>8.4</v>
      </c>
      <c r="C53" s="130" t="s">
        <v>381</v>
      </c>
      <c r="D53" s="128"/>
      <c r="E53" s="128"/>
      <c r="F53" s="133"/>
      <c r="G53" s="129"/>
    </row>
    <row r="54" spans="1:8">
      <c r="A54" s="128"/>
      <c r="B54" s="128"/>
      <c r="C54" s="130"/>
      <c r="D54" s="128"/>
      <c r="E54" s="128"/>
      <c r="F54" s="133"/>
      <c r="G54" s="129"/>
    </row>
    <row r="55" spans="1:8" ht="14">
      <c r="A55" s="132" t="s">
        <v>382</v>
      </c>
      <c r="B55" s="132" t="s">
        <v>383</v>
      </c>
      <c r="C55" s="131" t="s">
        <v>347</v>
      </c>
      <c r="D55" s="132" t="s">
        <v>366</v>
      </c>
      <c r="E55" s="132">
        <f>E29</f>
        <v>9</v>
      </c>
      <c r="F55" s="133"/>
      <c r="G55" s="133">
        <f>F55*E55</f>
        <v>0</v>
      </c>
    </row>
    <row r="56" spans="1:8">
      <c r="A56" s="132"/>
      <c r="B56" s="132"/>
      <c r="C56" s="131"/>
      <c r="D56" s="132"/>
      <c r="E56" s="132"/>
      <c r="F56" s="133"/>
      <c r="G56" s="133"/>
    </row>
    <row r="57" spans="1:8" ht="14">
      <c r="A57" s="132" t="s">
        <v>388</v>
      </c>
      <c r="B57" s="132" t="s">
        <v>386</v>
      </c>
      <c r="C57" s="131" t="s">
        <v>387</v>
      </c>
      <c r="D57" s="132" t="s">
        <v>366</v>
      </c>
      <c r="E57" s="132">
        <f>E29</f>
        <v>9</v>
      </c>
      <c r="F57" s="133"/>
      <c r="G57" s="133">
        <f>F57*E57</f>
        <v>0</v>
      </c>
    </row>
    <row r="58" spans="1:8">
      <c r="A58" s="132"/>
      <c r="B58" s="132"/>
      <c r="C58" s="131"/>
      <c r="D58" s="132"/>
      <c r="E58" s="132"/>
      <c r="F58" s="133"/>
      <c r="G58" s="133"/>
    </row>
    <row r="59" spans="1:8" ht="28">
      <c r="A59" s="132" t="s">
        <v>512</v>
      </c>
      <c r="B59" s="132" t="s">
        <v>389</v>
      </c>
      <c r="C59" s="131" t="s">
        <v>390</v>
      </c>
      <c r="D59" s="132" t="s">
        <v>366</v>
      </c>
      <c r="E59" s="132">
        <f>E29</f>
        <v>9</v>
      </c>
      <c r="F59" s="133"/>
      <c r="G59" s="133">
        <f>F59*E59</f>
        <v>0</v>
      </c>
    </row>
    <row r="60" spans="1:8">
      <c r="A60" s="132"/>
      <c r="B60" s="132"/>
      <c r="C60" s="131"/>
      <c r="D60" s="132"/>
      <c r="E60" s="132"/>
      <c r="F60" s="133"/>
      <c r="G60" s="133"/>
    </row>
    <row r="61" spans="1:8" ht="14">
      <c r="A61" s="132" t="s">
        <v>513</v>
      </c>
      <c r="B61" s="132" t="s">
        <v>391</v>
      </c>
      <c r="C61" s="131" t="s">
        <v>582</v>
      </c>
      <c r="D61" s="132" t="s">
        <v>366</v>
      </c>
      <c r="E61" s="132">
        <f>E29</f>
        <v>9</v>
      </c>
      <c r="F61" s="133"/>
      <c r="G61" s="133">
        <f>F61*E61</f>
        <v>0</v>
      </c>
    </row>
    <row r="62" spans="1:8" ht="12.5" customHeight="1">
      <c r="A62" s="132"/>
      <c r="B62" s="132"/>
      <c r="C62" s="131"/>
      <c r="D62" s="132"/>
      <c r="E62" s="132"/>
      <c r="F62" s="133"/>
      <c r="G62" s="133">
        <f t="shared" ref="G62:G71" si="1">E62*F62</f>
        <v>0</v>
      </c>
    </row>
    <row r="63" spans="1:8" ht="14">
      <c r="A63" s="393">
        <v>1.3</v>
      </c>
      <c r="B63" s="393" t="s">
        <v>392</v>
      </c>
      <c r="C63" s="394" t="s">
        <v>393</v>
      </c>
      <c r="D63" s="393"/>
      <c r="E63" s="393"/>
      <c r="F63" s="395"/>
      <c r="G63" s="136">
        <f t="shared" si="1"/>
        <v>0</v>
      </c>
      <c r="H63" s="277"/>
    </row>
    <row r="64" spans="1:8">
      <c r="A64" s="393"/>
      <c r="B64" s="393"/>
      <c r="C64" s="394"/>
      <c r="D64" s="393"/>
      <c r="E64" s="393"/>
      <c r="F64" s="395"/>
      <c r="G64" s="136">
        <f t="shared" si="1"/>
        <v>0</v>
      </c>
      <c r="H64" s="277"/>
    </row>
    <row r="65" spans="1:8" ht="14">
      <c r="A65" s="135" t="s">
        <v>394</v>
      </c>
      <c r="B65" s="135"/>
      <c r="C65" s="134" t="s">
        <v>452</v>
      </c>
      <c r="D65" s="135" t="s">
        <v>395</v>
      </c>
      <c r="E65" s="135">
        <v>1</v>
      </c>
      <c r="F65" s="392">
        <v>100000</v>
      </c>
      <c r="G65" s="136">
        <f t="shared" si="1"/>
        <v>100000</v>
      </c>
      <c r="H65" s="277"/>
    </row>
    <row r="66" spans="1:8">
      <c r="A66" s="135"/>
      <c r="B66" s="135"/>
      <c r="C66" s="134"/>
      <c r="D66" s="135"/>
      <c r="E66" s="135"/>
      <c r="F66" s="136"/>
      <c r="G66" s="136">
        <f t="shared" si="1"/>
        <v>0</v>
      </c>
      <c r="H66" s="277"/>
    </row>
    <row r="67" spans="1:8" ht="14">
      <c r="A67" s="135"/>
      <c r="B67" s="135"/>
      <c r="C67" s="134" t="s">
        <v>396</v>
      </c>
      <c r="D67" s="135" t="s">
        <v>397</v>
      </c>
      <c r="E67" s="396">
        <f>F65</f>
        <v>100000</v>
      </c>
      <c r="F67" s="397"/>
      <c r="G67" s="136">
        <f t="shared" si="1"/>
        <v>0</v>
      </c>
      <c r="H67" s="277"/>
    </row>
    <row r="68" spans="1:8">
      <c r="A68" s="135"/>
      <c r="B68" s="135"/>
      <c r="C68" s="134"/>
      <c r="D68" s="135"/>
      <c r="E68" s="396"/>
      <c r="F68" s="136"/>
      <c r="G68" s="136">
        <f t="shared" si="1"/>
        <v>0</v>
      </c>
      <c r="H68" s="277"/>
    </row>
    <row r="69" spans="1:8" ht="14">
      <c r="A69" s="398"/>
      <c r="B69" s="398"/>
      <c r="C69" s="399" t="s">
        <v>398</v>
      </c>
      <c r="D69" s="398" t="s">
        <v>395</v>
      </c>
      <c r="E69" s="398">
        <v>1</v>
      </c>
      <c r="F69" s="400">
        <v>100000</v>
      </c>
      <c r="G69" s="136">
        <f t="shared" si="1"/>
        <v>100000</v>
      </c>
      <c r="H69" s="277"/>
    </row>
    <row r="70" spans="1:8">
      <c r="A70" s="135"/>
      <c r="B70" s="135"/>
      <c r="C70" s="134"/>
      <c r="D70" s="135"/>
      <c r="E70" s="135"/>
      <c r="F70" s="136"/>
      <c r="G70" s="136">
        <f t="shared" si="1"/>
        <v>0</v>
      </c>
      <c r="H70" s="277"/>
    </row>
    <row r="71" spans="1:8" ht="14">
      <c r="A71" s="135"/>
      <c r="B71" s="135"/>
      <c r="C71" s="134" t="s">
        <v>399</v>
      </c>
      <c r="D71" s="135" t="s">
        <v>397</v>
      </c>
      <c r="E71" s="396">
        <v>10000</v>
      </c>
      <c r="F71" s="397"/>
      <c r="G71" s="136">
        <f t="shared" si="1"/>
        <v>0</v>
      </c>
      <c r="H71" s="277"/>
    </row>
    <row r="72" spans="1:8">
      <c r="A72" s="132"/>
      <c r="B72" s="145"/>
      <c r="C72" s="144"/>
      <c r="D72" s="145"/>
      <c r="E72" s="145"/>
      <c r="F72" s="146"/>
      <c r="G72" s="146"/>
    </row>
    <row r="73" spans="1:8">
      <c r="A73" s="132"/>
      <c r="B73" s="145"/>
      <c r="C73" s="144"/>
      <c r="D73" s="145"/>
      <c r="E73" s="145"/>
      <c r="F73" s="146"/>
      <c r="G73" s="146"/>
    </row>
    <row r="74" spans="1:8">
      <c r="A74" s="132"/>
      <c r="B74" s="148"/>
      <c r="C74" s="147"/>
      <c r="D74" s="148"/>
      <c r="E74" s="148"/>
      <c r="F74" s="149"/>
      <c r="G74" s="150"/>
    </row>
    <row r="75" spans="1:8">
      <c r="A75" s="151"/>
      <c r="B75" s="151"/>
      <c r="C75" s="152"/>
      <c r="D75" s="151"/>
      <c r="E75" s="151"/>
      <c r="F75" s="153"/>
      <c r="G75" s="154"/>
    </row>
    <row r="76" spans="1:8">
      <c r="A76" s="145"/>
      <c r="B76" s="145"/>
      <c r="C76" s="155" t="s">
        <v>26</v>
      </c>
      <c r="D76" s="145"/>
      <c r="E76" s="145"/>
      <c r="F76" s="156"/>
      <c r="G76" s="157">
        <f>SUM(G5:G74)</f>
        <v>289000</v>
      </c>
    </row>
    <row r="77" spans="1:8">
      <c r="A77" s="158"/>
      <c r="B77" s="158"/>
      <c r="C77" s="159"/>
      <c r="D77" s="158"/>
      <c r="E77" s="158"/>
      <c r="F77" s="160"/>
      <c r="G77" s="161"/>
    </row>
    <row r="78" spans="1:8">
      <c r="A78" s="119"/>
      <c r="B78" s="119"/>
      <c r="C78" s="119"/>
      <c r="D78" s="119"/>
      <c r="E78" s="119"/>
      <c r="F78" s="120"/>
      <c r="G78" s="120"/>
    </row>
    <row r="79" spans="1:8">
      <c r="A79" s="121" t="s">
        <v>0</v>
      </c>
      <c r="B79" s="121" t="s">
        <v>384</v>
      </c>
      <c r="C79" s="121" t="s">
        <v>1</v>
      </c>
      <c r="D79" s="121" t="s">
        <v>10</v>
      </c>
      <c r="E79" s="121" t="s">
        <v>385</v>
      </c>
      <c r="F79" s="122" t="s">
        <v>341</v>
      </c>
      <c r="G79" s="122" t="s">
        <v>13</v>
      </c>
    </row>
    <row r="80" spans="1:8">
      <c r="A80" s="123"/>
      <c r="B80" s="123"/>
      <c r="C80" s="123"/>
      <c r="D80" s="123"/>
      <c r="E80" s="123"/>
      <c r="F80" s="124"/>
      <c r="G80" s="124"/>
    </row>
    <row r="81" spans="1:7">
      <c r="A81" s="145"/>
      <c r="B81" s="145"/>
      <c r="C81" s="144"/>
      <c r="D81" s="145"/>
      <c r="E81" s="145"/>
      <c r="F81" s="146"/>
      <c r="G81" s="146"/>
    </row>
    <row r="82" spans="1:7">
      <c r="A82" s="145"/>
      <c r="B82" s="145"/>
      <c r="C82" s="155" t="s">
        <v>33</v>
      </c>
      <c r="D82" s="145"/>
      <c r="E82" s="145"/>
      <c r="F82" s="146"/>
      <c r="G82" s="157">
        <f>G76</f>
        <v>289000</v>
      </c>
    </row>
    <row r="83" spans="1:7">
      <c r="A83" s="158"/>
      <c r="B83" s="158"/>
      <c r="C83" s="162"/>
      <c r="D83" s="158"/>
      <c r="E83" s="158"/>
      <c r="F83" s="161"/>
      <c r="G83" s="161"/>
    </row>
    <row r="84" spans="1:7">
      <c r="A84" s="145"/>
      <c r="B84" s="132"/>
      <c r="C84" s="131"/>
      <c r="D84" s="132"/>
      <c r="E84" s="132"/>
      <c r="F84" s="143"/>
      <c r="G84" s="133"/>
    </row>
    <row r="85" spans="1:7" ht="14">
      <c r="A85" s="132"/>
      <c r="B85" s="132"/>
      <c r="C85" s="131" t="s">
        <v>400</v>
      </c>
      <c r="D85" s="132" t="s">
        <v>395</v>
      </c>
      <c r="E85" s="132">
        <v>1</v>
      </c>
      <c r="F85" s="143">
        <f>8000*E61</f>
        <v>72000</v>
      </c>
      <c r="G85" s="133">
        <f t="shared" ref="G85" si="2">E85*F85</f>
        <v>72000</v>
      </c>
    </row>
    <row r="86" spans="1:7">
      <c r="A86" s="132"/>
      <c r="B86" s="132"/>
      <c r="C86" s="131"/>
      <c r="D86" s="132"/>
      <c r="E86" s="132"/>
      <c r="F86" s="133"/>
      <c r="G86" s="133"/>
    </row>
    <row r="87" spans="1:7" ht="14">
      <c r="A87" s="132"/>
      <c r="B87" s="132"/>
      <c r="C87" s="131" t="s">
        <v>401</v>
      </c>
      <c r="D87" s="132" t="s">
        <v>397</v>
      </c>
      <c r="E87" s="163">
        <f>F85</f>
        <v>72000</v>
      </c>
      <c r="F87" s="164">
        <v>0.05</v>
      </c>
      <c r="G87" s="133">
        <f t="shared" ref="G87" si="3">E87*F87</f>
        <v>3600</v>
      </c>
    </row>
    <row r="88" spans="1:7">
      <c r="A88" s="509"/>
      <c r="B88" s="509"/>
      <c r="C88" s="510"/>
      <c r="D88" s="509"/>
      <c r="E88" s="511"/>
      <c r="F88" s="512"/>
      <c r="G88" s="513"/>
    </row>
    <row r="89" spans="1:7" ht="14">
      <c r="A89" s="132"/>
      <c r="B89" s="132"/>
      <c r="C89" s="131" t="s">
        <v>932</v>
      </c>
      <c r="D89" s="132" t="s">
        <v>395</v>
      </c>
      <c r="E89" s="132">
        <v>1</v>
      </c>
      <c r="F89" s="143">
        <f>(250*2*8)*E55</f>
        <v>36000</v>
      </c>
      <c r="G89" s="133">
        <f t="shared" ref="G89" si="4">E89*F89</f>
        <v>36000</v>
      </c>
    </row>
    <row r="90" spans="1:7">
      <c r="A90" s="509"/>
      <c r="B90" s="509"/>
      <c r="C90" s="131"/>
      <c r="D90" s="132"/>
      <c r="E90" s="132"/>
      <c r="F90" s="133"/>
      <c r="G90" s="133"/>
    </row>
    <row r="91" spans="1:7" ht="14">
      <c r="A91" s="509"/>
      <c r="B91" s="509"/>
      <c r="C91" s="131" t="s">
        <v>933</v>
      </c>
      <c r="D91" s="132" t="s">
        <v>397</v>
      </c>
      <c r="E91" s="163">
        <f>F89</f>
        <v>36000</v>
      </c>
      <c r="F91" s="164">
        <v>0.05</v>
      </c>
      <c r="G91" s="133">
        <f t="shared" ref="G91" si="5">E91*F91</f>
        <v>1800</v>
      </c>
    </row>
    <row r="92" spans="1:7">
      <c r="A92" s="509"/>
      <c r="B92" s="509"/>
      <c r="C92" s="510"/>
      <c r="D92" s="509"/>
      <c r="E92" s="511"/>
      <c r="F92" s="512"/>
      <c r="G92" s="513"/>
    </row>
    <row r="93" spans="1:7" ht="14">
      <c r="A93" s="128">
        <v>1.4</v>
      </c>
      <c r="B93" s="128">
        <v>8.6999999999999993</v>
      </c>
      <c r="C93" s="130" t="s">
        <v>402</v>
      </c>
      <c r="D93" s="128"/>
      <c r="E93" s="128"/>
      <c r="F93" s="129"/>
      <c r="G93" s="129"/>
    </row>
    <row r="94" spans="1:7">
      <c r="A94" s="128"/>
      <c r="B94" s="128"/>
      <c r="C94" s="130"/>
      <c r="D94" s="128"/>
      <c r="E94" s="128"/>
      <c r="F94" s="129"/>
      <c r="G94" s="129"/>
    </row>
    <row r="95" spans="1:7" ht="14">
      <c r="A95" s="132" t="s">
        <v>403</v>
      </c>
      <c r="B95" s="166"/>
      <c r="C95" s="131" t="s">
        <v>404</v>
      </c>
      <c r="D95" s="166"/>
      <c r="E95" s="166"/>
      <c r="F95" s="131"/>
      <c r="G95" s="131"/>
    </row>
    <row r="96" spans="1:7">
      <c r="A96" s="128"/>
      <c r="B96" s="166"/>
      <c r="C96" s="131"/>
      <c r="D96" s="166"/>
      <c r="E96" s="166"/>
      <c r="F96" s="131"/>
      <c r="G96" s="131"/>
    </row>
    <row r="97" spans="1:7" ht="14">
      <c r="A97" s="128"/>
      <c r="B97" s="166"/>
      <c r="C97" s="131" t="s">
        <v>405</v>
      </c>
      <c r="D97" s="166" t="s">
        <v>406</v>
      </c>
      <c r="E97" s="166">
        <v>350</v>
      </c>
      <c r="F97" s="143"/>
      <c r="G97" s="133">
        <f>F97*E97</f>
        <v>0</v>
      </c>
    </row>
    <row r="98" spans="1:7">
      <c r="A98" s="128"/>
      <c r="B98" s="166"/>
      <c r="C98" s="131"/>
      <c r="D98" s="166"/>
      <c r="E98" s="166"/>
      <c r="F98" s="167"/>
      <c r="G98" s="133"/>
    </row>
    <row r="99" spans="1:7" ht="14">
      <c r="A99" s="128"/>
      <c r="B99" s="166"/>
      <c r="C99" s="131" t="s">
        <v>407</v>
      </c>
      <c r="D99" s="166" t="s">
        <v>406</v>
      </c>
      <c r="E99" s="166">
        <v>450</v>
      </c>
      <c r="F99" s="489"/>
      <c r="G99" s="133">
        <f>F99*E99</f>
        <v>0</v>
      </c>
    </row>
    <row r="100" spans="1:7">
      <c r="A100" s="128"/>
      <c r="B100" s="166"/>
      <c r="C100" s="131"/>
      <c r="D100" s="166"/>
      <c r="E100" s="166"/>
      <c r="F100" s="167"/>
      <c r="G100" s="133"/>
    </row>
    <row r="101" spans="1:7" ht="14">
      <c r="A101" s="128"/>
      <c r="B101" s="166"/>
      <c r="C101" s="131" t="s">
        <v>408</v>
      </c>
      <c r="D101" s="166" t="s">
        <v>406</v>
      </c>
      <c r="E101" s="166">
        <v>500</v>
      </c>
      <c r="F101" s="489"/>
      <c r="G101" s="133">
        <f>F101*E101</f>
        <v>0</v>
      </c>
    </row>
    <row r="102" spans="1:7">
      <c r="A102" s="132"/>
      <c r="B102" s="132"/>
      <c r="C102" s="131"/>
      <c r="D102" s="132"/>
      <c r="E102" s="163"/>
      <c r="F102" s="164"/>
      <c r="G102" s="133">
        <f t="shared" ref="G102:G127" si="6">F102*E102</f>
        <v>0</v>
      </c>
    </row>
    <row r="103" spans="1:7" ht="14">
      <c r="A103" s="132" t="s">
        <v>409</v>
      </c>
      <c r="B103" s="166"/>
      <c r="C103" s="130" t="s">
        <v>410</v>
      </c>
      <c r="D103" s="166"/>
      <c r="E103" s="166"/>
      <c r="F103" s="131"/>
      <c r="G103" s="133">
        <f t="shared" si="6"/>
        <v>0</v>
      </c>
    </row>
    <row r="104" spans="1:7">
      <c r="A104" s="128"/>
      <c r="B104" s="166"/>
      <c r="C104" s="131"/>
      <c r="D104" s="166"/>
      <c r="E104" s="166"/>
      <c r="F104" s="131"/>
      <c r="G104" s="133">
        <f t="shared" si="6"/>
        <v>0</v>
      </c>
    </row>
    <row r="105" spans="1:7" ht="14">
      <c r="A105" s="128"/>
      <c r="B105" s="166"/>
      <c r="C105" s="131" t="s">
        <v>411</v>
      </c>
      <c r="D105" s="166"/>
      <c r="E105" s="166"/>
      <c r="F105" s="131"/>
      <c r="G105" s="133">
        <f t="shared" si="6"/>
        <v>0</v>
      </c>
    </row>
    <row r="106" spans="1:7" ht="14">
      <c r="A106" s="128"/>
      <c r="B106" s="166"/>
      <c r="C106" s="131" t="s">
        <v>412</v>
      </c>
      <c r="D106" s="166" t="s">
        <v>406</v>
      </c>
      <c r="E106" s="166">
        <v>40</v>
      </c>
      <c r="F106" s="133"/>
      <c r="G106" s="133">
        <f t="shared" si="6"/>
        <v>0</v>
      </c>
    </row>
    <row r="107" spans="1:7" ht="14">
      <c r="A107" s="128"/>
      <c r="B107" s="166"/>
      <c r="C107" s="131" t="s">
        <v>413</v>
      </c>
      <c r="D107" s="166" t="s">
        <v>406</v>
      </c>
      <c r="E107" s="166">
        <v>40</v>
      </c>
      <c r="F107" s="133"/>
      <c r="G107" s="133">
        <f t="shared" si="6"/>
        <v>0</v>
      </c>
    </row>
    <row r="108" spans="1:7">
      <c r="A108" s="128"/>
      <c r="B108" s="166"/>
      <c r="C108" s="131"/>
      <c r="D108" s="166"/>
      <c r="E108" s="166"/>
      <c r="F108" s="491"/>
      <c r="G108" s="133">
        <f t="shared" si="6"/>
        <v>0</v>
      </c>
    </row>
    <row r="109" spans="1:7" ht="16">
      <c r="A109" s="128"/>
      <c r="B109" s="166"/>
      <c r="C109" s="131" t="s">
        <v>476</v>
      </c>
      <c r="D109" s="166" t="s">
        <v>406</v>
      </c>
      <c r="E109" s="166">
        <v>40</v>
      </c>
      <c r="F109" s="133"/>
      <c r="G109" s="133">
        <f t="shared" si="6"/>
        <v>0</v>
      </c>
    </row>
    <row r="110" spans="1:7">
      <c r="A110" s="128"/>
      <c r="B110" s="166"/>
      <c r="C110" s="131"/>
      <c r="D110" s="166"/>
      <c r="E110" s="166"/>
      <c r="F110" s="491"/>
      <c r="G110" s="133">
        <f t="shared" si="6"/>
        <v>0</v>
      </c>
    </row>
    <row r="111" spans="1:7" ht="14">
      <c r="A111" s="128"/>
      <c r="B111" s="166"/>
      <c r="C111" s="131" t="s">
        <v>414</v>
      </c>
      <c r="D111" s="166" t="s">
        <v>406</v>
      </c>
      <c r="E111" s="166">
        <f>5*8</f>
        <v>40</v>
      </c>
      <c r="F111" s="133"/>
      <c r="G111" s="133">
        <f t="shared" si="6"/>
        <v>0</v>
      </c>
    </row>
    <row r="112" spans="1:7">
      <c r="A112" s="128"/>
      <c r="B112" s="166"/>
      <c r="C112" s="131"/>
      <c r="D112" s="166"/>
      <c r="E112" s="166"/>
      <c r="F112" s="491"/>
      <c r="G112" s="133">
        <f t="shared" si="6"/>
        <v>0</v>
      </c>
    </row>
    <row r="113" spans="1:7" ht="16">
      <c r="A113" s="128"/>
      <c r="B113" s="166"/>
      <c r="C113" s="131" t="s">
        <v>415</v>
      </c>
      <c r="D113" s="166" t="s">
        <v>406</v>
      </c>
      <c r="E113" s="166">
        <v>40</v>
      </c>
      <c r="F113" s="133"/>
      <c r="G113" s="133">
        <f t="shared" si="6"/>
        <v>0</v>
      </c>
    </row>
    <row r="114" spans="1:7">
      <c r="A114" s="128"/>
      <c r="B114" s="166"/>
      <c r="C114" s="131"/>
      <c r="D114" s="166"/>
      <c r="E114" s="166"/>
      <c r="F114" s="491"/>
      <c r="G114" s="133">
        <f t="shared" si="6"/>
        <v>0</v>
      </c>
    </row>
    <row r="115" spans="1:7" ht="14">
      <c r="A115" s="128"/>
      <c r="B115" s="166"/>
      <c r="C115" s="131" t="s">
        <v>934</v>
      </c>
      <c r="D115" s="166" t="s">
        <v>406</v>
      </c>
      <c r="E115" s="166">
        <v>200</v>
      </c>
      <c r="F115" s="133"/>
      <c r="G115" s="133">
        <f t="shared" si="6"/>
        <v>0</v>
      </c>
    </row>
    <row r="116" spans="1:7">
      <c r="A116" s="128"/>
      <c r="B116" s="166"/>
      <c r="C116" s="131"/>
      <c r="D116" s="166"/>
      <c r="E116" s="166"/>
      <c r="F116" s="491"/>
      <c r="G116" s="133">
        <f t="shared" si="6"/>
        <v>0</v>
      </c>
    </row>
    <row r="117" spans="1:7" ht="16">
      <c r="A117" s="128"/>
      <c r="B117" s="166"/>
      <c r="C117" s="131" t="s">
        <v>416</v>
      </c>
      <c r="D117" s="166" t="s">
        <v>406</v>
      </c>
      <c r="E117" s="166">
        <f>10*8</f>
        <v>80</v>
      </c>
      <c r="F117" s="133"/>
      <c r="G117" s="133">
        <f t="shared" si="6"/>
        <v>0</v>
      </c>
    </row>
    <row r="118" spans="1:7">
      <c r="A118" s="128"/>
      <c r="B118" s="166"/>
      <c r="C118" s="131"/>
      <c r="D118" s="166"/>
      <c r="E118" s="166"/>
      <c r="F118" s="491"/>
      <c r="G118" s="133">
        <f t="shared" si="6"/>
        <v>0</v>
      </c>
    </row>
    <row r="119" spans="1:7" ht="14">
      <c r="A119" s="128"/>
      <c r="B119" s="166"/>
      <c r="C119" s="131" t="s">
        <v>450</v>
      </c>
      <c r="D119" s="166" t="s">
        <v>451</v>
      </c>
      <c r="E119" s="166">
        <v>20000</v>
      </c>
      <c r="F119" s="133"/>
      <c r="G119" s="133">
        <f t="shared" si="6"/>
        <v>0</v>
      </c>
    </row>
    <row r="120" spans="1:7" s="142" customFormat="1">
      <c r="A120" s="141"/>
      <c r="B120" s="141"/>
      <c r="C120" s="140"/>
      <c r="D120" s="141"/>
      <c r="E120" s="141"/>
      <c r="F120" s="492"/>
      <c r="G120" s="133">
        <f t="shared" si="6"/>
        <v>0</v>
      </c>
    </row>
    <row r="121" spans="1:7" s="142" customFormat="1" ht="14">
      <c r="A121" s="128"/>
      <c r="B121" s="166"/>
      <c r="C121" s="131" t="s">
        <v>449</v>
      </c>
      <c r="D121" s="166" t="s">
        <v>406</v>
      </c>
      <c r="E121" s="166">
        <v>20</v>
      </c>
      <c r="F121" s="133"/>
      <c r="G121" s="133">
        <f t="shared" si="6"/>
        <v>0</v>
      </c>
    </row>
    <row r="122" spans="1:7" s="142" customFormat="1">
      <c r="A122" s="128"/>
      <c r="B122" s="166"/>
      <c r="C122" s="131"/>
      <c r="D122" s="166"/>
      <c r="E122" s="166"/>
      <c r="F122" s="491"/>
      <c r="G122" s="133">
        <f t="shared" si="6"/>
        <v>0</v>
      </c>
    </row>
    <row r="123" spans="1:7" ht="14">
      <c r="A123" s="128"/>
      <c r="B123" s="166"/>
      <c r="C123" s="131" t="s">
        <v>417</v>
      </c>
      <c r="D123" s="166" t="s">
        <v>406</v>
      </c>
      <c r="E123" s="166">
        <v>16</v>
      </c>
      <c r="F123" s="133"/>
      <c r="G123" s="133">
        <f t="shared" si="6"/>
        <v>0</v>
      </c>
    </row>
    <row r="124" spans="1:7" s="142" customFormat="1">
      <c r="A124" s="128"/>
      <c r="B124" s="166"/>
      <c r="C124" s="131"/>
      <c r="D124" s="166"/>
      <c r="E124" s="166"/>
      <c r="F124" s="491"/>
      <c r="G124" s="133">
        <f t="shared" si="6"/>
        <v>0</v>
      </c>
    </row>
    <row r="125" spans="1:7" s="142" customFormat="1" ht="14">
      <c r="A125" s="128"/>
      <c r="B125" s="128"/>
      <c r="C125" s="131" t="s">
        <v>594</v>
      </c>
      <c r="D125" s="166" t="s">
        <v>406</v>
      </c>
      <c r="E125" s="166">
        <v>20</v>
      </c>
      <c r="F125" s="133"/>
      <c r="G125" s="133">
        <f t="shared" si="6"/>
        <v>0</v>
      </c>
    </row>
    <row r="126" spans="1:7" s="142" customFormat="1">
      <c r="A126" s="128"/>
      <c r="B126" s="166"/>
      <c r="C126" s="131"/>
      <c r="D126" s="166"/>
      <c r="E126" s="166"/>
      <c r="F126" s="491"/>
      <c r="G126" s="133">
        <f t="shared" si="6"/>
        <v>0</v>
      </c>
    </row>
    <row r="127" spans="1:7" s="142" customFormat="1" ht="14">
      <c r="A127" s="128"/>
      <c r="B127" s="166"/>
      <c r="C127" s="134" t="s">
        <v>790</v>
      </c>
      <c r="D127" s="391" t="s">
        <v>406</v>
      </c>
      <c r="E127" s="391">
        <v>500</v>
      </c>
      <c r="F127" s="136"/>
      <c r="G127" s="133">
        <f t="shared" si="6"/>
        <v>0</v>
      </c>
    </row>
    <row r="128" spans="1:7" s="142" customFormat="1">
      <c r="A128" s="225"/>
      <c r="B128" s="226"/>
      <c r="C128" s="227"/>
      <c r="D128" s="226"/>
      <c r="E128" s="226"/>
      <c r="F128" s="229"/>
      <c r="G128" s="229"/>
    </row>
    <row r="129" spans="1:7" s="142" customFormat="1">
      <c r="A129" s="128"/>
      <c r="B129" s="166"/>
      <c r="C129" s="131"/>
      <c r="D129" s="166"/>
      <c r="E129" s="189"/>
      <c r="F129" s="143"/>
      <c r="G129" s="133"/>
    </row>
    <row r="130" spans="1:7" s="142" customFormat="1">
      <c r="A130" s="128"/>
      <c r="B130" s="166"/>
      <c r="C130" s="131"/>
      <c r="D130" s="166"/>
      <c r="E130" s="189"/>
      <c r="F130" s="167"/>
      <c r="G130" s="133"/>
    </row>
    <row r="131" spans="1:7" s="142" customFormat="1" ht="14">
      <c r="A131" s="128">
        <v>1.5</v>
      </c>
      <c r="B131" s="166"/>
      <c r="C131" s="131" t="s">
        <v>894</v>
      </c>
      <c r="D131" s="438" t="s">
        <v>433</v>
      </c>
      <c r="E131" s="438">
        <v>1200</v>
      </c>
      <c r="F131" s="439">
        <v>152</v>
      </c>
      <c r="G131" s="129">
        <f t="shared" ref="G131:G133" si="7">F131*E131</f>
        <v>182400</v>
      </c>
    </row>
    <row r="132" spans="1:7" s="142" customFormat="1">
      <c r="A132" s="128"/>
      <c r="B132" s="166"/>
      <c r="C132" s="131"/>
      <c r="D132" s="438"/>
      <c r="E132" s="440"/>
      <c r="F132" s="441"/>
      <c r="G132" s="129">
        <f t="shared" si="7"/>
        <v>0</v>
      </c>
    </row>
    <row r="133" spans="1:7" s="142" customFormat="1" ht="14">
      <c r="A133" s="128"/>
      <c r="B133" s="166"/>
      <c r="C133" s="131" t="s">
        <v>893</v>
      </c>
      <c r="D133" s="438" t="s">
        <v>433</v>
      </c>
      <c r="E133" s="438">
        <v>950</v>
      </c>
      <c r="F133" s="439">
        <v>195</v>
      </c>
      <c r="G133" s="129">
        <f t="shared" si="7"/>
        <v>185250</v>
      </c>
    </row>
    <row r="134" spans="1:7" s="142" customFormat="1">
      <c r="A134" s="132"/>
      <c r="B134" s="132"/>
      <c r="C134" s="131"/>
      <c r="D134" s="132"/>
      <c r="E134" s="163"/>
      <c r="F134" s="164"/>
      <c r="G134" s="133"/>
    </row>
    <row r="135" spans="1:7" s="142" customFormat="1">
      <c r="A135" s="132"/>
      <c r="B135" s="166"/>
      <c r="C135" s="130"/>
      <c r="D135" s="166"/>
      <c r="E135" s="166"/>
      <c r="F135" s="143"/>
      <c r="G135" s="131"/>
    </row>
    <row r="136" spans="1:7" s="142" customFormat="1">
      <c r="A136" s="128">
        <v>1.6</v>
      </c>
      <c r="B136" s="166"/>
      <c r="C136" s="131"/>
      <c r="D136" s="166"/>
      <c r="E136" s="166"/>
      <c r="F136" s="143"/>
      <c r="G136" s="131"/>
    </row>
    <row r="137" spans="1:7" s="142" customFormat="1">
      <c r="A137" s="128"/>
      <c r="B137" s="166"/>
      <c r="C137" s="131"/>
      <c r="D137" s="166"/>
      <c r="E137" s="166"/>
      <c r="F137" s="143"/>
      <c r="G137" s="131"/>
    </row>
    <row r="138" spans="1:7" s="142" customFormat="1">
      <c r="A138" s="128"/>
      <c r="B138" s="166"/>
      <c r="C138" s="131"/>
      <c r="D138" s="166"/>
      <c r="E138" s="166"/>
      <c r="F138" s="143"/>
      <c r="G138" s="131"/>
    </row>
    <row r="139" spans="1:7" s="142" customFormat="1">
      <c r="A139" s="128"/>
      <c r="B139" s="166"/>
      <c r="C139" s="131"/>
      <c r="D139" s="166"/>
      <c r="E139" s="166"/>
      <c r="F139" s="143"/>
      <c r="G139" s="131"/>
    </row>
    <row r="140" spans="1:7" s="142" customFormat="1">
      <c r="A140" s="225"/>
      <c r="B140" s="226"/>
      <c r="C140" s="227"/>
      <c r="D140" s="226"/>
      <c r="E140" s="226"/>
      <c r="F140" s="143"/>
      <c r="G140" s="227"/>
    </row>
    <row r="141" spans="1:7" s="142" customFormat="1">
      <c r="A141" s="128"/>
      <c r="B141" s="166"/>
      <c r="C141" s="131"/>
      <c r="D141" s="166"/>
      <c r="E141" s="166"/>
      <c r="F141" s="143"/>
      <c r="G141" s="131"/>
    </row>
    <row r="142" spans="1:7" s="142" customFormat="1">
      <c r="A142" s="128"/>
      <c r="B142" s="166"/>
      <c r="C142" s="131"/>
      <c r="D142" s="166"/>
      <c r="E142" s="166"/>
      <c r="F142" s="143"/>
      <c r="G142" s="131"/>
    </row>
    <row r="143" spans="1:7" s="142" customFormat="1">
      <c r="A143" s="128"/>
      <c r="B143" s="166"/>
      <c r="C143" s="131"/>
      <c r="D143" s="166"/>
      <c r="E143" s="166"/>
      <c r="F143" s="143"/>
      <c r="G143" s="131"/>
    </row>
    <row r="144" spans="1:7" s="142" customFormat="1">
      <c r="A144" s="128"/>
      <c r="B144" s="166"/>
      <c r="C144" s="138"/>
      <c r="D144" s="166"/>
      <c r="E144" s="166"/>
      <c r="F144" s="143"/>
      <c r="G144" s="133"/>
    </row>
    <row r="145" spans="1:8" s="142" customFormat="1">
      <c r="A145" s="128"/>
      <c r="B145" s="166"/>
      <c r="C145" s="131"/>
      <c r="D145" s="166"/>
      <c r="E145" s="166"/>
      <c r="F145" s="167"/>
      <c r="G145" s="133"/>
    </row>
    <row r="146" spans="1:8" s="142" customFormat="1">
      <c r="A146" s="128"/>
      <c r="B146" s="166"/>
      <c r="C146" s="131"/>
      <c r="D146" s="166"/>
      <c r="E146" s="166"/>
      <c r="F146" s="143"/>
      <c r="G146" s="133"/>
    </row>
    <row r="147" spans="1:8" s="142" customFormat="1">
      <c r="A147" s="128"/>
      <c r="B147" s="166"/>
      <c r="C147" s="131"/>
      <c r="D147" s="166"/>
      <c r="E147" s="166"/>
      <c r="F147" s="167"/>
      <c r="G147" s="131"/>
    </row>
    <row r="148" spans="1:8" s="142" customFormat="1">
      <c r="A148" s="128"/>
      <c r="B148" s="166"/>
      <c r="C148" s="131"/>
      <c r="D148" s="166"/>
      <c r="E148" s="166"/>
      <c r="F148" s="143"/>
      <c r="G148" s="133"/>
    </row>
    <row r="149" spans="1:8" s="142" customFormat="1">
      <c r="A149" s="128"/>
      <c r="B149" s="166"/>
      <c r="C149" s="131"/>
      <c r="D149" s="166"/>
      <c r="E149" s="166"/>
      <c r="F149" s="167"/>
      <c r="G149" s="131"/>
    </row>
    <row r="150" spans="1:8" s="142" customFormat="1">
      <c r="A150" s="128"/>
      <c r="B150" s="166"/>
      <c r="C150" s="131"/>
      <c r="D150" s="166"/>
      <c r="E150" s="166"/>
      <c r="F150" s="143"/>
      <c r="G150" s="133"/>
    </row>
    <row r="151" spans="1:8" s="142" customFormat="1">
      <c r="A151" s="128"/>
      <c r="B151" s="166"/>
      <c r="C151" s="131"/>
      <c r="D151" s="166"/>
      <c r="E151" s="166"/>
      <c r="F151" s="167"/>
      <c r="G151" s="131"/>
    </row>
    <row r="152" spans="1:8" s="142" customFormat="1">
      <c r="A152" s="128"/>
      <c r="B152" s="166"/>
      <c r="C152" s="138"/>
      <c r="D152" s="166"/>
      <c r="E152" s="166"/>
      <c r="F152" s="143"/>
      <c r="G152" s="133"/>
    </row>
    <row r="153" spans="1:8" s="142" customFormat="1">
      <c r="A153" s="132"/>
      <c r="B153" s="132"/>
      <c r="C153" s="131"/>
      <c r="D153" s="132"/>
      <c r="E153" s="163"/>
      <c r="F153" s="164"/>
      <c r="G153" s="133"/>
    </row>
    <row r="154" spans="1:8" s="142" customFormat="1">
      <c r="A154" s="132"/>
      <c r="B154" s="132"/>
      <c r="C154" s="131"/>
      <c r="D154" s="132"/>
      <c r="E154" s="163"/>
      <c r="F154" s="133"/>
      <c r="G154" s="133"/>
    </row>
    <row r="155" spans="1:8" s="142" customFormat="1">
      <c r="A155" s="151"/>
      <c r="B155" s="151"/>
      <c r="C155" s="152"/>
      <c r="D155" s="151"/>
      <c r="E155" s="151"/>
      <c r="F155" s="154"/>
      <c r="G155" s="154"/>
    </row>
    <row r="156" spans="1:8" s="142" customFormat="1">
      <c r="A156" s="121"/>
      <c r="B156" s="125" t="s">
        <v>418</v>
      </c>
      <c r="C156" s="155" t="s">
        <v>54</v>
      </c>
      <c r="D156" s="145"/>
      <c r="E156" s="145"/>
      <c r="F156" s="146"/>
      <c r="G156" s="157"/>
    </row>
    <row r="157" spans="1:8" s="142" customFormat="1">
      <c r="A157" s="158"/>
      <c r="B157" s="158"/>
      <c r="C157" s="162"/>
      <c r="D157" s="158"/>
      <c r="E157" s="158"/>
      <c r="F157" s="161"/>
      <c r="G157" s="161"/>
    </row>
    <row r="158" spans="1:8" s="142" customFormat="1"/>
    <row r="159" spans="1:8" s="142" customFormat="1"/>
    <row r="160" spans="1:8" s="142" customFormat="1">
      <c r="A160" s="118"/>
      <c r="B160" s="118"/>
      <c r="C160" s="118"/>
      <c r="D160" s="118"/>
      <c r="E160" s="118"/>
      <c r="F160" s="118"/>
      <c r="G160" s="118"/>
      <c r="H160" s="118"/>
    </row>
    <row r="161" spans="1:8" s="142" customFormat="1">
      <c r="A161" s="118"/>
      <c r="B161" s="118"/>
      <c r="C161" s="118"/>
      <c r="D161" s="118"/>
      <c r="E161" s="118"/>
      <c r="F161" s="118"/>
      <c r="G161" s="118"/>
      <c r="H161" s="118"/>
    </row>
    <row r="162" spans="1:8" s="142" customFormat="1">
      <c r="A162" s="118"/>
      <c r="B162" s="118"/>
      <c r="C162" s="118"/>
      <c r="D162" s="118"/>
      <c r="E162" s="118"/>
      <c r="F162" s="118"/>
      <c r="G162" s="118"/>
      <c r="H162" s="118"/>
    </row>
    <row r="163" spans="1:8" s="142" customFormat="1">
      <c r="A163" s="118"/>
      <c r="B163" s="118"/>
      <c r="C163" s="118"/>
      <c r="D163" s="118"/>
      <c r="E163" s="118"/>
      <c r="F163" s="118"/>
      <c r="G163" s="118"/>
      <c r="H163" s="118"/>
    </row>
    <row r="164" spans="1:8">
      <c r="D164" s="118"/>
      <c r="E164" s="118"/>
      <c r="F164" s="118"/>
      <c r="G164" s="118"/>
    </row>
    <row r="165" spans="1:8">
      <c r="D165" s="118"/>
      <c r="E165" s="118"/>
      <c r="F165" s="118"/>
      <c r="G165" s="118"/>
    </row>
    <row r="166" spans="1:8">
      <c r="D166" s="118"/>
      <c r="E166" s="118"/>
      <c r="F166" s="118"/>
      <c r="G166" s="118"/>
    </row>
    <row r="167" spans="1:8">
      <c r="D167" s="118"/>
      <c r="E167" s="118"/>
      <c r="F167" s="118"/>
      <c r="G167" s="118"/>
    </row>
    <row r="168" spans="1:8">
      <c r="D168" s="118"/>
      <c r="E168" s="118"/>
      <c r="F168" s="118"/>
      <c r="G168" s="118"/>
    </row>
    <row r="169" spans="1:8">
      <c r="D169" s="118"/>
      <c r="E169" s="118"/>
      <c r="F169" s="118"/>
      <c r="G169" s="118"/>
    </row>
    <row r="170" spans="1:8">
      <c r="D170" s="118"/>
      <c r="E170" s="118"/>
      <c r="F170" s="118"/>
      <c r="G170" s="118"/>
    </row>
    <row r="171" spans="1:8">
      <c r="D171" s="118"/>
      <c r="E171" s="118"/>
      <c r="F171" s="118"/>
      <c r="G171" s="118"/>
    </row>
    <row r="172" spans="1:8">
      <c r="D172" s="118"/>
      <c r="E172" s="118"/>
      <c r="F172" s="118"/>
      <c r="G172" s="118"/>
    </row>
    <row r="173" spans="1:8">
      <c r="D173" s="118"/>
      <c r="E173" s="118"/>
      <c r="F173" s="118"/>
      <c r="G173" s="118"/>
    </row>
    <row r="174" spans="1:8">
      <c r="D174" s="118"/>
      <c r="E174" s="118"/>
      <c r="F174" s="118"/>
      <c r="G174" s="118"/>
    </row>
    <row r="175" spans="1:8">
      <c r="D175" s="118"/>
      <c r="E175" s="118"/>
      <c r="F175" s="118"/>
      <c r="G175" s="118"/>
    </row>
    <row r="176" spans="1:8">
      <c r="D176" s="118"/>
      <c r="E176" s="118"/>
      <c r="F176" s="118"/>
      <c r="G176" s="118"/>
    </row>
    <row r="177" s="118" customFormat="1"/>
    <row r="178" s="118" customFormat="1"/>
    <row r="179" s="118" customFormat="1"/>
    <row r="180" s="118" customFormat="1"/>
    <row r="181" s="118" customFormat="1"/>
    <row r="182" s="118" customFormat="1"/>
    <row r="183" s="118" customFormat="1"/>
    <row r="184" s="118" customFormat="1"/>
    <row r="185" s="118" customFormat="1"/>
    <row r="186" s="118" customFormat="1"/>
    <row r="187" s="118" customFormat="1"/>
    <row r="188" s="118" customFormat="1"/>
    <row r="189" s="118" customFormat="1"/>
    <row r="190" s="118" customFormat="1"/>
    <row r="191" s="118" customFormat="1"/>
    <row r="192" s="118" customFormat="1"/>
    <row r="193" spans="1:8">
      <c r="D193" s="118"/>
      <c r="E193" s="118"/>
      <c r="F193" s="118"/>
      <c r="G193" s="118"/>
    </row>
    <row r="194" spans="1:8" s="142" customFormat="1">
      <c r="A194" s="118"/>
      <c r="B194" s="118"/>
      <c r="C194" s="118"/>
      <c r="D194" s="118"/>
      <c r="E194" s="118"/>
      <c r="F194" s="118"/>
      <c r="G194" s="118"/>
      <c r="H194" s="118"/>
    </row>
    <row r="195" spans="1:8">
      <c r="D195" s="118"/>
      <c r="E195" s="118"/>
      <c r="F195" s="118"/>
      <c r="G195" s="118"/>
    </row>
    <row r="196" spans="1:8">
      <c r="D196" s="118"/>
      <c r="E196" s="118"/>
      <c r="F196" s="118"/>
      <c r="G196" s="118"/>
    </row>
    <row r="197" spans="1:8">
      <c r="D197" s="118"/>
      <c r="E197" s="118"/>
      <c r="F197" s="118"/>
      <c r="G197" s="118"/>
    </row>
    <row r="198" spans="1:8" ht="29.25" customHeight="1">
      <c r="D198" s="118"/>
      <c r="E198" s="118"/>
      <c r="F198" s="118"/>
      <c r="G198" s="118"/>
    </row>
    <row r="199" spans="1:8" ht="24.5" customHeight="1">
      <c r="D199" s="118"/>
      <c r="E199" s="118"/>
      <c r="F199" s="118"/>
      <c r="G199" s="118"/>
    </row>
    <row r="200" spans="1:8" ht="24.5" customHeight="1">
      <c r="D200" s="118"/>
      <c r="E200" s="118"/>
      <c r="F200" s="118"/>
      <c r="G200" s="118"/>
    </row>
    <row r="201" spans="1:8" ht="24.5" customHeight="1">
      <c r="D201" s="118"/>
      <c r="E201" s="118"/>
      <c r="F201" s="118"/>
      <c r="G201" s="118"/>
    </row>
    <row r="202" spans="1:8" ht="24.5" customHeight="1">
      <c r="D202" s="118"/>
      <c r="E202" s="118"/>
      <c r="F202" s="118"/>
      <c r="G202" s="118"/>
    </row>
    <row r="203" spans="1:8" ht="24.5" customHeight="1">
      <c r="D203" s="118"/>
      <c r="E203" s="118"/>
      <c r="F203" s="118"/>
      <c r="G203" s="118"/>
    </row>
    <row r="204" spans="1:8" ht="24.5" customHeight="1">
      <c r="D204" s="118"/>
      <c r="E204" s="118"/>
      <c r="F204" s="118"/>
      <c r="G204" s="118"/>
    </row>
    <row r="205" spans="1:8" ht="24.5" customHeight="1">
      <c r="D205" s="118"/>
      <c r="E205" s="118"/>
      <c r="F205" s="118"/>
      <c r="G205" s="118"/>
    </row>
    <row r="206" spans="1:8" ht="24.5" customHeight="1">
      <c r="D206" s="118"/>
      <c r="E206" s="118"/>
      <c r="F206" s="118"/>
      <c r="G206" s="118"/>
    </row>
    <row r="207" spans="1:8" ht="24.5" customHeight="1">
      <c r="D207" s="118"/>
      <c r="E207" s="118"/>
      <c r="F207" s="118"/>
      <c r="G207" s="118"/>
    </row>
    <row r="208" spans="1:8" ht="24.5" customHeight="1">
      <c r="D208" s="118"/>
      <c r="E208" s="118"/>
      <c r="F208" s="118"/>
      <c r="G208" s="118"/>
    </row>
    <row r="209" s="118" customFormat="1" ht="24.5" customHeight="1"/>
    <row r="210" s="118" customFormat="1" ht="24.5" customHeight="1"/>
    <row r="211" s="118" customFormat="1" ht="24.5" customHeight="1"/>
    <row r="212" s="118" customFormat="1" ht="24.5" customHeight="1"/>
    <row r="213" s="118" customFormat="1" ht="24.5" customHeight="1"/>
    <row r="214" s="118" customFormat="1"/>
    <row r="215" s="118" customFormat="1"/>
    <row r="216" s="118" customFormat="1"/>
    <row r="217" s="118" customFormat="1"/>
    <row r="218" s="118" customFormat="1"/>
    <row r="219" s="118" customFormat="1"/>
    <row r="220" s="118" customFormat="1"/>
    <row r="221" s="118" customFormat="1"/>
  </sheetData>
  <phoneticPr fontId="39" type="noConversion"/>
  <pageMargins left="0.59055118110236227" right="0.31496062992125984" top="0.78740157480314965" bottom="0.74803149606299213" header="0.59055118110236227" footer="0.39370078740157483"/>
  <pageSetup paperSize="9" scale="70" firstPageNumber="115" orientation="portrait" useFirstPageNumber="1" r:id="rId1"/>
  <headerFooter>
    <oddHeader>&amp;C&amp;"Arial,Bold"BURGERSFORT WWTW UPGRADE - PRELIMINARY AND GENERALS</oddHeader>
    <oddFooter>&amp;L&amp;"Arial,Regular"Bill of Quantities&amp;CPage &amp;P&amp;R&amp;"Arial,Regular"Bugersfort WWTW</oddFooter>
  </headerFooter>
  <rowBreaks count="2" manualBreakCount="2">
    <brk id="77" max="6" man="1"/>
    <brk id="157" max="6"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FF9900"/>
  </sheetPr>
  <dimension ref="A1:N80"/>
  <sheetViews>
    <sheetView view="pageBreakPreview" topLeftCell="A64" zoomScaleNormal="125" zoomScaleSheetLayoutView="100" zoomScalePageLayoutView="125" workbookViewId="0">
      <selection activeCell="C22" sqref="C22"/>
    </sheetView>
  </sheetViews>
  <sheetFormatPr baseColWidth="10" defaultColWidth="9.1640625" defaultRowHeight="13"/>
  <cols>
    <col min="1" max="1" width="8.1640625" style="21" customWidth="1"/>
    <col min="2" max="2" width="10.6640625" style="21" customWidth="1"/>
    <col min="3" max="3" width="54" style="21" customWidth="1"/>
    <col min="4" max="4" width="11.33203125" style="21" customWidth="1"/>
    <col min="5" max="6" width="11.5" style="21" customWidth="1"/>
    <col min="7" max="7" width="15.33203125" style="21" customWidth="1"/>
    <col min="8" max="11" width="9.1640625" style="21"/>
    <col min="12" max="12" width="15.6640625" style="21" bestFit="1" customWidth="1"/>
    <col min="13" max="16384" width="9.1640625" style="21"/>
  </cols>
  <sheetData>
    <row r="1" spans="1:14">
      <c r="A1" s="15"/>
      <c r="B1" s="15"/>
      <c r="C1" s="15"/>
      <c r="D1" s="15"/>
      <c r="E1" s="15"/>
      <c r="F1" s="20"/>
      <c r="G1" s="20"/>
    </row>
    <row r="2" spans="1:14" ht="26.25" customHeight="1">
      <c r="A2" s="1" t="s">
        <v>0</v>
      </c>
      <c r="B2" s="1" t="s">
        <v>9</v>
      </c>
      <c r="C2" s="2" t="s">
        <v>1</v>
      </c>
      <c r="D2" s="2" t="s">
        <v>10</v>
      </c>
      <c r="E2" s="2" t="s">
        <v>11</v>
      </c>
      <c r="F2" s="2" t="s">
        <v>12</v>
      </c>
      <c r="G2" s="2" t="s">
        <v>13</v>
      </c>
    </row>
    <row r="3" spans="1:14" ht="30" customHeight="1">
      <c r="A3" s="3"/>
      <c r="B3" s="3"/>
      <c r="C3" s="4"/>
      <c r="D3" s="5"/>
      <c r="E3" s="5"/>
      <c r="F3" s="5"/>
      <c r="G3" s="5"/>
    </row>
    <row r="4" spans="1:14" ht="30" customHeight="1">
      <c r="A4" s="3">
        <v>8</v>
      </c>
      <c r="B4" s="3"/>
      <c r="C4" s="4" t="s">
        <v>90</v>
      </c>
      <c r="D4" s="3"/>
      <c r="E4" s="3"/>
      <c r="F4" s="3"/>
      <c r="G4" s="3"/>
    </row>
    <row r="5" spans="1:14" ht="30" customHeight="1">
      <c r="A5" s="6"/>
      <c r="B5" s="6"/>
      <c r="C5" s="4" t="s">
        <v>74</v>
      </c>
      <c r="D5" s="7"/>
      <c r="E5" s="7"/>
      <c r="F5" s="8"/>
      <c r="G5" s="8"/>
    </row>
    <row r="6" spans="1:14" ht="54.75" customHeight="1">
      <c r="A6" s="9"/>
      <c r="B6" s="10"/>
      <c r="C6" s="11" t="s">
        <v>14</v>
      </c>
      <c r="D6" s="7"/>
      <c r="E6" s="7"/>
      <c r="F6" s="12"/>
      <c r="G6" s="8"/>
    </row>
    <row r="7" spans="1:14" ht="129" customHeight="1">
      <c r="A7" s="29">
        <v>8.1</v>
      </c>
      <c r="B7" s="13"/>
      <c r="C7" s="11" t="s">
        <v>255</v>
      </c>
      <c r="D7" s="7" t="s">
        <v>2</v>
      </c>
      <c r="E7" s="14">
        <v>2</v>
      </c>
      <c r="F7" s="12">
        <f>194650*1.3+65000+4000</f>
        <v>322045</v>
      </c>
      <c r="G7" s="8">
        <f t="shared" ref="G7:G8" si="0">E7*F7</f>
        <v>644090</v>
      </c>
    </row>
    <row r="8" spans="1:14" ht="22.25" customHeight="1">
      <c r="A8" s="29">
        <v>8.1999999999999993</v>
      </c>
      <c r="B8" s="13"/>
      <c r="C8" s="11" t="s">
        <v>253</v>
      </c>
      <c r="D8" s="7" t="s">
        <v>2</v>
      </c>
      <c r="E8" s="14">
        <v>2</v>
      </c>
      <c r="F8" s="26">
        <f>94801.66*1.3+55000</f>
        <v>178242.158</v>
      </c>
      <c r="G8" s="8">
        <f t="shared" si="0"/>
        <v>356484.31599999999</v>
      </c>
    </row>
    <row r="9" spans="1:14" ht="30" customHeight="1">
      <c r="A9" s="29">
        <v>8.3000000000000007</v>
      </c>
      <c r="B9" s="13"/>
      <c r="C9" s="48" t="s">
        <v>100</v>
      </c>
      <c r="D9" s="49" t="s">
        <v>2</v>
      </c>
      <c r="E9" s="50">
        <f>E7</f>
        <v>2</v>
      </c>
      <c r="F9" s="51">
        <v>94480</v>
      </c>
      <c r="G9" s="52">
        <f t="shared" ref="G9:G11" si="1">F9*E9</f>
        <v>188960</v>
      </c>
    </row>
    <row r="10" spans="1:14" ht="48" customHeight="1">
      <c r="A10" s="29">
        <v>8.4</v>
      </c>
      <c r="B10" s="13"/>
      <c r="C10" s="54" t="s">
        <v>101</v>
      </c>
      <c r="D10" s="55" t="s">
        <v>3</v>
      </c>
      <c r="E10" s="50">
        <v>2</v>
      </c>
      <c r="F10" s="56">
        <v>3150</v>
      </c>
      <c r="G10" s="52">
        <f t="shared" si="1"/>
        <v>6300</v>
      </c>
    </row>
    <row r="11" spans="1:14" ht="30" customHeight="1">
      <c r="A11" s="29">
        <v>8.5</v>
      </c>
      <c r="B11" s="13"/>
      <c r="C11" s="54" t="s">
        <v>254</v>
      </c>
      <c r="D11" s="55" t="s">
        <v>3</v>
      </c>
      <c r="E11" s="50">
        <v>2</v>
      </c>
      <c r="F11" s="57">
        <v>65500</v>
      </c>
      <c r="G11" s="52">
        <f t="shared" si="1"/>
        <v>131000</v>
      </c>
    </row>
    <row r="12" spans="1:14" ht="28.25" customHeight="1">
      <c r="A12" s="29">
        <v>8.6</v>
      </c>
      <c r="B12" s="13"/>
      <c r="C12" s="11" t="s">
        <v>64</v>
      </c>
      <c r="D12" s="9" t="s">
        <v>2</v>
      </c>
      <c r="E12" s="14">
        <v>2</v>
      </c>
      <c r="F12" s="12">
        <v>4000</v>
      </c>
      <c r="G12" s="8">
        <f t="shared" ref="G12:G25" si="2">E12*F12</f>
        <v>8000</v>
      </c>
    </row>
    <row r="13" spans="1:14" ht="28.25" customHeight="1">
      <c r="A13" s="29">
        <v>8.6999999999999993</v>
      </c>
      <c r="B13" s="13"/>
      <c r="C13" s="11"/>
      <c r="D13" s="9"/>
      <c r="E13" s="14"/>
      <c r="F13" s="12"/>
      <c r="G13" s="8"/>
    </row>
    <row r="14" spans="1:14" ht="28.25" customHeight="1">
      <c r="A14" s="29">
        <v>8.8000000000000007</v>
      </c>
      <c r="B14" s="13"/>
      <c r="C14" s="11" t="s">
        <v>77</v>
      </c>
      <c r="D14" s="9" t="s">
        <v>31</v>
      </c>
      <c r="E14" s="25">
        <v>0</v>
      </c>
      <c r="F14" s="12">
        <f>7800*PI()*0.3*0.00635*(25*3)</f>
        <v>3501.0693929768054</v>
      </c>
      <c r="G14" s="8">
        <f t="shared" si="2"/>
        <v>0</v>
      </c>
    </row>
    <row r="15" spans="1:14" ht="28.25" customHeight="1">
      <c r="A15" s="29">
        <v>8.9</v>
      </c>
      <c r="B15" s="13"/>
      <c r="C15" s="11" t="s">
        <v>78</v>
      </c>
      <c r="D15" s="9" t="s">
        <v>60</v>
      </c>
      <c r="E15" s="14">
        <v>0</v>
      </c>
      <c r="F15" s="12">
        <f>7800*PI()*0.25*0.01031*(25*3)</f>
        <v>4737.0112128071996</v>
      </c>
      <c r="G15" s="8">
        <f t="shared" si="2"/>
        <v>0</v>
      </c>
      <c r="L15" s="21">
        <f>174*3.6</f>
        <v>626.4</v>
      </c>
      <c r="N15" s="21">
        <v>192</v>
      </c>
    </row>
    <row r="16" spans="1:14" ht="28.25" customHeight="1">
      <c r="A16" s="28">
        <v>8.1</v>
      </c>
      <c r="B16" s="13"/>
      <c r="C16" s="11" t="s">
        <v>91</v>
      </c>
      <c r="D16" s="9" t="s">
        <v>2</v>
      </c>
      <c r="E16" s="14">
        <v>2</v>
      </c>
      <c r="F16" s="12">
        <f>25312*1.3*2</f>
        <v>65811.199999999997</v>
      </c>
      <c r="G16" s="8">
        <f t="shared" si="2"/>
        <v>131622.39999999999</v>
      </c>
      <c r="L16" s="21">
        <f>L15/2</f>
        <v>313.2</v>
      </c>
      <c r="N16" s="21">
        <f>N15/41</f>
        <v>4.6829268292682924</v>
      </c>
    </row>
    <row r="17" spans="1:14" ht="28.25" customHeight="1">
      <c r="A17" s="28">
        <v>8.11</v>
      </c>
      <c r="B17" s="13"/>
      <c r="C17" s="11" t="s">
        <v>92</v>
      </c>
      <c r="D17" s="9">
        <v>100000</v>
      </c>
      <c r="E17" s="9"/>
      <c r="F17" s="12">
        <f>53905*1.3*2</f>
        <v>140153</v>
      </c>
      <c r="G17" s="8">
        <f t="shared" si="2"/>
        <v>0</v>
      </c>
      <c r="L17" s="24">
        <f>PI()</f>
        <v>3.1415926535897931</v>
      </c>
    </row>
    <row r="18" spans="1:14" ht="28.25" customHeight="1">
      <c r="A18" s="28">
        <v>8.1199999999999992</v>
      </c>
      <c r="B18" s="13"/>
      <c r="C18" s="11" t="s">
        <v>93</v>
      </c>
      <c r="D18" s="9" t="s">
        <v>2</v>
      </c>
      <c r="E18" s="14">
        <v>2</v>
      </c>
      <c r="F18" s="23">
        <v>30000</v>
      </c>
      <c r="G18" s="8">
        <f t="shared" si="2"/>
        <v>60000</v>
      </c>
      <c r="N18" s="21">
        <f>N15/5</f>
        <v>38.4</v>
      </c>
    </row>
    <row r="19" spans="1:14" ht="62.5" customHeight="1">
      <c r="A19" s="28">
        <v>8.1300000000000008</v>
      </c>
      <c r="B19" s="13"/>
      <c r="C19" s="11" t="s">
        <v>83</v>
      </c>
      <c r="D19" s="9" t="s">
        <v>2</v>
      </c>
      <c r="E19" s="14">
        <v>1</v>
      </c>
      <c r="F19" s="12">
        <v>100000</v>
      </c>
      <c r="G19" s="8">
        <f t="shared" si="2"/>
        <v>100000</v>
      </c>
    </row>
    <row r="20" spans="1:14" ht="45" customHeight="1">
      <c r="A20" s="28">
        <v>8.14</v>
      </c>
      <c r="B20" s="15"/>
      <c r="C20" s="16" t="s">
        <v>65</v>
      </c>
      <c r="D20" s="9" t="s">
        <v>2</v>
      </c>
      <c r="E20" s="14">
        <v>2</v>
      </c>
      <c r="F20" s="12">
        <f>2250*1.3</f>
        <v>2925</v>
      </c>
      <c r="G20" s="8">
        <f t="shared" si="2"/>
        <v>5850</v>
      </c>
    </row>
    <row r="21" spans="1:14" ht="33" customHeight="1">
      <c r="A21" s="28">
        <v>8.15</v>
      </c>
      <c r="B21" s="15"/>
      <c r="C21" s="16" t="s">
        <v>32</v>
      </c>
      <c r="D21" s="7" t="s">
        <v>3</v>
      </c>
      <c r="E21" s="14">
        <v>2</v>
      </c>
      <c r="F21" s="12">
        <v>2000</v>
      </c>
      <c r="G21" s="8">
        <f t="shared" si="2"/>
        <v>4000</v>
      </c>
    </row>
    <row r="22" spans="1:14" ht="33.75" customHeight="1">
      <c r="A22" s="28">
        <v>8.16</v>
      </c>
      <c r="B22" s="15"/>
      <c r="C22" s="16" t="s">
        <v>23</v>
      </c>
      <c r="D22" s="7" t="s">
        <v>3</v>
      </c>
      <c r="E22" s="14">
        <v>2</v>
      </c>
      <c r="F22" s="12">
        <v>20000</v>
      </c>
      <c r="G22" s="8">
        <f t="shared" si="2"/>
        <v>40000</v>
      </c>
    </row>
    <row r="23" spans="1:14" ht="28.5" customHeight="1">
      <c r="A23" s="28">
        <v>8.17</v>
      </c>
      <c r="B23" s="15"/>
      <c r="C23" s="11" t="s">
        <v>24</v>
      </c>
      <c r="D23" s="9" t="s">
        <v>3</v>
      </c>
      <c r="E23" s="14">
        <v>2</v>
      </c>
      <c r="F23" s="12">
        <v>20000</v>
      </c>
      <c r="G23" s="8">
        <f t="shared" si="2"/>
        <v>40000</v>
      </c>
    </row>
    <row r="24" spans="1:14" ht="28.5" customHeight="1">
      <c r="A24" s="28">
        <v>8.18</v>
      </c>
      <c r="B24" s="15"/>
      <c r="C24" s="11" t="s">
        <v>25</v>
      </c>
      <c r="D24" s="9" t="s">
        <v>3</v>
      </c>
      <c r="E24" s="7">
        <v>1</v>
      </c>
      <c r="F24" s="12">
        <v>25000</v>
      </c>
      <c r="G24" s="8">
        <f t="shared" si="2"/>
        <v>25000</v>
      </c>
    </row>
    <row r="25" spans="1:14" ht="28.5" customHeight="1">
      <c r="A25" s="28">
        <v>8.19</v>
      </c>
      <c r="B25" s="15"/>
      <c r="C25" s="16" t="s">
        <v>62</v>
      </c>
      <c r="D25" s="7" t="s">
        <v>3</v>
      </c>
      <c r="E25" s="14">
        <v>1</v>
      </c>
      <c r="F25" s="12">
        <v>40000</v>
      </c>
      <c r="G25" s="8">
        <f t="shared" si="2"/>
        <v>40000</v>
      </c>
    </row>
    <row r="26" spans="1:14" ht="28.5" customHeight="1">
      <c r="A26" s="532" t="s">
        <v>26</v>
      </c>
      <c r="B26" s="533"/>
      <c r="C26" s="533"/>
      <c r="D26" s="533"/>
      <c r="E26" s="533"/>
      <c r="F26" s="534"/>
      <c r="G26" s="17">
        <f>SUM(G5:G25)</f>
        <v>1781306.716</v>
      </c>
    </row>
    <row r="27" spans="1:14" ht="28.5" customHeight="1">
      <c r="A27" s="557" t="s">
        <v>33</v>
      </c>
      <c r="B27" s="558"/>
      <c r="C27" s="558"/>
      <c r="D27" s="558"/>
      <c r="E27" s="558"/>
      <c r="F27" s="559"/>
      <c r="G27" s="17">
        <f>G26</f>
        <v>1781306.716</v>
      </c>
    </row>
    <row r="28" spans="1:14" ht="30" customHeight="1">
      <c r="A28" s="6">
        <v>8.1999999999999993</v>
      </c>
      <c r="B28" s="10"/>
      <c r="C28" s="4" t="s">
        <v>34</v>
      </c>
      <c r="D28" s="9"/>
      <c r="E28" s="14"/>
      <c r="F28" s="12"/>
      <c r="G28" s="8"/>
    </row>
    <row r="29" spans="1:14" ht="30" customHeight="1">
      <c r="A29" s="9" t="s">
        <v>272</v>
      </c>
      <c r="B29" s="10"/>
      <c r="C29" s="11" t="s">
        <v>35</v>
      </c>
      <c r="D29" s="9" t="s">
        <v>2</v>
      </c>
      <c r="E29" s="14">
        <v>2</v>
      </c>
      <c r="F29" s="12">
        <v>2300</v>
      </c>
      <c r="G29" s="8">
        <f>E29*F29</f>
        <v>4600</v>
      </c>
    </row>
    <row r="30" spans="1:14" ht="30" customHeight="1">
      <c r="A30" s="9" t="s">
        <v>273</v>
      </c>
      <c r="B30" s="10"/>
      <c r="C30" s="11" t="s">
        <v>36</v>
      </c>
      <c r="D30" s="9" t="s">
        <v>2</v>
      </c>
      <c r="E30" s="14">
        <v>2</v>
      </c>
      <c r="F30" s="12">
        <v>2400</v>
      </c>
      <c r="G30" s="8">
        <f>E30*F30</f>
        <v>4800</v>
      </c>
    </row>
    <row r="31" spans="1:14" ht="30" customHeight="1">
      <c r="A31" s="9"/>
      <c r="B31" s="10"/>
      <c r="C31" s="11" t="s">
        <v>27</v>
      </c>
      <c r="D31" s="9" t="s">
        <v>2</v>
      </c>
      <c r="E31" s="14">
        <v>2</v>
      </c>
      <c r="F31" s="12">
        <v>1000</v>
      </c>
      <c r="G31" s="8">
        <f>E31*F31</f>
        <v>2000</v>
      </c>
    </row>
    <row r="32" spans="1:14" ht="30" customHeight="1">
      <c r="A32" s="9"/>
      <c r="B32" s="10"/>
      <c r="C32" s="11"/>
      <c r="D32" s="9"/>
      <c r="E32" s="14"/>
      <c r="F32" s="12"/>
      <c r="G32" s="8"/>
    </row>
    <row r="33" spans="1:7" ht="30" customHeight="1">
      <c r="A33" s="6">
        <v>2.2999999999999998</v>
      </c>
      <c r="B33" s="15"/>
      <c r="C33" s="18" t="s">
        <v>37</v>
      </c>
      <c r="D33" s="7"/>
      <c r="E33" s="14"/>
      <c r="F33" s="12"/>
      <c r="G33" s="8"/>
    </row>
    <row r="34" spans="1:7" ht="30" customHeight="1">
      <c r="A34" s="9" t="s">
        <v>8</v>
      </c>
      <c r="B34" s="15"/>
      <c r="C34" s="16" t="s">
        <v>28</v>
      </c>
      <c r="D34" s="7" t="s">
        <v>3</v>
      </c>
      <c r="E34" s="14">
        <v>2</v>
      </c>
      <c r="F34" s="12">
        <v>3500</v>
      </c>
      <c r="G34" s="8">
        <f>E34*F34</f>
        <v>7000</v>
      </c>
    </row>
    <row r="35" spans="1:7" ht="32.5" customHeight="1">
      <c r="A35" s="6">
        <v>2.4</v>
      </c>
      <c r="B35" s="10"/>
      <c r="C35" s="18" t="s">
        <v>39</v>
      </c>
      <c r="D35" s="7"/>
      <c r="E35" s="14"/>
      <c r="F35" s="12"/>
      <c r="G35" s="8"/>
    </row>
    <row r="36" spans="1:7" ht="41.25" customHeight="1">
      <c r="A36" s="9" t="s">
        <v>38</v>
      </c>
      <c r="B36" s="15"/>
      <c r="C36" s="16" t="s">
        <v>203</v>
      </c>
      <c r="D36" s="9" t="s">
        <v>3</v>
      </c>
      <c r="E36" s="14">
        <v>2</v>
      </c>
      <c r="F36" s="12">
        <v>7000</v>
      </c>
      <c r="G36" s="8">
        <f>E36*F36</f>
        <v>14000</v>
      </c>
    </row>
    <row r="37" spans="1:7" ht="30" customHeight="1">
      <c r="A37" s="9" t="s">
        <v>55</v>
      </c>
      <c r="B37" s="15"/>
      <c r="C37" s="16" t="s">
        <v>41</v>
      </c>
      <c r="D37" s="9" t="s">
        <v>3</v>
      </c>
      <c r="E37" s="14">
        <v>2</v>
      </c>
      <c r="F37" s="12">
        <v>12000</v>
      </c>
      <c r="G37" s="8">
        <f>E37*F37</f>
        <v>24000</v>
      </c>
    </row>
    <row r="38" spans="1:7" ht="30" customHeight="1">
      <c r="A38" s="6">
        <v>2.4</v>
      </c>
      <c r="B38" s="10"/>
      <c r="C38" s="18" t="s">
        <v>42</v>
      </c>
      <c r="D38" s="7"/>
      <c r="E38" s="14"/>
      <c r="F38" s="12"/>
      <c r="G38" s="8"/>
    </row>
    <row r="39" spans="1:7" ht="42" customHeight="1">
      <c r="A39" s="9" t="s">
        <v>38</v>
      </c>
      <c r="B39" s="15"/>
      <c r="C39" s="16" t="s">
        <v>245</v>
      </c>
      <c r="D39" s="9" t="s">
        <v>3</v>
      </c>
      <c r="E39" s="14">
        <v>1</v>
      </c>
      <c r="F39" s="12">
        <v>3400</v>
      </c>
      <c r="G39" s="8">
        <f>E39*F39</f>
        <v>3400</v>
      </c>
    </row>
    <row r="40" spans="1:7" ht="30" customHeight="1">
      <c r="A40" s="9" t="s">
        <v>55</v>
      </c>
      <c r="B40" s="15"/>
      <c r="C40" s="16" t="s">
        <v>41</v>
      </c>
      <c r="D40" s="9" t="s">
        <v>3</v>
      </c>
      <c r="E40" s="14">
        <v>1</v>
      </c>
      <c r="F40" s="12">
        <v>20000</v>
      </c>
      <c r="G40" s="8">
        <f>E40*F40</f>
        <v>20000</v>
      </c>
    </row>
    <row r="41" spans="1:7" ht="30" customHeight="1">
      <c r="A41" s="9"/>
      <c r="B41" s="15"/>
      <c r="C41" s="16"/>
      <c r="D41" s="9"/>
      <c r="E41" s="14"/>
      <c r="F41" s="12"/>
      <c r="G41" s="8"/>
    </row>
    <row r="42" spans="1:7" ht="30" customHeight="1">
      <c r="A42" s="9"/>
      <c r="B42" s="15"/>
      <c r="C42" s="16" t="s">
        <v>68</v>
      </c>
      <c r="D42" s="9" t="s">
        <v>67</v>
      </c>
      <c r="E42" s="14">
        <v>2</v>
      </c>
      <c r="F42" s="12">
        <v>18000</v>
      </c>
      <c r="G42" s="8">
        <f>E42*F42</f>
        <v>36000</v>
      </c>
    </row>
    <row r="43" spans="1:7" ht="30" customHeight="1">
      <c r="A43" s="9"/>
      <c r="B43" s="15"/>
      <c r="C43" s="16"/>
      <c r="D43" s="9"/>
      <c r="E43" s="14"/>
      <c r="F43" s="12"/>
      <c r="G43" s="8"/>
    </row>
    <row r="44" spans="1:7" ht="30" customHeight="1">
      <c r="A44" s="6">
        <v>2.6</v>
      </c>
      <c r="B44" s="10"/>
      <c r="C44" s="18" t="s">
        <v>45</v>
      </c>
      <c r="D44" s="9"/>
      <c r="E44" s="14"/>
      <c r="F44" s="12"/>
      <c r="G44" s="8"/>
    </row>
    <row r="45" spans="1:7" ht="30" customHeight="1">
      <c r="A45" s="9" t="s">
        <v>43</v>
      </c>
      <c r="B45" s="10"/>
      <c r="C45" s="11" t="s">
        <v>89</v>
      </c>
      <c r="D45" s="9" t="s">
        <v>2</v>
      </c>
      <c r="E45" s="14">
        <v>2</v>
      </c>
      <c r="F45" s="12">
        <v>15000</v>
      </c>
      <c r="G45" s="8">
        <f>E45*F45</f>
        <v>30000</v>
      </c>
    </row>
    <row r="46" spans="1:7" ht="30" customHeight="1">
      <c r="A46" s="9" t="s">
        <v>29</v>
      </c>
      <c r="B46" s="10"/>
      <c r="C46" s="11" t="s">
        <v>61</v>
      </c>
      <c r="D46" s="9" t="s">
        <v>3</v>
      </c>
      <c r="E46" s="14">
        <v>2</v>
      </c>
      <c r="F46" s="12">
        <f>5500*1.3</f>
        <v>7150</v>
      </c>
      <c r="G46" s="8">
        <f>E46*F46</f>
        <v>14300</v>
      </c>
    </row>
    <row r="47" spans="1:7" ht="30" customHeight="1">
      <c r="A47" s="9" t="s">
        <v>70</v>
      </c>
      <c r="B47" s="10"/>
      <c r="C47" s="11" t="s">
        <v>69</v>
      </c>
      <c r="D47" s="9" t="s">
        <v>3</v>
      </c>
      <c r="E47" s="14">
        <v>1</v>
      </c>
      <c r="F47" s="12">
        <v>15000</v>
      </c>
      <c r="G47" s="8">
        <f>E47*F47</f>
        <v>15000</v>
      </c>
    </row>
    <row r="48" spans="1:7" ht="30" customHeight="1">
      <c r="A48" s="532" t="s">
        <v>26</v>
      </c>
      <c r="B48" s="533"/>
      <c r="C48" s="533"/>
      <c r="D48" s="533"/>
      <c r="E48" s="533"/>
      <c r="F48" s="534"/>
      <c r="G48" s="17">
        <f>SUM(G27:G47)</f>
        <v>1956406.716</v>
      </c>
    </row>
    <row r="49" spans="1:7" ht="30" customHeight="1">
      <c r="A49" s="557" t="s">
        <v>33</v>
      </c>
      <c r="B49" s="558"/>
      <c r="C49" s="558"/>
      <c r="D49" s="558"/>
      <c r="E49" s="558"/>
      <c r="F49" s="559"/>
      <c r="G49" s="17">
        <f>G48</f>
        <v>1956406.716</v>
      </c>
    </row>
    <row r="50" spans="1:7" ht="30" customHeight="1">
      <c r="A50" s="6">
        <v>2.7</v>
      </c>
      <c r="B50" s="10"/>
      <c r="C50" s="4" t="s">
        <v>47</v>
      </c>
      <c r="D50" s="9"/>
      <c r="E50" s="14"/>
      <c r="F50" s="12"/>
      <c r="G50" s="8"/>
    </row>
    <row r="51" spans="1:7" ht="30" customHeight="1">
      <c r="A51" s="9" t="s">
        <v>46</v>
      </c>
      <c r="B51" s="10"/>
      <c r="C51" s="11" t="s">
        <v>49</v>
      </c>
      <c r="D51" s="9" t="s">
        <v>3</v>
      </c>
      <c r="E51" s="14">
        <v>1</v>
      </c>
      <c r="F51" s="12">
        <v>9000</v>
      </c>
      <c r="G51" s="8">
        <f>E51*F51</f>
        <v>9000</v>
      </c>
    </row>
    <row r="52" spans="1:7" ht="30" customHeight="1">
      <c r="A52" s="6">
        <v>2.8</v>
      </c>
      <c r="B52" s="10"/>
      <c r="C52" s="4" t="s">
        <v>50</v>
      </c>
      <c r="D52" s="9"/>
      <c r="E52" s="14"/>
      <c r="F52" s="12"/>
      <c r="G52" s="8"/>
    </row>
    <row r="53" spans="1:7" ht="30" customHeight="1">
      <c r="A53" s="9" t="s">
        <v>48</v>
      </c>
      <c r="B53" s="10"/>
      <c r="C53" s="11" t="s">
        <v>51</v>
      </c>
      <c r="D53" s="9" t="s">
        <v>3</v>
      </c>
      <c r="E53" s="14">
        <v>1</v>
      </c>
      <c r="F53" s="12">
        <v>5000</v>
      </c>
      <c r="G53" s="8">
        <f>E53*F53</f>
        <v>5000</v>
      </c>
    </row>
    <row r="54" spans="1:7" ht="30" customHeight="1">
      <c r="A54" s="9" t="s">
        <v>56</v>
      </c>
      <c r="B54" s="10"/>
      <c r="C54" s="11" t="s">
        <v>52</v>
      </c>
      <c r="D54" s="9" t="s">
        <v>53</v>
      </c>
      <c r="E54" s="14"/>
      <c r="F54" s="12"/>
      <c r="G54" s="8"/>
    </row>
    <row r="55" spans="1:7" ht="30" customHeight="1">
      <c r="A55" s="9" t="s">
        <v>57</v>
      </c>
      <c r="B55" s="10"/>
      <c r="C55" s="11" t="s">
        <v>24</v>
      </c>
      <c r="D55" s="9" t="s">
        <v>3</v>
      </c>
      <c r="E55" s="14">
        <v>2</v>
      </c>
      <c r="F55" s="22">
        <v>3000</v>
      </c>
      <c r="G55" s="8">
        <f>E55*F55</f>
        <v>6000</v>
      </c>
    </row>
    <row r="56" spans="1:7" ht="30" customHeight="1">
      <c r="A56" s="9" t="s">
        <v>58</v>
      </c>
      <c r="B56" s="10"/>
      <c r="C56" s="11" t="s">
        <v>25</v>
      </c>
      <c r="D56" s="9" t="s">
        <v>3</v>
      </c>
      <c r="E56" s="14">
        <v>1</v>
      </c>
      <c r="F56" s="22">
        <v>15000</v>
      </c>
      <c r="G56" s="8">
        <f>E56*F56</f>
        <v>15000</v>
      </c>
    </row>
    <row r="57" spans="1:7" ht="30" customHeight="1">
      <c r="A57" s="9" t="s">
        <v>59</v>
      </c>
      <c r="B57" s="10"/>
      <c r="C57" s="11" t="s">
        <v>30</v>
      </c>
      <c r="D57" s="9" t="s">
        <v>3</v>
      </c>
      <c r="E57" s="14">
        <v>2</v>
      </c>
      <c r="F57" s="22">
        <v>9000</v>
      </c>
      <c r="G57" s="8">
        <f>E57*F57</f>
        <v>18000</v>
      </c>
    </row>
    <row r="58" spans="1:7" ht="30" customHeight="1">
      <c r="A58" s="9"/>
      <c r="B58" s="10"/>
      <c r="C58" s="11"/>
      <c r="D58" s="9"/>
      <c r="E58" s="14"/>
      <c r="F58" s="22"/>
      <c r="G58" s="8"/>
    </row>
    <row r="59" spans="1:7" ht="30" customHeight="1">
      <c r="A59" s="9"/>
      <c r="B59" s="10"/>
      <c r="C59" s="11"/>
      <c r="D59" s="9"/>
      <c r="E59" s="14"/>
      <c r="F59" s="22"/>
      <c r="G59" s="8"/>
    </row>
    <row r="60" spans="1:7" ht="30" customHeight="1">
      <c r="A60" s="9"/>
      <c r="B60" s="10"/>
      <c r="C60" s="11"/>
      <c r="D60" s="9"/>
      <c r="E60" s="14"/>
      <c r="F60" s="22"/>
      <c r="G60" s="8"/>
    </row>
    <row r="61" spans="1:7" ht="30" customHeight="1">
      <c r="A61" s="9"/>
      <c r="B61" s="10"/>
      <c r="C61" s="11"/>
      <c r="D61" s="9"/>
      <c r="E61" s="14"/>
      <c r="F61" s="22"/>
      <c r="G61" s="8"/>
    </row>
    <row r="62" spans="1:7" ht="30" customHeight="1">
      <c r="A62" s="9"/>
      <c r="B62" s="10"/>
      <c r="C62" s="11"/>
      <c r="D62" s="9"/>
      <c r="E62" s="14"/>
      <c r="F62" s="22"/>
      <c r="G62" s="8"/>
    </row>
    <row r="63" spans="1:7" ht="30" customHeight="1">
      <c r="A63" s="9"/>
      <c r="B63" s="10"/>
      <c r="C63" s="11"/>
      <c r="D63" s="9"/>
      <c r="E63" s="14"/>
      <c r="F63" s="22"/>
      <c r="G63" s="8"/>
    </row>
    <row r="64" spans="1:7" ht="30" customHeight="1">
      <c r="A64" s="9"/>
      <c r="B64" s="10"/>
      <c r="C64" s="11"/>
      <c r="D64" s="9"/>
      <c r="E64" s="14"/>
      <c r="F64" s="22"/>
      <c r="G64" s="8"/>
    </row>
    <row r="65" spans="1:7" ht="30" customHeight="1">
      <c r="A65" s="9"/>
      <c r="B65" s="10"/>
      <c r="C65" s="11"/>
      <c r="D65" s="9"/>
      <c r="E65" s="14"/>
      <c r="F65" s="22"/>
      <c r="G65" s="8"/>
    </row>
    <row r="66" spans="1:7" ht="30" customHeight="1">
      <c r="A66" s="9"/>
      <c r="B66" s="10"/>
      <c r="C66" s="11"/>
      <c r="D66" s="9"/>
      <c r="E66" s="14"/>
      <c r="F66" s="22"/>
      <c r="G66" s="8"/>
    </row>
    <row r="67" spans="1:7" ht="30" customHeight="1">
      <c r="A67" s="9"/>
      <c r="B67" s="10"/>
      <c r="C67" s="11"/>
      <c r="D67" s="9"/>
      <c r="E67" s="14"/>
      <c r="F67" s="22"/>
      <c r="G67" s="8"/>
    </row>
    <row r="68" spans="1:7" ht="30" customHeight="1">
      <c r="A68" s="9"/>
      <c r="B68" s="10"/>
      <c r="C68" s="11"/>
      <c r="D68" s="9"/>
      <c r="E68" s="14"/>
      <c r="F68" s="22"/>
      <c r="G68" s="8"/>
    </row>
    <row r="69" spans="1:7" ht="30" customHeight="1">
      <c r="A69" s="9"/>
      <c r="B69" s="10"/>
      <c r="C69" s="11"/>
      <c r="D69" s="9"/>
      <c r="E69" s="14"/>
      <c r="F69" s="22"/>
      <c r="G69" s="8"/>
    </row>
    <row r="70" spans="1:7" ht="30" customHeight="1">
      <c r="A70" s="9"/>
      <c r="B70" s="10"/>
      <c r="C70" s="11"/>
      <c r="D70" s="9"/>
      <c r="E70" s="14"/>
      <c r="F70" s="22"/>
      <c r="G70" s="8"/>
    </row>
    <row r="71" spans="1:7" ht="30" customHeight="1">
      <c r="A71" s="9"/>
      <c r="B71" s="10"/>
      <c r="C71" s="11"/>
      <c r="D71" s="9"/>
      <c r="E71" s="14"/>
      <c r="F71" s="22"/>
      <c r="G71" s="8"/>
    </row>
    <row r="72" spans="1:7" ht="30" customHeight="1">
      <c r="A72" s="9"/>
      <c r="B72" s="10"/>
      <c r="C72" s="11"/>
      <c r="D72" s="9"/>
      <c r="E72" s="14"/>
      <c r="F72" s="22"/>
      <c r="G72" s="8"/>
    </row>
    <row r="73" spans="1:7" ht="30" customHeight="1">
      <c r="A73" s="9"/>
      <c r="B73" s="10"/>
      <c r="C73" s="11"/>
      <c r="D73" s="9"/>
      <c r="E73" s="14"/>
      <c r="F73" s="22"/>
      <c r="G73" s="8"/>
    </row>
    <row r="74" spans="1:7" ht="30" customHeight="1">
      <c r="A74" s="9"/>
      <c r="B74" s="10"/>
      <c r="C74" s="11"/>
      <c r="D74" s="9"/>
      <c r="E74" s="14"/>
      <c r="F74" s="22"/>
      <c r="G74" s="8"/>
    </row>
    <row r="75" spans="1:7" ht="30" customHeight="1">
      <c r="A75" s="9"/>
      <c r="B75" s="10"/>
      <c r="C75" s="11"/>
      <c r="D75" s="9"/>
      <c r="E75" s="14"/>
      <c r="F75" s="22"/>
      <c r="G75" s="8"/>
    </row>
    <row r="76" spans="1:7" ht="30" customHeight="1">
      <c r="A76" s="9"/>
      <c r="B76" s="10"/>
      <c r="C76" s="11"/>
      <c r="D76" s="9"/>
      <c r="E76" s="14"/>
      <c r="F76" s="22"/>
      <c r="G76" s="8"/>
    </row>
    <row r="77" spans="1:7" ht="30" customHeight="1">
      <c r="A77" s="9"/>
      <c r="B77" s="10"/>
      <c r="C77" s="11"/>
      <c r="D77" s="9"/>
      <c r="E77" s="14"/>
      <c r="F77" s="22"/>
      <c r="G77" s="8"/>
    </row>
    <row r="78" spans="1:7" ht="30" customHeight="1">
      <c r="A78" s="9"/>
      <c r="B78" s="10"/>
      <c r="C78" s="11"/>
      <c r="D78" s="9"/>
      <c r="E78" s="14"/>
      <c r="F78" s="22"/>
      <c r="G78" s="8"/>
    </row>
    <row r="79" spans="1:7" ht="30" customHeight="1">
      <c r="A79" s="9"/>
      <c r="B79" s="15"/>
      <c r="C79" s="16"/>
      <c r="D79" s="9"/>
      <c r="E79" s="14"/>
      <c r="F79" s="12"/>
      <c r="G79" s="8"/>
    </row>
    <row r="80" spans="1:7" ht="30" customHeight="1">
      <c r="A80" s="532" t="s">
        <v>54</v>
      </c>
      <c r="B80" s="533"/>
      <c r="C80" s="533"/>
      <c r="D80" s="533"/>
      <c r="E80" s="533"/>
      <c r="F80" s="534"/>
      <c r="G80" s="17">
        <f>SUM(G49:G79)</f>
        <v>2009406.716</v>
      </c>
    </row>
  </sheetData>
  <mergeCells count="5">
    <mergeCell ref="A26:F26"/>
    <mergeCell ref="A27:F27"/>
    <mergeCell ref="A80:F80"/>
    <mergeCell ref="A48:F48"/>
    <mergeCell ref="A49:F49"/>
  </mergeCells>
  <pageMargins left="0.70866141732283472" right="0.70866141732283472" top="0.74803149606299213" bottom="0.74803149606299213" header="0.31496062992125984" footer="0.31496062992125984"/>
  <pageSetup paperSize="9" scale="72" orientation="portrait" r:id="rId1"/>
  <rowBreaks count="2" manualBreakCount="2">
    <brk id="26" max="16383" man="1"/>
    <brk id="4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FF9900"/>
  </sheetPr>
  <dimension ref="A1:K33"/>
  <sheetViews>
    <sheetView view="pageBreakPreview" topLeftCell="A4" zoomScaleNormal="125" zoomScaleSheetLayoutView="100" zoomScalePageLayoutView="125" workbookViewId="0">
      <selection activeCell="A33" sqref="A33:F33"/>
    </sheetView>
  </sheetViews>
  <sheetFormatPr baseColWidth="10" defaultColWidth="9.1640625" defaultRowHeight="13"/>
  <cols>
    <col min="1" max="1" width="8.1640625" style="21" customWidth="1"/>
    <col min="2" max="2" width="9.6640625" style="21" customWidth="1"/>
    <col min="3" max="3" width="54" style="21" customWidth="1"/>
    <col min="4" max="4" width="11.33203125" style="21" customWidth="1"/>
    <col min="5" max="6" width="11.5" style="21" customWidth="1"/>
    <col min="7" max="7" width="15.33203125" style="21" customWidth="1"/>
    <col min="8" max="11" width="9.1640625" style="21"/>
    <col min="12" max="12" width="15.6640625" style="21" bestFit="1" customWidth="1"/>
    <col min="13" max="16384" width="9.1640625" style="21"/>
  </cols>
  <sheetData>
    <row r="1" spans="1:11">
      <c r="A1" s="15"/>
      <c r="B1" s="15"/>
      <c r="C1" s="15"/>
      <c r="D1" s="15"/>
      <c r="E1" s="15"/>
      <c r="F1" s="20"/>
      <c r="G1" s="20"/>
    </row>
    <row r="2" spans="1:11" ht="26.25" customHeight="1">
      <c r="A2" s="1" t="s">
        <v>0</v>
      </c>
      <c r="B2" s="1" t="s">
        <v>9</v>
      </c>
      <c r="C2" s="2" t="s">
        <v>1</v>
      </c>
      <c r="D2" s="2" t="s">
        <v>10</v>
      </c>
      <c r="E2" s="2" t="s">
        <v>11</v>
      </c>
      <c r="F2" s="2" t="s">
        <v>12</v>
      </c>
      <c r="G2" s="2" t="s">
        <v>13</v>
      </c>
    </row>
    <row r="3" spans="1:11" ht="30" customHeight="1">
      <c r="A3" s="3"/>
      <c r="B3" s="3"/>
      <c r="C3" s="4"/>
      <c r="D3" s="5"/>
      <c r="E3" s="5"/>
      <c r="F3" s="5"/>
      <c r="G3" s="5"/>
    </row>
    <row r="4" spans="1:11" ht="30" customHeight="1">
      <c r="A4" s="3">
        <v>9</v>
      </c>
      <c r="B4" s="3"/>
      <c r="C4" s="4" t="s">
        <v>274</v>
      </c>
      <c r="D4" s="3"/>
      <c r="E4" s="3"/>
      <c r="F4" s="3"/>
      <c r="G4" s="3"/>
    </row>
    <row r="5" spans="1:11" ht="30" customHeight="1">
      <c r="A5" s="7">
        <v>9.1</v>
      </c>
      <c r="B5" s="3"/>
      <c r="C5" s="11" t="s">
        <v>295</v>
      </c>
      <c r="D5" s="3"/>
      <c r="E5" s="3"/>
      <c r="F5" s="3"/>
      <c r="G5" s="3"/>
    </row>
    <row r="6" spans="1:11" ht="30" customHeight="1">
      <c r="A6" s="9" t="s">
        <v>288</v>
      </c>
      <c r="B6" s="6"/>
      <c r="C6" s="11" t="s">
        <v>296</v>
      </c>
      <c r="D6" s="7"/>
      <c r="E6" s="7">
        <v>2</v>
      </c>
      <c r="F6" s="8"/>
      <c r="G6" s="8"/>
    </row>
    <row r="7" spans="1:11" ht="32.5" customHeight="1">
      <c r="A7" s="9" t="s">
        <v>289</v>
      </c>
      <c r="B7" s="13"/>
      <c r="C7" s="11" t="s">
        <v>275</v>
      </c>
      <c r="D7" s="31"/>
      <c r="E7" s="31"/>
      <c r="F7" s="32">
        <f>250/300</f>
        <v>0.83333333333333337</v>
      </c>
      <c r="G7" s="33"/>
      <c r="K7" s="21">
        <f>174*3.6</f>
        <v>626.4</v>
      </c>
    </row>
    <row r="8" spans="1:11" ht="32.5" customHeight="1">
      <c r="A8" s="9" t="s">
        <v>290</v>
      </c>
      <c r="B8" s="13"/>
      <c r="C8" s="11" t="s">
        <v>277</v>
      </c>
      <c r="D8" s="31"/>
      <c r="E8" s="34"/>
      <c r="F8" s="32">
        <f>(249*208)/(313*200)</f>
        <v>0.82734824281150154</v>
      </c>
      <c r="G8" s="33"/>
    </row>
    <row r="9" spans="1:11" ht="32.5" customHeight="1">
      <c r="A9" s="9" t="s">
        <v>291</v>
      </c>
      <c r="B9" s="13"/>
      <c r="C9" s="11" t="s">
        <v>276</v>
      </c>
      <c r="D9" s="7"/>
      <c r="E9" s="14"/>
      <c r="F9" s="12"/>
      <c r="G9" s="8"/>
    </row>
    <row r="10" spans="1:11" ht="32.5" customHeight="1">
      <c r="A10" s="9" t="s">
        <v>292</v>
      </c>
      <c r="B10" s="13"/>
      <c r="C10" s="11" t="s">
        <v>243</v>
      </c>
      <c r="D10" s="7"/>
      <c r="E10" s="14"/>
      <c r="F10" s="12"/>
      <c r="G10" s="8"/>
    </row>
    <row r="11" spans="1:11" ht="32.5" customHeight="1">
      <c r="A11" s="9" t="s">
        <v>293</v>
      </c>
      <c r="B11" s="13"/>
      <c r="C11" s="11" t="s">
        <v>278</v>
      </c>
      <c r="D11" s="7"/>
      <c r="E11" s="14"/>
      <c r="F11" s="12"/>
      <c r="G11" s="8"/>
    </row>
    <row r="12" spans="1:11" ht="32.5" customHeight="1">
      <c r="A12" s="29"/>
      <c r="B12" s="13"/>
      <c r="C12" s="11"/>
      <c r="D12" s="7"/>
      <c r="E12" s="14"/>
      <c r="F12" s="12"/>
      <c r="G12" s="8"/>
    </row>
    <row r="13" spans="1:11" ht="32.5" customHeight="1">
      <c r="A13" s="29">
        <v>9.1999999999999993</v>
      </c>
      <c r="B13" s="13"/>
      <c r="C13" s="11" t="s">
        <v>294</v>
      </c>
      <c r="D13" s="7"/>
      <c r="E13" s="14"/>
      <c r="F13" s="12"/>
      <c r="G13" s="8"/>
    </row>
    <row r="14" spans="1:11" ht="32.5" customHeight="1">
      <c r="A14" s="9" t="s">
        <v>279</v>
      </c>
      <c r="B14" s="13"/>
      <c r="C14" s="11" t="s">
        <v>275</v>
      </c>
      <c r="D14" s="7"/>
      <c r="E14" s="14"/>
      <c r="F14" s="12"/>
      <c r="G14" s="8"/>
    </row>
    <row r="15" spans="1:11" ht="32.5" customHeight="1">
      <c r="A15" s="9" t="s">
        <v>280</v>
      </c>
      <c r="B15" s="13"/>
      <c r="C15" s="11" t="s">
        <v>284</v>
      </c>
      <c r="D15" s="7"/>
      <c r="E15" s="14"/>
      <c r="F15" s="12"/>
      <c r="G15" s="8"/>
    </row>
    <row r="16" spans="1:11" ht="32.5" customHeight="1">
      <c r="A16" s="9" t="s">
        <v>281</v>
      </c>
      <c r="B16" s="13"/>
      <c r="C16" s="11" t="s">
        <v>285</v>
      </c>
      <c r="D16" s="7"/>
      <c r="E16" s="14"/>
      <c r="F16" s="12"/>
      <c r="G16" s="8"/>
    </row>
    <row r="17" spans="1:7" ht="32.5" customHeight="1">
      <c r="A17" s="9" t="s">
        <v>282</v>
      </c>
      <c r="B17" s="13"/>
      <c r="C17" s="11" t="s">
        <v>286</v>
      </c>
      <c r="D17" s="7"/>
      <c r="E17" s="14"/>
      <c r="F17" s="12"/>
      <c r="G17" s="8"/>
    </row>
    <row r="18" spans="1:7" ht="32.5" customHeight="1">
      <c r="A18" s="9" t="s">
        <v>283</v>
      </c>
      <c r="B18" s="13"/>
      <c r="C18" s="11" t="s">
        <v>287</v>
      </c>
      <c r="D18" s="7"/>
      <c r="E18" s="14"/>
      <c r="F18" s="12"/>
      <c r="G18" s="8"/>
    </row>
    <row r="19" spans="1:7" ht="32.5" customHeight="1">
      <c r="A19" s="29"/>
      <c r="B19" s="13"/>
      <c r="C19" s="11"/>
      <c r="D19" s="7"/>
      <c r="E19" s="14"/>
      <c r="F19" s="12"/>
      <c r="G19" s="8"/>
    </row>
    <row r="20" spans="1:7" ht="30" customHeight="1">
      <c r="A20" s="9"/>
      <c r="B20" s="10"/>
      <c r="C20" s="11"/>
      <c r="D20" s="9"/>
      <c r="E20" s="14"/>
      <c r="F20" s="22"/>
      <c r="G20" s="8"/>
    </row>
    <row r="21" spans="1:7" ht="30" customHeight="1">
      <c r="A21" s="9"/>
      <c r="B21" s="10"/>
      <c r="C21" s="11"/>
      <c r="D21" s="9"/>
      <c r="E21" s="14"/>
      <c r="F21" s="22"/>
      <c r="G21" s="8"/>
    </row>
    <row r="22" spans="1:7" ht="30" customHeight="1">
      <c r="A22" s="9"/>
      <c r="B22" s="10"/>
      <c r="C22" s="11"/>
      <c r="D22" s="9"/>
      <c r="E22" s="14"/>
      <c r="F22" s="22"/>
      <c r="G22" s="8"/>
    </row>
    <row r="23" spans="1:7" ht="30" customHeight="1">
      <c r="A23" s="9"/>
      <c r="B23" s="10"/>
      <c r="C23" s="11"/>
      <c r="D23" s="9"/>
      <c r="E23" s="14"/>
      <c r="F23" s="22"/>
      <c r="G23" s="8"/>
    </row>
    <row r="24" spans="1:7" ht="30" customHeight="1">
      <c r="A24" s="9"/>
      <c r="B24" s="10"/>
      <c r="C24" s="11"/>
      <c r="D24" s="9"/>
      <c r="E24" s="14"/>
      <c r="F24" s="22"/>
      <c r="G24" s="8"/>
    </row>
    <row r="25" spans="1:7" ht="30" customHeight="1">
      <c r="A25" s="9"/>
      <c r="B25" s="10"/>
      <c r="C25" s="11"/>
      <c r="D25" s="9"/>
      <c r="E25" s="14"/>
      <c r="F25" s="22"/>
      <c r="G25" s="8"/>
    </row>
    <row r="26" spans="1:7" ht="30" customHeight="1">
      <c r="A26" s="9"/>
      <c r="B26" s="10"/>
      <c r="C26" s="11"/>
      <c r="D26" s="9"/>
      <c r="E26" s="14"/>
      <c r="F26" s="22"/>
      <c r="G26" s="8"/>
    </row>
    <row r="27" spans="1:7" ht="30" customHeight="1">
      <c r="A27" s="9"/>
      <c r="B27" s="10"/>
      <c r="C27" s="11"/>
      <c r="D27" s="9"/>
      <c r="E27" s="14"/>
      <c r="F27" s="22"/>
      <c r="G27" s="8"/>
    </row>
    <row r="28" spans="1:7" ht="30" customHeight="1">
      <c r="A28" s="9"/>
      <c r="B28" s="10"/>
      <c r="C28" s="11"/>
      <c r="D28" s="9"/>
      <c r="E28" s="14"/>
      <c r="F28" s="22"/>
      <c r="G28" s="8"/>
    </row>
    <row r="29" spans="1:7" ht="30" customHeight="1">
      <c r="A29" s="9"/>
      <c r="B29" s="10"/>
      <c r="C29" s="11"/>
      <c r="D29" s="9"/>
      <c r="E29" s="14"/>
      <c r="F29" s="22"/>
      <c r="G29" s="8"/>
    </row>
    <row r="30" spans="1:7" ht="30" customHeight="1">
      <c r="A30" s="9"/>
      <c r="B30" s="10"/>
      <c r="C30" s="11"/>
      <c r="D30" s="9"/>
      <c r="E30" s="14"/>
      <c r="F30" s="22"/>
      <c r="G30" s="8"/>
    </row>
    <row r="31" spans="1:7" ht="30" customHeight="1">
      <c r="A31" s="9"/>
      <c r="B31" s="10"/>
      <c r="C31" s="11"/>
      <c r="D31" s="9"/>
      <c r="E31" s="14"/>
      <c r="F31" s="22"/>
      <c r="G31" s="8"/>
    </row>
    <row r="32" spans="1:7" ht="30" customHeight="1">
      <c r="A32" s="9"/>
      <c r="B32" s="15"/>
      <c r="C32" s="16"/>
      <c r="D32" s="9"/>
      <c r="E32" s="14"/>
      <c r="F32" s="12"/>
      <c r="G32" s="8"/>
    </row>
    <row r="33" spans="1:7" ht="30" customHeight="1">
      <c r="A33" s="532" t="s">
        <v>54</v>
      </c>
      <c r="B33" s="533"/>
      <c r="C33" s="533"/>
      <c r="D33" s="533"/>
      <c r="E33" s="533"/>
      <c r="F33" s="534"/>
      <c r="G33" s="17">
        <f>SUM(G4:G32)</f>
        <v>0</v>
      </c>
    </row>
  </sheetData>
  <mergeCells count="1">
    <mergeCell ref="A33:F33"/>
  </mergeCells>
  <pageMargins left="0.70866141732283472" right="0.70866141732283472" top="0.74803149606299213" bottom="0.74803149606299213" header="0.31496062992125984" footer="0.31496062992125984"/>
  <pageSetup paperSize="9" scale="7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FF9900"/>
  </sheetPr>
  <dimension ref="A1:L35"/>
  <sheetViews>
    <sheetView view="pageBreakPreview" zoomScaleNormal="125" zoomScaleSheetLayoutView="100" zoomScalePageLayoutView="125" workbookViewId="0">
      <selection activeCell="E10" sqref="E10"/>
    </sheetView>
  </sheetViews>
  <sheetFormatPr baseColWidth="10" defaultColWidth="9.1640625" defaultRowHeight="13"/>
  <cols>
    <col min="1" max="1" width="8.1640625" style="21" customWidth="1"/>
    <col min="2" max="2" width="10.6640625" style="21" customWidth="1"/>
    <col min="3" max="3" width="54" style="21" customWidth="1"/>
    <col min="4" max="4" width="11.33203125" style="21" customWidth="1"/>
    <col min="5" max="6" width="11.5" style="21" customWidth="1"/>
    <col min="7" max="7" width="15.33203125" style="21" customWidth="1"/>
    <col min="8" max="11" width="9.1640625" style="21"/>
    <col min="12" max="12" width="15.6640625" style="21" bestFit="1" customWidth="1"/>
    <col min="13" max="16384" width="9.1640625" style="21"/>
  </cols>
  <sheetData>
    <row r="1" spans="1:12">
      <c r="A1" s="15"/>
      <c r="B1" s="15"/>
      <c r="C1" s="15"/>
      <c r="D1" s="15"/>
      <c r="E1" s="15"/>
      <c r="F1" s="20"/>
      <c r="G1" s="20"/>
    </row>
    <row r="2" spans="1:12" ht="26.25" customHeight="1">
      <c r="A2" s="1" t="s">
        <v>0</v>
      </c>
      <c r="B2" s="1" t="s">
        <v>9</v>
      </c>
      <c r="C2" s="2" t="s">
        <v>1</v>
      </c>
      <c r="D2" s="2" t="s">
        <v>10</v>
      </c>
      <c r="E2" s="2" t="s">
        <v>11</v>
      </c>
      <c r="F2" s="2" t="s">
        <v>12</v>
      </c>
      <c r="G2" s="2" t="s">
        <v>13</v>
      </c>
    </row>
    <row r="3" spans="1:12" ht="30" customHeight="1">
      <c r="A3" s="3"/>
      <c r="B3" s="3"/>
      <c r="C3" s="4"/>
      <c r="D3" s="5"/>
      <c r="E3" s="5"/>
      <c r="F3" s="5"/>
      <c r="G3" s="5"/>
    </row>
    <row r="4" spans="1:12" ht="27.75" customHeight="1">
      <c r="A4" s="3">
        <v>10</v>
      </c>
      <c r="B4" s="3"/>
      <c r="C4" s="4" t="s">
        <v>297</v>
      </c>
      <c r="D4" s="3"/>
      <c r="E4" s="3"/>
      <c r="F4" s="3"/>
      <c r="G4" s="3"/>
    </row>
    <row r="5" spans="1:12" ht="27.75" customHeight="1">
      <c r="A5" s="9">
        <v>10.1</v>
      </c>
      <c r="B5" s="6"/>
      <c r="C5" s="11" t="s">
        <v>295</v>
      </c>
      <c r="D5" s="7"/>
      <c r="E5" s="7"/>
      <c r="F5" s="8"/>
      <c r="G5" s="8"/>
    </row>
    <row r="6" spans="1:12" ht="27.75" customHeight="1">
      <c r="A6" s="9" t="s">
        <v>298</v>
      </c>
      <c r="B6" s="10"/>
      <c r="C6" s="11" t="s">
        <v>239</v>
      </c>
      <c r="D6" s="7"/>
      <c r="E6" s="7"/>
      <c r="F6" s="12"/>
      <c r="G6" s="8"/>
    </row>
    <row r="7" spans="1:12" ht="27.75" customHeight="1">
      <c r="A7" s="9" t="s">
        <v>299</v>
      </c>
      <c r="B7" s="13"/>
      <c r="C7" s="11" t="s">
        <v>240</v>
      </c>
      <c r="D7" s="31"/>
      <c r="E7" s="31"/>
      <c r="F7" s="32">
        <f>250/300</f>
        <v>0.83333333333333337</v>
      </c>
      <c r="G7" s="33"/>
      <c r="K7" s="21">
        <f>174*3.6</f>
        <v>626.4</v>
      </c>
    </row>
    <row r="8" spans="1:12" ht="27.75" customHeight="1">
      <c r="A8" s="9" t="s">
        <v>300</v>
      </c>
      <c r="B8" s="13"/>
      <c r="C8" s="11" t="s">
        <v>241</v>
      </c>
      <c r="D8" s="31"/>
      <c r="E8" s="34"/>
      <c r="F8" s="32">
        <f>(249*208)/(313*200)</f>
        <v>0.82734824281150154</v>
      </c>
      <c r="G8" s="33"/>
    </row>
    <row r="9" spans="1:12" ht="27.75" customHeight="1">
      <c r="A9" s="9" t="s">
        <v>301</v>
      </c>
      <c r="B9" s="13"/>
      <c r="C9" s="11" t="s">
        <v>242</v>
      </c>
      <c r="D9" s="7" t="s">
        <v>2</v>
      </c>
      <c r="E9" s="14">
        <v>1</v>
      </c>
      <c r="F9" s="12"/>
      <c r="G9" s="8"/>
    </row>
    <row r="10" spans="1:12" ht="30" customHeight="1">
      <c r="A10" s="29"/>
      <c r="B10" s="13"/>
      <c r="C10" s="11"/>
      <c r="D10" s="7" t="s">
        <v>3</v>
      </c>
      <c r="E10" s="14">
        <v>1</v>
      </c>
      <c r="F10" s="26"/>
      <c r="G10" s="8"/>
    </row>
    <row r="11" spans="1:12" ht="28.25" customHeight="1">
      <c r="A11" s="29">
        <v>10.199999999999999</v>
      </c>
      <c r="B11" s="13"/>
      <c r="C11" s="11" t="s">
        <v>294</v>
      </c>
      <c r="D11" s="9" t="s">
        <v>2</v>
      </c>
      <c r="E11" s="14">
        <v>1</v>
      </c>
      <c r="F11" s="12"/>
      <c r="G11" s="8"/>
      <c r="L11" s="21">
        <f>200/5</f>
        <v>40</v>
      </c>
    </row>
    <row r="12" spans="1:12" ht="28.25" customHeight="1">
      <c r="A12" s="29" t="s">
        <v>302</v>
      </c>
      <c r="B12" s="13"/>
      <c r="C12" s="11" t="s">
        <v>239</v>
      </c>
      <c r="D12" s="9"/>
      <c r="E12" s="14"/>
      <c r="F12" s="12"/>
      <c r="G12" s="8"/>
    </row>
    <row r="13" spans="1:12" ht="28.25" customHeight="1">
      <c r="A13" s="29" t="s">
        <v>303</v>
      </c>
      <c r="B13" s="13"/>
      <c r="C13" s="11" t="s">
        <v>240</v>
      </c>
      <c r="D13" s="9"/>
      <c r="E13" s="14"/>
      <c r="F13" s="12"/>
      <c r="G13" s="8"/>
    </row>
    <row r="14" spans="1:12" ht="28.25" customHeight="1">
      <c r="A14" s="29" t="s">
        <v>304</v>
      </c>
      <c r="B14" s="13"/>
      <c r="C14" s="11" t="s">
        <v>241</v>
      </c>
      <c r="D14" s="9"/>
      <c r="E14" s="14"/>
      <c r="F14" s="12"/>
      <c r="G14" s="8"/>
    </row>
    <row r="15" spans="1:12" ht="28.25" customHeight="1">
      <c r="A15" s="29" t="s">
        <v>305</v>
      </c>
      <c r="B15" s="13"/>
      <c r="C15" s="11" t="s">
        <v>242</v>
      </c>
      <c r="D15" s="9"/>
      <c r="E15" s="14"/>
      <c r="F15" s="12"/>
      <c r="G15" s="8"/>
    </row>
    <row r="16" spans="1:12" ht="28.25" customHeight="1">
      <c r="A16" s="29"/>
      <c r="B16" s="13"/>
      <c r="C16" s="11"/>
      <c r="D16" s="9"/>
      <c r="E16" s="14"/>
      <c r="F16" s="12"/>
      <c r="G16" s="8"/>
    </row>
    <row r="17" spans="1:7" ht="28.25" customHeight="1">
      <c r="A17" s="29"/>
      <c r="B17" s="13"/>
      <c r="C17" s="11"/>
      <c r="D17" s="9"/>
      <c r="E17" s="14"/>
      <c r="F17" s="12"/>
      <c r="G17" s="8"/>
    </row>
    <row r="18" spans="1:7" ht="28.25" customHeight="1">
      <c r="A18" s="29"/>
      <c r="B18" s="13"/>
      <c r="C18" s="11"/>
      <c r="D18" s="9"/>
      <c r="E18" s="14"/>
      <c r="F18" s="12"/>
      <c r="G18" s="8"/>
    </row>
    <row r="19" spans="1:7" ht="28.25" customHeight="1">
      <c r="A19" s="29"/>
      <c r="B19" s="13"/>
      <c r="C19" s="11"/>
      <c r="D19" s="9"/>
      <c r="E19" s="14"/>
      <c r="F19" s="12"/>
      <c r="G19" s="8"/>
    </row>
    <row r="20" spans="1:7" ht="28.25" customHeight="1">
      <c r="A20" s="29"/>
      <c r="B20" s="13"/>
      <c r="C20" s="11"/>
      <c r="D20" s="9"/>
      <c r="E20" s="14"/>
      <c r="F20" s="12"/>
      <c r="G20" s="8"/>
    </row>
    <row r="21" spans="1:7" ht="28.25" customHeight="1">
      <c r="A21" s="29"/>
      <c r="B21" s="13"/>
      <c r="C21" s="11"/>
      <c r="D21" s="9"/>
      <c r="E21" s="14"/>
      <c r="F21" s="12"/>
      <c r="G21" s="8"/>
    </row>
    <row r="22" spans="1:7" ht="28.25" customHeight="1">
      <c r="A22" s="29"/>
      <c r="B22" s="13"/>
      <c r="C22" s="11"/>
      <c r="D22" s="9"/>
      <c r="E22" s="14"/>
      <c r="F22" s="12"/>
      <c r="G22" s="8"/>
    </row>
    <row r="23" spans="1:7" ht="28.25" customHeight="1">
      <c r="A23" s="29"/>
      <c r="B23" s="13"/>
      <c r="C23" s="11"/>
      <c r="D23" s="9"/>
      <c r="E23" s="14"/>
      <c r="F23" s="12"/>
      <c r="G23" s="8"/>
    </row>
    <row r="24" spans="1:7" ht="28.25" customHeight="1">
      <c r="A24" s="29"/>
      <c r="B24" s="13"/>
      <c r="C24" s="11"/>
      <c r="D24" s="9"/>
      <c r="E24" s="14"/>
      <c r="F24" s="12"/>
      <c r="G24" s="8"/>
    </row>
    <row r="25" spans="1:7" ht="28.25" customHeight="1">
      <c r="A25" s="29"/>
      <c r="B25" s="13"/>
      <c r="C25" s="11"/>
      <c r="D25" s="9"/>
      <c r="E25" s="14"/>
      <c r="F25" s="12"/>
      <c r="G25" s="8"/>
    </row>
    <row r="26" spans="1:7" ht="28.25" customHeight="1">
      <c r="A26" s="29"/>
      <c r="B26" s="13"/>
      <c r="C26" s="11"/>
      <c r="D26" s="9"/>
      <c r="E26" s="14"/>
      <c r="F26" s="12"/>
      <c r="G26" s="8"/>
    </row>
    <row r="27" spans="1:7" ht="28.25" customHeight="1">
      <c r="A27" s="29"/>
      <c r="B27" s="13"/>
      <c r="C27" s="11"/>
      <c r="D27" s="9"/>
      <c r="E27" s="14"/>
      <c r="F27" s="12"/>
      <c r="G27" s="8"/>
    </row>
    <row r="28" spans="1:7" ht="28.25" customHeight="1">
      <c r="A28" s="29"/>
      <c r="B28" s="13"/>
      <c r="C28" s="11"/>
      <c r="D28" s="9"/>
      <c r="E28" s="14"/>
      <c r="F28" s="12"/>
      <c r="G28" s="8"/>
    </row>
    <row r="29" spans="1:7" ht="30" customHeight="1">
      <c r="A29" s="9"/>
      <c r="B29" s="10"/>
      <c r="C29" s="11"/>
      <c r="D29" s="9"/>
      <c r="E29" s="14"/>
      <c r="F29" s="22"/>
      <c r="G29" s="8"/>
    </row>
    <row r="30" spans="1:7" ht="30" customHeight="1">
      <c r="A30" s="9"/>
      <c r="B30" s="10"/>
      <c r="C30" s="11"/>
      <c r="D30" s="9"/>
      <c r="E30" s="14"/>
      <c r="F30" s="22"/>
      <c r="G30" s="8"/>
    </row>
    <row r="31" spans="1:7" ht="30" customHeight="1">
      <c r="A31" s="9"/>
      <c r="B31" s="10"/>
      <c r="C31" s="11"/>
      <c r="D31" s="9"/>
      <c r="E31" s="14"/>
      <c r="F31" s="22"/>
      <c r="G31" s="8"/>
    </row>
    <row r="32" spans="1:7" ht="30" customHeight="1">
      <c r="A32" s="9"/>
      <c r="B32" s="10"/>
      <c r="C32" s="11"/>
      <c r="D32" s="9"/>
      <c r="E32" s="14"/>
      <c r="F32" s="22"/>
      <c r="G32" s="8"/>
    </row>
    <row r="33" spans="1:7" ht="30" customHeight="1">
      <c r="A33" s="9"/>
      <c r="B33" s="10"/>
      <c r="C33" s="11"/>
      <c r="D33" s="9"/>
      <c r="E33" s="14"/>
      <c r="F33" s="22"/>
      <c r="G33" s="8"/>
    </row>
    <row r="34" spans="1:7" ht="30" customHeight="1">
      <c r="A34" s="9"/>
      <c r="B34" s="15"/>
      <c r="C34" s="16"/>
      <c r="D34" s="9"/>
      <c r="E34" s="14"/>
      <c r="F34" s="12"/>
      <c r="G34" s="8"/>
    </row>
    <row r="35" spans="1:7" ht="30" customHeight="1">
      <c r="A35" s="532" t="s">
        <v>54</v>
      </c>
      <c r="B35" s="533"/>
      <c r="C35" s="533"/>
      <c r="D35" s="533"/>
      <c r="E35" s="533"/>
      <c r="F35" s="534"/>
      <c r="G35" s="17">
        <f>SUM(G4:G34)</f>
        <v>0</v>
      </c>
    </row>
  </sheetData>
  <mergeCells count="1">
    <mergeCell ref="A35:F35"/>
  </mergeCells>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H423"/>
  <sheetViews>
    <sheetView showGridLines="0" showZeros="0" tabSelected="1" view="pageBreakPreview" topLeftCell="A323" zoomScale="186" zoomScaleNormal="125" zoomScaleSheetLayoutView="186" zoomScalePageLayoutView="90" workbookViewId="0">
      <selection activeCell="G224" sqref="G224"/>
    </sheetView>
  </sheetViews>
  <sheetFormatPr baseColWidth="10" defaultColWidth="8.83203125" defaultRowHeight="13"/>
  <cols>
    <col min="1" max="1" width="7.33203125" style="118" customWidth="1"/>
    <col min="2" max="2" width="16.83203125" style="118" customWidth="1"/>
    <col min="3" max="3" width="51.33203125" style="118" customWidth="1"/>
    <col min="4" max="4" width="9.83203125" style="168" customWidth="1"/>
    <col min="5" max="5" width="13.1640625" style="168" customWidth="1"/>
    <col min="6" max="6" width="13.5" style="169" customWidth="1"/>
    <col min="7" max="7" width="19.83203125" style="169" customWidth="1"/>
    <col min="8" max="9" width="8.83203125" style="118"/>
    <col min="10" max="10" width="12.83203125" style="118" bestFit="1" customWidth="1"/>
    <col min="11" max="11" width="40.83203125" style="118" customWidth="1"/>
    <col min="12" max="12" width="8.83203125" style="118"/>
    <col min="13" max="13" width="11.83203125" style="118" customWidth="1"/>
    <col min="14" max="14" width="11.5" style="118" bestFit="1" customWidth="1"/>
    <col min="15" max="15" width="15.83203125" style="118" customWidth="1"/>
    <col min="16" max="16384" width="8.83203125" style="118"/>
  </cols>
  <sheetData>
    <row r="1" spans="1:7">
      <c r="A1" s="114"/>
      <c r="B1" s="114"/>
      <c r="C1" s="115"/>
      <c r="D1" s="116"/>
      <c r="E1" s="116"/>
      <c r="F1" s="117"/>
      <c r="G1" s="117"/>
    </row>
    <row r="2" spans="1:7">
      <c r="A2" s="119"/>
      <c r="B2" s="119"/>
      <c r="C2" s="119"/>
      <c r="D2" s="119"/>
      <c r="E2" s="119"/>
      <c r="F2" s="120"/>
      <c r="G2" s="120"/>
    </row>
    <row r="3" spans="1:7">
      <c r="A3" s="121" t="s">
        <v>0</v>
      </c>
      <c r="B3" s="121" t="s">
        <v>340</v>
      </c>
      <c r="C3" s="121" t="s">
        <v>1</v>
      </c>
      <c r="D3" s="121" t="s">
        <v>10</v>
      </c>
      <c r="E3" s="121" t="s">
        <v>11</v>
      </c>
      <c r="F3" s="122" t="s">
        <v>341</v>
      </c>
      <c r="G3" s="122" t="s">
        <v>13</v>
      </c>
    </row>
    <row r="4" spans="1:7">
      <c r="A4" s="123"/>
      <c r="B4" s="123"/>
      <c r="C4" s="123"/>
      <c r="D4" s="123"/>
      <c r="E4" s="123"/>
      <c r="F4" s="124"/>
      <c r="G4" s="124"/>
    </row>
    <row r="5" spans="1:7">
      <c r="A5" s="121"/>
      <c r="B5" s="121"/>
      <c r="C5" s="121"/>
      <c r="D5" s="121"/>
      <c r="E5" s="121"/>
      <c r="F5" s="122"/>
      <c r="G5" s="122"/>
    </row>
    <row r="6" spans="1:7" ht="14">
      <c r="A6" s="121"/>
      <c r="B6" s="128" t="s">
        <v>342</v>
      </c>
      <c r="C6" s="126" t="s">
        <v>602</v>
      </c>
      <c r="D6" s="121"/>
      <c r="E6" s="121"/>
      <c r="F6" s="122"/>
      <c r="G6" s="122"/>
    </row>
    <row r="7" spans="1:7">
      <c r="A7" s="128"/>
      <c r="B7" s="128"/>
      <c r="C7" s="127"/>
      <c r="D7" s="128"/>
      <c r="E7" s="128"/>
      <c r="F7" s="129"/>
      <c r="G7" s="129"/>
    </row>
    <row r="8" spans="1:7" ht="14">
      <c r="A8" s="128">
        <v>1.1000000000000001</v>
      </c>
      <c r="B8" s="128">
        <v>8.3000000000000007</v>
      </c>
      <c r="C8" s="130" t="s">
        <v>603</v>
      </c>
      <c r="D8" s="128"/>
      <c r="E8" s="128"/>
      <c r="F8" s="129"/>
      <c r="G8" s="129"/>
    </row>
    <row r="9" spans="1:7">
      <c r="A9" s="128"/>
      <c r="B9" s="128"/>
      <c r="C9" s="130"/>
      <c r="D9" s="128"/>
      <c r="E9" s="128"/>
      <c r="F9" s="129"/>
      <c r="G9" s="129"/>
    </row>
    <row r="10" spans="1:7" ht="27" customHeight="1">
      <c r="A10" s="132" t="s">
        <v>345</v>
      </c>
      <c r="B10" s="166" t="s">
        <v>604</v>
      </c>
      <c r="C10" s="131" t="s">
        <v>779</v>
      </c>
      <c r="D10" s="135" t="s">
        <v>3</v>
      </c>
      <c r="E10" s="350">
        <v>1</v>
      </c>
      <c r="F10" s="133"/>
      <c r="G10" s="136"/>
    </row>
    <row r="11" spans="1:7">
      <c r="A11" s="132"/>
      <c r="B11" s="132"/>
      <c r="C11" s="131"/>
      <c r="D11" s="135"/>
      <c r="E11" s="350"/>
      <c r="F11" s="133"/>
      <c r="G11" s="136"/>
    </row>
    <row r="12" spans="1:7" ht="28">
      <c r="A12" s="135" t="s">
        <v>348</v>
      </c>
      <c r="B12" s="166" t="s">
        <v>606</v>
      </c>
      <c r="C12" s="134" t="s">
        <v>607</v>
      </c>
      <c r="D12" s="135" t="s">
        <v>3</v>
      </c>
      <c r="E12" s="350">
        <v>1</v>
      </c>
      <c r="F12" s="133"/>
      <c r="G12" s="136"/>
    </row>
    <row r="13" spans="1:7">
      <c r="A13" s="135"/>
      <c r="B13" s="135"/>
      <c r="C13" s="134"/>
      <c r="D13" s="135"/>
      <c r="E13" s="350"/>
      <c r="F13" s="133"/>
      <c r="G13" s="136"/>
    </row>
    <row r="14" spans="1:7" ht="14">
      <c r="A14" s="135" t="s">
        <v>351</v>
      </c>
      <c r="B14" s="166" t="s">
        <v>608</v>
      </c>
      <c r="C14" s="134" t="s">
        <v>609</v>
      </c>
      <c r="D14" s="135" t="s">
        <v>3</v>
      </c>
      <c r="E14" s="349">
        <v>1</v>
      </c>
      <c r="F14" s="133"/>
      <c r="G14" s="136"/>
    </row>
    <row r="15" spans="1:7" ht="14">
      <c r="A15" s="353">
        <v>4</v>
      </c>
      <c r="B15" s="351"/>
      <c r="C15" s="352" t="s">
        <v>780</v>
      </c>
      <c r="D15" s="353"/>
      <c r="E15" s="349"/>
      <c r="F15" s="133"/>
      <c r="G15" s="136"/>
    </row>
    <row r="16" spans="1:7">
      <c r="A16" s="353"/>
      <c r="B16" s="351"/>
      <c r="C16" s="354"/>
      <c r="D16" s="353"/>
      <c r="E16" s="349"/>
      <c r="F16" s="133"/>
      <c r="G16" s="136"/>
    </row>
    <row r="17" spans="1:7" ht="14">
      <c r="A17" s="353">
        <v>4.0999999999999996</v>
      </c>
      <c r="B17" s="355"/>
      <c r="C17" s="356" t="s">
        <v>611</v>
      </c>
      <c r="D17" s="353" t="s">
        <v>3</v>
      </c>
      <c r="E17" s="349">
        <v>1</v>
      </c>
      <c r="F17" s="133"/>
      <c r="G17" s="136"/>
    </row>
    <row r="18" spans="1:7">
      <c r="A18" s="353"/>
      <c r="B18" s="355"/>
      <c r="C18" s="354"/>
      <c r="D18" s="353"/>
      <c r="E18" s="349"/>
      <c r="F18" s="133"/>
      <c r="G18" s="136"/>
    </row>
    <row r="19" spans="1:7" ht="14">
      <c r="A19" s="353">
        <v>4.2</v>
      </c>
      <c r="B19" s="351"/>
      <c r="C19" s="357" t="s">
        <v>612</v>
      </c>
      <c r="D19" s="353" t="s">
        <v>3</v>
      </c>
      <c r="E19" s="349">
        <v>1</v>
      </c>
      <c r="F19" s="133"/>
      <c r="G19" s="136"/>
    </row>
    <row r="20" spans="1:7">
      <c r="A20" s="353"/>
      <c r="B20" s="351"/>
      <c r="C20" s="354"/>
      <c r="D20" s="353"/>
      <c r="E20" s="349"/>
      <c r="F20" s="133"/>
      <c r="G20" s="136"/>
    </row>
    <row r="21" spans="1:7" ht="14">
      <c r="A21" s="353">
        <v>4.3</v>
      </c>
      <c r="B21" s="351"/>
      <c r="C21" s="357" t="s">
        <v>613</v>
      </c>
      <c r="D21" s="353" t="s">
        <v>3</v>
      </c>
      <c r="E21" s="349">
        <v>1</v>
      </c>
      <c r="F21" s="133"/>
      <c r="G21" s="136"/>
    </row>
    <row r="22" spans="1:7">
      <c r="A22" s="353"/>
      <c r="B22" s="351"/>
      <c r="C22" s="354"/>
      <c r="D22" s="353"/>
      <c r="E22" s="358"/>
      <c r="F22" s="133"/>
      <c r="G22" s="136"/>
    </row>
    <row r="23" spans="1:7" ht="28">
      <c r="A23" s="353">
        <v>4.4000000000000004</v>
      </c>
      <c r="B23" s="351" t="s">
        <v>614</v>
      </c>
      <c r="C23" s="357" t="s">
        <v>615</v>
      </c>
      <c r="D23" s="353" t="s">
        <v>429</v>
      </c>
      <c r="E23" s="349">
        <v>3</v>
      </c>
      <c r="F23" s="133"/>
      <c r="G23" s="136"/>
    </row>
    <row r="24" spans="1:7">
      <c r="A24" s="353"/>
      <c r="B24" s="351"/>
      <c r="C24" s="354"/>
      <c r="D24" s="353"/>
      <c r="E24" s="358"/>
      <c r="F24" s="133"/>
      <c r="G24" s="136"/>
    </row>
    <row r="25" spans="1:7" ht="28">
      <c r="A25" s="353">
        <v>4.5</v>
      </c>
      <c r="B25" s="359" t="s">
        <v>616</v>
      </c>
      <c r="C25" s="356" t="s">
        <v>617</v>
      </c>
      <c r="D25" s="353" t="s">
        <v>429</v>
      </c>
      <c r="E25" s="349">
        <v>5</v>
      </c>
      <c r="F25" s="133"/>
      <c r="G25" s="136"/>
    </row>
    <row r="26" spans="1:7">
      <c r="A26" s="353"/>
      <c r="B26" s="351"/>
      <c r="C26" s="354"/>
      <c r="D26" s="353"/>
      <c r="E26" s="349"/>
      <c r="F26" s="133"/>
      <c r="G26" s="136"/>
    </row>
    <row r="27" spans="1:7" ht="28">
      <c r="A27" s="353">
        <v>4.5999999999999996</v>
      </c>
      <c r="B27" s="351" t="s">
        <v>618</v>
      </c>
      <c r="C27" s="388" t="s">
        <v>619</v>
      </c>
      <c r="D27" s="353" t="s">
        <v>429</v>
      </c>
      <c r="E27" s="360">
        <v>2</v>
      </c>
      <c r="F27" s="133"/>
      <c r="G27" s="136"/>
    </row>
    <row r="28" spans="1:7">
      <c r="A28" s="353"/>
      <c r="B28" s="351"/>
      <c r="C28" s="354"/>
      <c r="D28" s="353"/>
      <c r="E28" s="358"/>
      <c r="F28" s="133"/>
      <c r="G28" s="136"/>
    </row>
    <row r="29" spans="1:7" ht="14">
      <c r="A29" s="353">
        <v>4.7</v>
      </c>
      <c r="B29" s="351" t="s">
        <v>620</v>
      </c>
      <c r="C29" s="357" t="s">
        <v>621</v>
      </c>
      <c r="D29" s="353" t="s">
        <v>429</v>
      </c>
      <c r="E29" s="358">
        <v>4</v>
      </c>
      <c r="F29" s="133"/>
      <c r="G29" s="136"/>
    </row>
    <row r="30" spans="1:7">
      <c r="A30" s="353"/>
      <c r="B30" s="351"/>
      <c r="C30" s="354"/>
      <c r="D30" s="353"/>
      <c r="E30" s="358"/>
      <c r="F30" s="133"/>
      <c r="G30" s="136"/>
    </row>
    <row r="31" spans="1:7" s="142" customFormat="1" ht="14">
      <c r="A31" s="353">
        <v>4.8</v>
      </c>
      <c r="B31" s="351" t="s">
        <v>622</v>
      </c>
      <c r="C31" s="357" t="s">
        <v>623</v>
      </c>
      <c r="D31" s="353" t="s">
        <v>429</v>
      </c>
      <c r="E31" s="349">
        <v>1</v>
      </c>
      <c r="F31" s="133"/>
      <c r="G31" s="136"/>
    </row>
    <row r="32" spans="1:7">
      <c r="A32" s="353"/>
      <c r="B32" s="351"/>
      <c r="C32" s="354"/>
      <c r="D32" s="353"/>
      <c r="E32" s="358"/>
      <c r="F32" s="133"/>
      <c r="G32" s="136"/>
    </row>
    <row r="33" spans="1:7" ht="14">
      <c r="A33" s="353"/>
      <c r="B33" s="351" t="s">
        <v>622</v>
      </c>
      <c r="C33" s="356" t="s">
        <v>624</v>
      </c>
      <c r="D33" s="353" t="s">
        <v>429</v>
      </c>
      <c r="E33" s="349">
        <v>5</v>
      </c>
      <c r="F33" s="133"/>
      <c r="G33" s="136"/>
    </row>
    <row r="34" spans="1:7">
      <c r="A34" s="353"/>
      <c r="B34" s="351"/>
      <c r="C34" s="354"/>
      <c r="D34" s="353"/>
      <c r="E34" s="349"/>
      <c r="F34" s="133"/>
      <c r="G34" s="136">
        <f t="shared" ref="G34:G72" si="0">F34*E34</f>
        <v>0</v>
      </c>
    </row>
    <row r="35" spans="1:7" ht="28">
      <c r="A35" s="353">
        <v>4.2</v>
      </c>
      <c r="B35" s="367" t="s">
        <v>625</v>
      </c>
      <c r="C35" s="354" t="s">
        <v>626</v>
      </c>
      <c r="D35" s="368"/>
      <c r="E35" s="369"/>
      <c r="F35" s="129"/>
      <c r="G35" s="136">
        <f t="shared" si="0"/>
        <v>0</v>
      </c>
    </row>
    <row r="36" spans="1:7">
      <c r="A36" s="353"/>
      <c r="B36" s="351"/>
      <c r="C36" s="354"/>
      <c r="D36" s="353"/>
      <c r="E36" s="349"/>
      <c r="F36" s="133"/>
      <c r="G36" s="136">
        <f t="shared" si="0"/>
        <v>0</v>
      </c>
    </row>
    <row r="37" spans="1:7" ht="14">
      <c r="A37" s="353" t="s">
        <v>627</v>
      </c>
      <c r="B37" s="351"/>
      <c r="C37" s="356" t="s">
        <v>628</v>
      </c>
      <c r="D37" s="353" t="s">
        <v>629</v>
      </c>
      <c r="E37" s="349">
        <f>21*145%</f>
        <v>30.45</v>
      </c>
      <c r="F37" s="133"/>
      <c r="G37" s="136"/>
    </row>
    <row r="38" spans="1:7">
      <c r="A38" s="353"/>
      <c r="B38" s="351"/>
      <c r="C38" s="354"/>
      <c r="D38" s="353"/>
      <c r="E38" s="349"/>
      <c r="F38" s="133"/>
      <c r="G38" s="136"/>
    </row>
    <row r="39" spans="1:7" ht="14">
      <c r="A39" s="353" t="s">
        <v>630</v>
      </c>
      <c r="B39" s="351"/>
      <c r="C39" s="357" t="s">
        <v>791</v>
      </c>
      <c r="D39" s="353" t="s">
        <v>629</v>
      </c>
      <c r="E39" s="349">
        <f>21*145%</f>
        <v>30.45</v>
      </c>
      <c r="F39" s="133"/>
      <c r="G39" s="136"/>
    </row>
    <row r="40" spans="1:7">
      <c r="A40" s="353"/>
      <c r="B40" s="351"/>
      <c r="C40" s="354"/>
      <c r="D40" s="353"/>
      <c r="E40" s="349"/>
      <c r="F40" s="133"/>
      <c r="G40" s="136"/>
    </row>
    <row r="41" spans="1:7" ht="14">
      <c r="A41" s="353" t="s">
        <v>632</v>
      </c>
      <c r="B41" s="351"/>
      <c r="C41" s="361" t="s">
        <v>633</v>
      </c>
      <c r="D41" s="353"/>
      <c r="E41" s="349"/>
      <c r="F41" s="133"/>
      <c r="G41" s="136"/>
    </row>
    <row r="42" spans="1:7">
      <c r="A42" s="353"/>
      <c r="B42" s="351"/>
      <c r="C42" s="354"/>
      <c r="D42" s="353"/>
      <c r="E42" s="349"/>
      <c r="F42" s="133"/>
      <c r="G42" s="136"/>
    </row>
    <row r="43" spans="1:7" ht="14">
      <c r="A43" s="353" t="s">
        <v>634</v>
      </c>
      <c r="B43" s="351"/>
      <c r="C43" s="357" t="s">
        <v>635</v>
      </c>
      <c r="D43" s="353" t="s">
        <v>429</v>
      </c>
      <c r="E43" s="349">
        <f>21*145%</f>
        <v>30.45</v>
      </c>
      <c r="F43" s="133"/>
      <c r="G43" s="136"/>
    </row>
    <row r="44" spans="1:7">
      <c r="A44" s="353"/>
      <c r="B44" s="351"/>
      <c r="C44" s="354"/>
      <c r="D44" s="353"/>
      <c r="E44" s="349"/>
      <c r="F44" s="133"/>
      <c r="G44" s="136"/>
    </row>
    <row r="45" spans="1:7" ht="14">
      <c r="A45" s="353" t="s">
        <v>636</v>
      </c>
      <c r="B45" s="351"/>
      <c r="C45" s="357" t="s">
        <v>637</v>
      </c>
      <c r="D45" s="353" t="s">
        <v>429</v>
      </c>
      <c r="E45" s="349">
        <f>21*145%</f>
        <v>30.45</v>
      </c>
      <c r="F45" s="133"/>
      <c r="G45" s="136"/>
    </row>
    <row r="46" spans="1:7">
      <c r="A46" s="353"/>
      <c r="B46" s="351"/>
      <c r="C46" s="354"/>
      <c r="D46" s="353"/>
      <c r="E46" s="358"/>
      <c r="F46" s="133"/>
      <c r="G46" s="136"/>
    </row>
    <row r="47" spans="1:7" ht="14">
      <c r="A47" s="353" t="s">
        <v>638</v>
      </c>
      <c r="B47" s="351"/>
      <c r="C47" s="356" t="s">
        <v>639</v>
      </c>
      <c r="D47" s="353" t="s">
        <v>429</v>
      </c>
      <c r="E47" s="349">
        <f>21*145%</f>
        <v>30.45</v>
      </c>
      <c r="F47" s="133"/>
      <c r="G47" s="136"/>
    </row>
    <row r="48" spans="1:7">
      <c r="A48" s="353"/>
      <c r="B48" s="351"/>
      <c r="C48" s="354"/>
      <c r="D48" s="353"/>
      <c r="E48" s="358"/>
      <c r="F48" s="229"/>
      <c r="G48" s="136"/>
    </row>
    <row r="49" spans="1:7" ht="14">
      <c r="A49" s="353" t="s">
        <v>640</v>
      </c>
      <c r="B49" s="351"/>
      <c r="C49" s="357" t="s">
        <v>641</v>
      </c>
      <c r="D49" s="353" t="s">
        <v>429</v>
      </c>
      <c r="E49" s="349">
        <f>21*145%</f>
        <v>30.45</v>
      </c>
      <c r="F49" s="229"/>
      <c r="G49" s="136"/>
    </row>
    <row r="50" spans="1:7">
      <c r="A50" s="353"/>
      <c r="B50" s="351"/>
      <c r="C50" s="354"/>
      <c r="D50" s="353"/>
      <c r="E50" s="358"/>
      <c r="F50" s="133"/>
      <c r="G50" s="136"/>
    </row>
    <row r="51" spans="1:7" ht="14">
      <c r="A51" s="353" t="s">
        <v>642</v>
      </c>
      <c r="B51" s="362"/>
      <c r="C51" s="357" t="s">
        <v>643</v>
      </c>
      <c r="D51" s="353" t="s">
        <v>429</v>
      </c>
      <c r="E51" s="349">
        <f>21*145%</f>
        <v>30.45</v>
      </c>
      <c r="F51" s="133"/>
      <c r="G51" s="136"/>
    </row>
    <row r="52" spans="1:7">
      <c r="A52" s="353"/>
      <c r="B52" s="362"/>
      <c r="C52" s="354"/>
      <c r="D52" s="353"/>
      <c r="E52" s="358"/>
      <c r="F52" s="133"/>
      <c r="G52" s="136"/>
    </row>
    <row r="53" spans="1:7" ht="14">
      <c r="A53" s="353" t="s">
        <v>644</v>
      </c>
      <c r="B53" s="362"/>
      <c r="C53" s="357" t="s">
        <v>645</v>
      </c>
      <c r="D53" s="353" t="s">
        <v>429</v>
      </c>
      <c r="E53" s="349">
        <f>21*145%</f>
        <v>30.45</v>
      </c>
      <c r="F53" s="133"/>
      <c r="G53" s="136"/>
    </row>
    <row r="54" spans="1:7">
      <c r="A54" s="353"/>
      <c r="B54" s="351"/>
      <c r="C54" s="354"/>
      <c r="D54" s="353"/>
      <c r="E54" s="358"/>
      <c r="F54" s="133"/>
      <c r="G54" s="136"/>
    </row>
    <row r="55" spans="1:7" ht="14">
      <c r="A55" s="353" t="s">
        <v>646</v>
      </c>
      <c r="B55" s="351"/>
      <c r="C55" s="357" t="s">
        <v>647</v>
      </c>
      <c r="D55" s="353" t="s">
        <v>429</v>
      </c>
      <c r="E55" s="349">
        <f>21*145%</f>
        <v>30.45</v>
      </c>
      <c r="F55" s="133"/>
      <c r="G55" s="136"/>
    </row>
    <row r="56" spans="1:7">
      <c r="A56" s="353"/>
      <c r="B56" s="362"/>
      <c r="C56" s="357"/>
      <c r="D56" s="353"/>
      <c r="E56" s="349"/>
      <c r="F56" s="133"/>
      <c r="G56" s="136"/>
    </row>
    <row r="57" spans="1:7" ht="14">
      <c r="A57" s="353" t="s">
        <v>648</v>
      </c>
      <c r="B57" s="362"/>
      <c r="C57" s="357" t="s">
        <v>649</v>
      </c>
      <c r="D57" s="353" t="s">
        <v>429</v>
      </c>
      <c r="E57" s="349">
        <f>21*145%</f>
        <v>30.45</v>
      </c>
      <c r="F57" s="133"/>
      <c r="G57" s="136"/>
    </row>
    <row r="58" spans="1:7" ht="21" customHeight="1">
      <c r="A58" s="230"/>
      <c r="B58" s="230"/>
      <c r="C58" s="227"/>
      <c r="D58" s="230"/>
      <c r="E58" s="230"/>
      <c r="F58" s="229"/>
      <c r="G58" s="136"/>
    </row>
    <row r="59" spans="1:7" ht="28">
      <c r="A59" s="353">
        <v>4.3</v>
      </c>
      <c r="B59" s="367" t="s">
        <v>650</v>
      </c>
      <c r="C59" s="354" t="s">
        <v>781</v>
      </c>
      <c r="D59" s="132"/>
      <c r="E59" s="132"/>
      <c r="F59" s="133"/>
      <c r="G59" s="136"/>
    </row>
    <row r="60" spans="1:7">
      <c r="A60" s="132"/>
      <c r="B60" s="132"/>
      <c r="C60" s="131"/>
      <c r="D60" s="132"/>
      <c r="E60" s="132"/>
      <c r="F60" s="133"/>
      <c r="G60" s="136"/>
    </row>
    <row r="61" spans="1:7" ht="14">
      <c r="A61" s="353" t="s">
        <v>653</v>
      </c>
      <c r="B61" s="351"/>
      <c r="C61" s="357" t="s">
        <v>654</v>
      </c>
      <c r="D61" s="353" t="s">
        <v>3</v>
      </c>
      <c r="E61" s="349">
        <v>1</v>
      </c>
      <c r="F61" s="365"/>
      <c r="G61" s="136"/>
    </row>
    <row r="62" spans="1:7">
      <c r="A62" s="353"/>
      <c r="B62" s="351"/>
      <c r="C62" s="354"/>
      <c r="D62" s="353"/>
      <c r="E62" s="349"/>
      <c r="F62" s="365"/>
      <c r="G62" s="136"/>
    </row>
    <row r="63" spans="1:7" ht="14">
      <c r="A63" s="353" t="s">
        <v>655</v>
      </c>
      <c r="B63" s="351"/>
      <c r="C63" s="357" t="s">
        <v>656</v>
      </c>
      <c r="D63" s="353" t="s">
        <v>657</v>
      </c>
      <c r="E63" s="358">
        <v>1</v>
      </c>
      <c r="F63" s="365"/>
      <c r="G63" s="136"/>
    </row>
    <row r="64" spans="1:7">
      <c r="A64" s="353"/>
      <c r="B64" s="351"/>
      <c r="C64" s="354"/>
      <c r="D64" s="353"/>
      <c r="E64" s="349"/>
      <c r="F64" s="365"/>
      <c r="G64" s="136"/>
    </row>
    <row r="65" spans="1:7" ht="14">
      <c r="A65" s="353" t="s">
        <v>658</v>
      </c>
      <c r="B65" s="351"/>
      <c r="C65" s="357" t="s">
        <v>659</v>
      </c>
      <c r="D65" s="353" t="s">
        <v>3</v>
      </c>
      <c r="E65" s="358">
        <v>1</v>
      </c>
      <c r="F65" s="365"/>
      <c r="G65" s="136"/>
    </row>
    <row r="66" spans="1:7">
      <c r="A66" s="353"/>
      <c r="B66" s="351"/>
      <c r="C66" s="354"/>
      <c r="D66" s="353"/>
      <c r="E66" s="349"/>
      <c r="F66" s="365"/>
      <c r="G66" s="136"/>
    </row>
    <row r="67" spans="1:7" ht="28">
      <c r="A67" s="368">
        <v>4.4000000000000004</v>
      </c>
      <c r="B67" s="367" t="s">
        <v>660</v>
      </c>
      <c r="C67" s="366" t="s">
        <v>661</v>
      </c>
      <c r="D67" s="368" t="s">
        <v>3</v>
      </c>
      <c r="E67" s="369">
        <v>1</v>
      </c>
      <c r="F67" s="493"/>
      <c r="G67" s="494"/>
    </row>
    <row r="68" spans="1:7">
      <c r="A68" s="363"/>
      <c r="B68" s="363"/>
      <c r="C68" s="364"/>
      <c r="D68" s="363"/>
      <c r="E68" s="363"/>
      <c r="F68" s="365"/>
      <c r="G68" s="136"/>
    </row>
    <row r="69" spans="1:7">
      <c r="A69" s="363"/>
      <c r="B69" s="363"/>
      <c r="C69" s="364"/>
      <c r="D69" s="363"/>
      <c r="E69" s="363"/>
      <c r="F69" s="365"/>
      <c r="G69" s="136">
        <f t="shared" si="0"/>
        <v>0</v>
      </c>
    </row>
    <row r="70" spans="1:7">
      <c r="A70" s="363"/>
      <c r="B70" s="363"/>
      <c r="C70" s="364"/>
      <c r="D70" s="363"/>
      <c r="E70" s="363"/>
      <c r="F70" s="365"/>
      <c r="G70" s="136">
        <f t="shared" si="0"/>
        <v>0</v>
      </c>
    </row>
    <row r="71" spans="1:7">
      <c r="A71" s="363"/>
      <c r="B71" s="363"/>
      <c r="C71" s="364"/>
      <c r="D71" s="363"/>
      <c r="E71" s="363"/>
      <c r="F71" s="365"/>
      <c r="G71" s="136">
        <f t="shared" si="0"/>
        <v>0</v>
      </c>
    </row>
    <row r="72" spans="1:7">
      <c r="A72" s="363"/>
      <c r="B72" s="363"/>
      <c r="C72" s="364"/>
      <c r="D72" s="363"/>
      <c r="E72" s="363"/>
      <c r="F72" s="365"/>
      <c r="G72" s="136">
        <f t="shared" si="0"/>
        <v>0</v>
      </c>
    </row>
    <row r="73" spans="1:7">
      <c r="A73" s="151"/>
      <c r="B73" s="151"/>
      <c r="C73" s="152"/>
      <c r="D73" s="151"/>
      <c r="E73" s="151"/>
      <c r="F73" s="153"/>
      <c r="G73" s="154"/>
    </row>
    <row r="74" spans="1:7">
      <c r="A74" s="145"/>
      <c r="B74" s="145"/>
      <c r="C74" s="155" t="s">
        <v>26</v>
      </c>
      <c r="D74" s="145"/>
      <c r="E74" s="145"/>
      <c r="F74" s="156"/>
      <c r="G74" s="157">
        <f>SUM(G5:G72)</f>
        <v>0</v>
      </c>
    </row>
    <row r="75" spans="1:7">
      <c r="A75" s="158"/>
      <c r="B75" s="158"/>
      <c r="C75" s="159"/>
      <c r="D75" s="158"/>
      <c r="E75" s="158"/>
      <c r="F75" s="160"/>
      <c r="G75" s="161"/>
    </row>
    <row r="76" spans="1:7">
      <c r="A76" s="119"/>
      <c r="B76" s="119"/>
      <c r="C76" s="119"/>
      <c r="D76" s="119"/>
      <c r="E76" s="119"/>
      <c r="F76" s="120"/>
      <c r="G76" s="120"/>
    </row>
    <row r="77" spans="1:7">
      <c r="A77" s="121" t="s">
        <v>0</v>
      </c>
      <c r="B77" s="121" t="s">
        <v>384</v>
      </c>
      <c r="C77" s="121" t="s">
        <v>1</v>
      </c>
      <c r="D77" s="121" t="s">
        <v>10</v>
      </c>
      <c r="E77" s="121" t="s">
        <v>385</v>
      </c>
      <c r="F77" s="122" t="s">
        <v>341</v>
      </c>
      <c r="G77" s="122" t="s">
        <v>13</v>
      </c>
    </row>
    <row r="78" spans="1:7">
      <c r="A78" s="123"/>
      <c r="B78" s="123"/>
      <c r="C78" s="123"/>
      <c r="D78" s="123"/>
      <c r="E78" s="123"/>
      <c r="F78" s="124"/>
      <c r="G78" s="124"/>
    </row>
    <row r="79" spans="1:7">
      <c r="A79" s="145"/>
      <c r="B79" s="145"/>
      <c r="C79" s="144"/>
      <c r="D79" s="145"/>
      <c r="E79" s="145"/>
      <c r="F79" s="146"/>
      <c r="G79" s="146"/>
    </row>
    <row r="80" spans="1:7">
      <c r="A80" s="145"/>
      <c r="B80" s="145"/>
      <c r="C80" s="155" t="s">
        <v>33</v>
      </c>
      <c r="D80" s="145"/>
      <c r="E80" s="145"/>
      <c r="F80" s="146"/>
      <c r="G80" s="157">
        <f>G74</f>
        <v>0</v>
      </c>
    </row>
    <row r="81" spans="1:7">
      <c r="A81" s="158"/>
      <c r="B81" s="158"/>
      <c r="C81" s="162"/>
      <c r="D81" s="158"/>
      <c r="E81" s="158"/>
      <c r="F81" s="161"/>
      <c r="G81" s="161"/>
    </row>
    <row r="82" spans="1:7">
      <c r="A82" s="363"/>
      <c r="B82" s="363"/>
      <c r="C82" s="364"/>
      <c r="D82" s="363"/>
      <c r="E82" s="363"/>
      <c r="F82" s="365"/>
      <c r="G82" s="365"/>
    </row>
    <row r="83" spans="1:7" ht="42">
      <c r="A83" s="290">
        <v>4.5</v>
      </c>
      <c r="B83" s="359" t="s">
        <v>662</v>
      </c>
      <c r="C83" s="354" t="s">
        <v>663</v>
      </c>
      <c r="D83" s="353"/>
      <c r="E83" s="349"/>
      <c r="F83" s="365"/>
      <c r="G83" s="365"/>
    </row>
    <row r="84" spans="1:7">
      <c r="A84" s="290"/>
      <c r="B84" s="355"/>
      <c r="C84" s="354"/>
      <c r="D84" s="353"/>
      <c r="E84" s="349"/>
      <c r="F84" s="365"/>
      <c r="G84" s="365"/>
    </row>
    <row r="85" spans="1:7" ht="14">
      <c r="A85" s="290" t="s">
        <v>664</v>
      </c>
      <c r="B85" s="351"/>
      <c r="C85" s="356" t="s">
        <v>665</v>
      </c>
      <c r="D85" s="353" t="s">
        <v>429</v>
      </c>
      <c r="E85" s="349">
        <v>2</v>
      </c>
      <c r="F85" s="365"/>
      <c r="G85" s="389"/>
    </row>
    <row r="86" spans="1:7">
      <c r="A86" s="290"/>
      <c r="B86" s="351"/>
      <c r="C86" s="354"/>
      <c r="D86" s="353"/>
      <c r="E86" s="358"/>
      <c r="F86" s="365"/>
      <c r="G86" s="389"/>
    </row>
    <row r="87" spans="1:7" ht="14">
      <c r="A87" s="290" t="s">
        <v>666</v>
      </c>
      <c r="B87" s="351"/>
      <c r="C87" s="357" t="s">
        <v>667</v>
      </c>
      <c r="D87" s="353" t="s">
        <v>429</v>
      </c>
      <c r="E87" s="349">
        <v>2</v>
      </c>
      <c r="F87" s="365"/>
      <c r="G87" s="389"/>
    </row>
    <row r="88" spans="1:7">
      <c r="A88" s="290"/>
      <c r="B88" s="351"/>
      <c r="C88" s="354"/>
      <c r="D88" s="353"/>
      <c r="E88" s="370"/>
      <c r="F88" s="365"/>
      <c r="G88" s="389"/>
    </row>
    <row r="89" spans="1:7" ht="14">
      <c r="A89" s="290" t="s">
        <v>668</v>
      </c>
      <c r="B89" s="351"/>
      <c r="C89" s="357" t="s">
        <v>669</v>
      </c>
      <c r="D89" s="353" t="s">
        <v>429</v>
      </c>
      <c r="E89" s="358">
        <v>6</v>
      </c>
      <c r="F89" s="365"/>
      <c r="G89" s="389"/>
    </row>
    <row r="90" spans="1:7">
      <c r="A90" s="290"/>
      <c r="B90" s="351"/>
      <c r="C90" s="354"/>
      <c r="D90" s="353"/>
      <c r="E90" s="358"/>
      <c r="F90" s="365"/>
      <c r="G90" s="389"/>
    </row>
    <row r="91" spans="1:7" ht="14">
      <c r="A91" s="290" t="s">
        <v>670</v>
      </c>
      <c r="B91" s="351"/>
      <c r="C91" s="357" t="s">
        <v>671</v>
      </c>
      <c r="D91" s="353" t="s">
        <v>429</v>
      </c>
      <c r="E91" s="358">
        <v>3</v>
      </c>
      <c r="F91" s="365"/>
      <c r="G91" s="389"/>
    </row>
    <row r="92" spans="1:7">
      <c r="A92" s="290"/>
      <c r="B92" s="351"/>
      <c r="C92" s="354"/>
      <c r="D92" s="353"/>
      <c r="E92" s="349"/>
      <c r="F92" s="365"/>
      <c r="G92" s="389"/>
    </row>
    <row r="93" spans="1:7" ht="14">
      <c r="A93" s="290" t="s">
        <v>672</v>
      </c>
      <c r="B93" s="351"/>
      <c r="C93" s="357" t="s">
        <v>673</v>
      </c>
      <c r="D93" s="353" t="s">
        <v>429</v>
      </c>
      <c r="E93" s="358">
        <v>4</v>
      </c>
      <c r="F93" s="365"/>
      <c r="G93" s="389"/>
    </row>
    <row r="94" spans="1:7">
      <c r="A94" s="290"/>
      <c r="B94" s="351"/>
      <c r="C94" s="354"/>
      <c r="D94" s="353"/>
      <c r="E94" s="349"/>
      <c r="F94" s="365"/>
      <c r="G94" s="389"/>
    </row>
    <row r="95" spans="1:7" ht="14">
      <c r="A95" s="290" t="s">
        <v>674</v>
      </c>
      <c r="B95" s="351"/>
      <c r="C95" s="357" t="s">
        <v>675</v>
      </c>
      <c r="D95" s="353" t="s">
        <v>429</v>
      </c>
      <c r="E95" s="349">
        <v>4</v>
      </c>
      <c r="F95" s="365"/>
      <c r="G95" s="389"/>
    </row>
    <row r="96" spans="1:7">
      <c r="A96" s="290"/>
      <c r="B96" s="351"/>
      <c r="C96" s="354"/>
      <c r="D96" s="353"/>
      <c r="E96" s="349"/>
      <c r="F96" s="365"/>
      <c r="G96" s="389"/>
    </row>
    <row r="97" spans="1:7" ht="14">
      <c r="A97" s="290" t="s">
        <v>676</v>
      </c>
      <c r="B97" s="351"/>
      <c r="C97" s="357" t="s">
        <v>677</v>
      </c>
      <c r="D97" s="353" t="s">
        <v>429</v>
      </c>
      <c r="E97" s="349">
        <v>5</v>
      </c>
      <c r="F97" s="365"/>
      <c r="G97" s="389"/>
    </row>
    <row r="98" spans="1:7">
      <c r="A98" s="290"/>
      <c r="B98" s="351"/>
      <c r="C98" s="354"/>
      <c r="D98" s="353"/>
      <c r="E98" s="349"/>
      <c r="F98" s="365"/>
      <c r="G98" s="389"/>
    </row>
    <row r="99" spans="1:7" ht="14">
      <c r="A99" s="290" t="s">
        <v>678</v>
      </c>
      <c r="B99" s="351"/>
      <c r="C99" s="357" t="s">
        <v>679</v>
      </c>
      <c r="D99" s="353" t="s">
        <v>429</v>
      </c>
      <c r="E99" s="349">
        <v>4</v>
      </c>
      <c r="F99" s="365"/>
      <c r="G99" s="389"/>
    </row>
    <row r="100" spans="1:7">
      <c r="A100" s="290"/>
      <c r="B100" s="351"/>
      <c r="C100" s="354"/>
      <c r="D100" s="353"/>
      <c r="E100" s="349"/>
      <c r="F100" s="365"/>
      <c r="G100" s="389"/>
    </row>
    <row r="101" spans="1:7" ht="14">
      <c r="A101" s="290" t="s">
        <v>680</v>
      </c>
      <c r="B101" s="351"/>
      <c r="C101" s="357" t="s">
        <v>681</v>
      </c>
      <c r="D101" s="353" t="s">
        <v>429</v>
      </c>
      <c r="E101" s="349">
        <v>2</v>
      </c>
      <c r="F101" s="365"/>
      <c r="G101" s="389"/>
    </row>
    <row r="102" spans="1:7">
      <c r="A102" s="290"/>
      <c r="B102" s="351"/>
      <c r="C102" s="354"/>
      <c r="D102" s="353"/>
      <c r="E102" s="349"/>
      <c r="F102" s="365"/>
      <c r="G102" s="389"/>
    </row>
    <row r="103" spans="1:7" ht="14">
      <c r="A103" s="299" t="s">
        <v>682</v>
      </c>
      <c r="B103" s="351"/>
      <c r="C103" s="356" t="s">
        <v>683</v>
      </c>
      <c r="D103" s="371" t="s">
        <v>429</v>
      </c>
      <c r="E103" s="349">
        <v>2</v>
      </c>
      <c r="F103" s="365"/>
      <c r="G103" s="389"/>
    </row>
    <row r="104" spans="1:7">
      <c r="A104" s="299"/>
      <c r="B104" s="351"/>
      <c r="C104" s="356"/>
      <c r="D104" s="371"/>
      <c r="E104" s="349"/>
      <c r="F104" s="365"/>
      <c r="G104" s="389"/>
    </row>
    <row r="105" spans="1:7" ht="14">
      <c r="A105" s="299" t="s">
        <v>684</v>
      </c>
      <c r="B105" s="351"/>
      <c r="C105" s="356" t="s">
        <v>685</v>
      </c>
      <c r="D105" s="371" t="s">
        <v>429</v>
      </c>
      <c r="E105" s="349">
        <v>6</v>
      </c>
      <c r="F105" s="365"/>
      <c r="G105" s="389"/>
    </row>
    <row r="106" spans="1:7">
      <c r="A106" s="299"/>
      <c r="B106" s="351"/>
      <c r="C106" s="356"/>
      <c r="D106" s="371"/>
      <c r="E106" s="349"/>
      <c r="F106" s="365"/>
      <c r="G106" s="389"/>
    </row>
    <row r="107" spans="1:7" ht="14">
      <c r="A107" s="299" t="s">
        <v>686</v>
      </c>
      <c r="B107" s="351"/>
      <c r="C107" s="356" t="s">
        <v>687</v>
      </c>
      <c r="D107" s="371" t="s">
        <v>429</v>
      </c>
      <c r="E107" s="349">
        <v>6</v>
      </c>
      <c r="F107" s="365"/>
      <c r="G107" s="389"/>
    </row>
    <row r="108" spans="1:7">
      <c r="A108" s="299"/>
      <c r="B108" s="351"/>
      <c r="C108" s="356"/>
      <c r="D108" s="371"/>
      <c r="E108" s="349"/>
      <c r="F108" s="365"/>
      <c r="G108" s="389"/>
    </row>
    <row r="109" spans="1:7" ht="14">
      <c r="A109" s="299" t="s">
        <v>688</v>
      </c>
      <c r="B109" s="351"/>
      <c r="C109" s="356" t="s">
        <v>689</v>
      </c>
      <c r="D109" s="371" t="s">
        <v>429</v>
      </c>
      <c r="E109" s="349">
        <v>4</v>
      </c>
      <c r="F109" s="365"/>
      <c r="G109" s="389"/>
    </row>
    <row r="110" spans="1:7">
      <c r="A110" s="299"/>
      <c r="B110" s="351"/>
      <c r="C110" s="356"/>
      <c r="D110" s="371"/>
      <c r="E110" s="349"/>
      <c r="F110" s="365"/>
      <c r="G110" s="389"/>
    </row>
    <row r="111" spans="1:7" ht="14">
      <c r="A111" s="299" t="s">
        <v>690</v>
      </c>
      <c r="B111" s="351"/>
      <c r="C111" s="356" t="s">
        <v>691</v>
      </c>
      <c r="D111" s="371" t="s">
        <v>429</v>
      </c>
      <c r="E111" s="349">
        <v>3</v>
      </c>
      <c r="F111" s="365"/>
      <c r="G111" s="389"/>
    </row>
    <row r="112" spans="1:7">
      <c r="A112" s="290"/>
      <c r="B112" s="351"/>
      <c r="C112" s="354"/>
      <c r="D112" s="353"/>
      <c r="E112" s="349"/>
      <c r="F112" s="365"/>
      <c r="G112" s="389"/>
    </row>
    <row r="113" spans="1:7" ht="14">
      <c r="A113" s="290">
        <v>4.5999999999999996</v>
      </c>
      <c r="B113" s="351"/>
      <c r="C113" s="357" t="s">
        <v>692</v>
      </c>
      <c r="D113" s="353" t="s">
        <v>429</v>
      </c>
      <c r="E113" s="349">
        <v>1</v>
      </c>
      <c r="F113" s="365"/>
      <c r="G113" s="389"/>
    </row>
    <row r="114" spans="1:7">
      <c r="A114" s="290"/>
      <c r="B114" s="351"/>
      <c r="C114" s="354"/>
      <c r="D114" s="353"/>
      <c r="E114" s="349"/>
      <c r="F114" s="365"/>
      <c r="G114" s="389"/>
    </row>
    <row r="115" spans="1:7" ht="28">
      <c r="A115" s="290">
        <v>4.7</v>
      </c>
      <c r="B115" s="351"/>
      <c r="C115" s="356" t="s">
        <v>693</v>
      </c>
      <c r="D115" s="353" t="s">
        <v>429</v>
      </c>
      <c r="E115" s="358">
        <v>4</v>
      </c>
      <c r="F115" s="365"/>
      <c r="G115" s="389"/>
    </row>
    <row r="116" spans="1:7">
      <c r="A116" s="290"/>
      <c r="B116" s="351"/>
      <c r="C116" s="354"/>
      <c r="D116" s="353"/>
      <c r="E116" s="349"/>
      <c r="F116" s="365"/>
      <c r="G116" s="389"/>
    </row>
    <row r="117" spans="1:7" ht="14">
      <c r="A117" s="290">
        <v>4.8</v>
      </c>
      <c r="B117" s="351"/>
      <c r="C117" s="357" t="s">
        <v>694</v>
      </c>
      <c r="D117" s="353" t="s">
        <v>429</v>
      </c>
      <c r="E117" s="349">
        <v>2</v>
      </c>
      <c r="F117" s="365"/>
      <c r="G117" s="389"/>
    </row>
    <row r="118" spans="1:7">
      <c r="A118" s="363"/>
      <c r="B118" s="363"/>
      <c r="C118" s="364"/>
      <c r="D118" s="363"/>
      <c r="E118" s="363"/>
      <c r="F118" s="365"/>
      <c r="G118" s="389"/>
    </row>
    <row r="119" spans="1:7">
      <c r="A119" s="363"/>
      <c r="B119" s="363"/>
      <c r="C119" s="364"/>
      <c r="D119" s="363"/>
      <c r="E119" s="363"/>
      <c r="F119" s="365"/>
      <c r="G119" s="389"/>
    </row>
    <row r="120" spans="1:7" ht="28">
      <c r="A120" s="353">
        <v>5</v>
      </c>
      <c r="B120" s="372" t="s">
        <v>695</v>
      </c>
      <c r="C120" s="354" t="s">
        <v>696</v>
      </c>
      <c r="D120" s="353"/>
      <c r="E120" s="349"/>
      <c r="F120" s="365"/>
      <c r="G120" s="389"/>
    </row>
    <row r="121" spans="1:7">
      <c r="A121" s="353"/>
      <c r="B121" s="362"/>
      <c r="C121" s="354"/>
      <c r="D121" s="353"/>
      <c r="E121" s="358"/>
      <c r="F121" s="365"/>
      <c r="G121" s="389"/>
    </row>
    <row r="122" spans="1:7" ht="14">
      <c r="A122" s="353">
        <v>5.0999999999999996</v>
      </c>
      <c r="B122" s="351"/>
      <c r="C122" s="357" t="s">
        <v>697</v>
      </c>
      <c r="D122" s="353" t="s">
        <v>3</v>
      </c>
      <c r="E122" s="358">
        <v>2</v>
      </c>
      <c r="F122" s="365"/>
      <c r="G122" s="389"/>
    </row>
    <row r="123" spans="1:7">
      <c r="A123" s="353"/>
      <c r="B123" s="351"/>
      <c r="C123" s="354"/>
      <c r="D123" s="353"/>
      <c r="E123" s="349"/>
      <c r="F123" s="365"/>
      <c r="G123" s="389"/>
    </row>
    <row r="124" spans="1:7" ht="14">
      <c r="A124" s="353">
        <v>5.2</v>
      </c>
      <c r="B124" s="362"/>
      <c r="C124" s="357" t="s">
        <v>698</v>
      </c>
      <c r="D124" s="353" t="s">
        <v>3</v>
      </c>
      <c r="E124" s="349">
        <v>2</v>
      </c>
      <c r="F124" s="365"/>
      <c r="G124" s="389"/>
    </row>
    <row r="125" spans="1:7">
      <c r="A125" s="353"/>
      <c r="B125" s="362"/>
      <c r="C125" s="354"/>
      <c r="D125" s="353"/>
      <c r="E125" s="349"/>
      <c r="F125" s="365"/>
      <c r="G125" s="389"/>
    </row>
    <row r="126" spans="1:7" ht="14">
      <c r="A126" s="353">
        <v>5.3</v>
      </c>
      <c r="B126" s="351"/>
      <c r="C126" s="357" t="s">
        <v>699</v>
      </c>
      <c r="D126" s="353" t="s">
        <v>3</v>
      </c>
      <c r="E126" s="358">
        <v>2</v>
      </c>
      <c r="F126" s="365"/>
      <c r="G126" s="389"/>
    </row>
    <row r="127" spans="1:7">
      <c r="A127" s="353"/>
      <c r="B127" s="351"/>
      <c r="C127" s="354"/>
      <c r="D127" s="353"/>
      <c r="E127" s="358"/>
      <c r="F127" s="365"/>
      <c r="G127" s="389"/>
    </row>
    <row r="128" spans="1:7" ht="14">
      <c r="A128" s="353">
        <v>5.4</v>
      </c>
      <c r="B128" s="351"/>
      <c r="C128" s="357" t="s">
        <v>700</v>
      </c>
      <c r="D128" s="353" t="s">
        <v>3</v>
      </c>
      <c r="E128" s="349">
        <v>3</v>
      </c>
      <c r="F128" s="365"/>
      <c r="G128" s="389"/>
    </row>
    <row r="129" spans="1:7">
      <c r="A129" s="353"/>
      <c r="B129" s="351"/>
      <c r="C129" s="354"/>
      <c r="D129" s="353"/>
      <c r="E129" s="349"/>
      <c r="F129" s="133"/>
      <c r="G129" s="389"/>
    </row>
    <row r="130" spans="1:7" ht="14">
      <c r="A130" s="353">
        <v>5.5</v>
      </c>
      <c r="B130" s="351"/>
      <c r="C130" s="357" t="s">
        <v>701</v>
      </c>
      <c r="D130" s="353" t="s">
        <v>3</v>
      </c>
      <c r="E130" s="349">
        <v>1</v>
      </c>
      <c r="F130" s="133"/>
      <c r="G130" s="389"/>
    </row>
    <row r="131" spans="1:7">
      <c r="A131" s="132"/>
      <c r="B131" s="132"/>
      <c r="C131" s="131"/>
      <c r="D131" s="132"/>
      <c r="E131" s="132"/>
      <c r="F131" s="133"/>
      <c r="G131" s="389"/>
    </row>
    <row r="132" spans="1:7" ht="14">
      <c r="A132" s="290">
        <v>5.6</v>
      </c>
      <c r="B132" s="291"/>
      <c r="C132" s="357" t="s">
        <v>702</v>
      </c>
      <c r="D132" s="353" t="s">
        <v>3</v>
      </c>
      <c r="E132" s="358">
        <v>2</v>
      </c>
      <c r="F132" s="133"/>
      <c r="G132" s="389"/>
    </row>
    <row r="133" spans="1:7">
      <c r="A133" s="290"/>
      <c r="B133" s="291"/>
      <c r="C133" s="354"/>
      <c r="D133" s="353"/>
      <c r="E133" s="349"/>
      <c r="F133" s="133"/>
      <c r="G133" s="389"/>
    </row>
    <row r="134" spans="1:7" ht="12.5" customHeight="1">
      <c r="A134" s="290">
        <v>5.7</v>
      </c>
      <c r="B134" s="291"/>
      <c r="C134" s="357" t="s">
        <v>703</v>
      </c>
      <c r="D134" s="353" t="s">
        <v>3</v>
      </c>
      <c r="E134" s="349">
        <v>1</v>
      </c>
      <c r="F134" s="133"/>
      <c r="G134" s="389"/>
    </row>
    <row r="135" spans="1:7">
      <c r="A135" s="128"/>
      <c r="B135" s="128"/>
      <c r="C135" s="354"/>
      <c r="D135" s="353"/>
      <c r="E135" s="349"/>
      <c r="F135" s="129"/>
      <c r="G135" s="389"/>
    </row>
    <row r="136" spans="1:7" ht="14">
      <c r="A136" s="290">
        <v>6</v>
      </c>
      <c r="B136" s="372" t="s">
        <v>704</v>
      </c>
      <c r="C136" s="354" t="s">
        <v>705</v>
      </c>
      <c r="D136" s="353"/>
      <c r="E136" s="349"/>
      <c r="F136" s="129"/>
      <c r="G136" s="389"/>
    </row>
    <row r="137" spans="1:7">
      <c r="A137" s="290"/>
      <c r="B137" s="362"/>
      <c r="C137" s="354"/>
      <c r="D137" s="353"/>
      <c r="E137" s="358"/>
      <c r="F137" s="143"/>
      <c r="G137" s="389"/>
    </row>
    <row r="138" spans="1:7" ht="18.75" customHeight="1">
      <c r="A138" s="290">
        <v>6.1</v>
      </c>
      <c r="B138" s="351" t="s">
        <v>706</v>
      </c>
      <c r="C138" s="357" t="s">
        <v>797</v>
      </c>
      <c r="D138" s="353" t="s">
        <v>366</v>
      </c>
      <c r="E138" s="358">
        <f>9</f>
        <v>9</v>
      </c>
      <c r="F138" s="133"/>
      <c r="G138" s="389"/>
    </row>
    <row r="139" spans="1:7">
      <c r="A139" s="290"/>
      <c r="B139" s="351"/>
      <c r="C139" s="354"/>
      <c r="D139" s="353"/>
      <c r="E139" s="349"/>
      <c r="F139" s="164"/>
      <c r="G139" s="389"/>
    </row>
    <row r="140" spans="1:7" ht="14">
      <c r="A140" s="290">
        <v>6.2</v>
      </c>
      <c r="B140" s="362" t="s">
        <v>708</v>
      </c>
      <c r="C140" s="357" t="s">
        <v>792</v>
      </c>
      <c r="D140" s="353" t="s">
        <v>366</v>
      </c>
      <c r="E140" s="349">
        <f>E138</f>
        <v>9</v>
      </c>
      <c r="F140" s="133"/>
      <c r="G140" s="389"/>
    </row>
    <row r="141" spans="1:7">
      <c r="A141" s="290"/>
      <c r="B141" s="362"/>
      <c r="C141" s="354"/>
      <c r="D141" s="353"/>
      <c r="E141" s="349"/>
      <c r="F141" s="165"/>
      <c r="G141" s="389"/>
    </row>
    <row r="142" spans="1:7" ht="14">
      <c r="A142" s="290">
        <v>6.3</v>
      </c>
      <c r="B142" s="351" t="s">
        <v>710</v>
      </c>
      <c r="C142" s="357" t="s">
        <v>711</v>
      </c>
      <c r="D142" s="353" t="s">
        <v>366</v>
      </c>
      <c r="E142" s="358">
        <f>E138</f>
        <v>9</v>
      </c>
      <c r="F142" s="133"/>
      <c r="G142" s="389"/>
    </row>
    <row r="143" spans="1:7">
      <c r="A143" s="290"/>
      <c r="B143" s="351"/>
      <c r="C143" s="354"/>
      <c r="D143" s="353"/>
      <c r="E143" s="358"/>
      <c r="F143" s="164"/>
      <c r="G143" s="389"/>
    </row>
    <row r="144" spans="1:7" ht="14">
      <c r="A144" s="290">
        <v>6.4</v>
      </c>
      <c r="B144" s="351" t="s">
        <v>712</v>
      </c>
      <c r="C144" s="357" t="s">
        <v>713</v>
      </c>
      <c r="D144" s="353" t="s">
        <v>366</v>
      </c>
      <c r="E144" s="349">
        <v>2</v>
      </c>
      <c r="F144" s="146"/>
      <c r="G144" s="389"/>
    </row>
    <row r="145" spans="1:7">
      <c r="A145" s="132"/>
      <c r="B145" s="145"/>
      <c r="C145" s="144"/>
      <c r="D145" s="145"/>
      <c r="E145" s="145"/>
      <c r="F145" s="146"/>
      <c r="G145" s="389"/>
    </row>
    <row r="146" spans="1:7">
      <c r="A146" s="132"/>
      <c r="B146" s="148"/>
      <c r="C146" s="147"/>
      <c r="D146" s="148"/>
      <c r="E146" s="148"/>
      <c r="F146" s="149"/>
      <c r="G146" s="150"/>
    </row>
    <row r="147" spans="1:7">
      <c r="A147" s="151"/>
      <c r="B147" s="151"/>
      <c r="C147" s="152"/>
      <c r="D147" s="151"/>
      <c r="E147" s="151"/>
      <c r="F147" s="153"/>
      <c r="G147" s="154"/>
    </row>
    <row r="148" spans="1:7">
      <c r="A148" s="145"/>
      <c r="B148" s="145"/>
      <c r="C148" s="155" t="s">
        <v>26</v>
      </c>
      <c r="D148" s="145"/>
      <c r="E148" s="145"/>
      <c r="F148" s="156"/>
      <c r="G148" s="157">
        <f>SUM(G79:G146)</f>
        <v>0</v>
      </c>
    </row>
    <row r="149" spans="1:7">
      <c r="A149" s="158"/>
      <c r="B149" s="158"/>
      <c r="C149" s="159"/>
      <c r="D149" s="158"/>
      <c r="E149" s="158"/>
      <c r="F149" s="160"/>
      <c r="G149" s="161"/>
    </row>
    <row r="150" spans="1:7">
      <c r="A150" s="119"/>
      <c r="B150" s="119"/>
      <c r="C150" s="119"/>
      <c r="D150" s="119"/>
      <c r="E150" s="119"/>
      <c r="F150" s="120"/>
      <c r="G150" s="120"/>
    </row>
    <row r="151" spans="1:7">
      <c r="A151" s="121" t="s">
        <v>0</v>
      </c>
      <c r="B151" s="121" t="s">
        <v>384</v>
      </c>
      <c r="C151" s="121" t="s">
        <v>1</v>
      </c>
      <c r="D151" s="121" t="s">
        <v>10</v>
      </c>
      <c r="E151" s="121" t="s">
        <v>385</v>
      </c>
      <c r="F151" s="122" t="s">
        <v>341</v>
      </c>
      <c r="G151" s="122" t="s">
        <v>13</v>
      </c>
    </row>
    <row r="152" spans="1:7">
      <c r="A152" s="123"/>
      <c r="B152" s="123"/>
      <c r="C152" s="123"/>
      <c r="D152" s="123"/>
      <c r="E152" s="123"/>
      <c r="F152" s="124"/>
      <c r="G152" s="124"/>
    </row>
    <row r="153" spans="1:7">
      <c r="A153" s="145"/>
      <c r="B153" s="145"/>
      <c r="C153" s="144"/>
      <c r="D153" s="145"/>
      <c r="E153" s="145"/>
      <c r="F153" s="146"/>
      <c r="G153" s="146"/>
    </row>
    <row r="154" spans="1:7">
      <c r="A154" s="145"/>
      <c r="B154" s="145"/>
      <c r="C154" s="155" t="s">
        <v>33</v>
      </c>
      <c r="D154" s="145"/>
      <c r="E154" s="145"/>
      <c r="F154" s="146"/>
      <c r="G154" s="157">
        <f>G148</f>
        <v>0</v>
      </c>
    </row>
    <row r="155" spans="1:7">
      <c r="A155" s="158"/>
      <c r="B155" s="158"/>
      <c r="C155" s="162"/>
      <c r="D155" s="158"/>
      <c r="E155" s="158"/>
      <c r="F155" s="161"/>
      <c r="G155" s="161"/>
    </row>
    <row r="156" spans="1:7">
      <c r="A156" s="145"/>
      <c r="B156" s="132"/>
      <c r="C156" s="131"/>
      <c r="D156" s="132"/>
      <c r="E156" s="132"/>
      <c r="F156" s="143"/>
      <c r="G156" s="133"/>
    </row>
    <row r="157" spans="1:7" ht="14">
      <c r="A157" s="353">
        <v>6.5</v>
      </c>
      <c r="B157" s="359" t="s">
        <v>714</v>
      </c>
      <c r="C157" s="356" t="s">
        <v>793</v>
      </c>
      <c r="D157" s="373" t="s">
        <v>366</v>
      </c>
      <c r="E157" s="349">
        <f>E142</f>
        <v>9</v>
      </c>
      <c r="F157" s="143"/>
      <c r="G157" s="389"/>
    </row>
    <row r="158" spans="1:7">
      <c r="A158" s="353"/>
      <c r="B158" s="351"/>
      <c r="C158" s="356"/>
      <c r="D158" s="373"/>
      <c r="E158" s="349"/>
      <c r="F158" s="133"/>
      <c r="G158" s="133"/>
    </row>
    <row r="159" spans="1:7" ht="14">
      <c r="A159" s="353" t="s">
        <v>716</v>
      </c>
      <c r="B159" s="351"/>
      <c r="C159" s="356" t="s">
        <v>717</v>
      </c>
      <c r="D159" s="373" t="s">
        <v>429</v>
      </c>
      <c r="E159" s="349">
        <v>1</v>
      </c>
      <c r="F159" s="146"/>
      <c r="G159" s="389"/>
    </row>
    <row r="160" spans="1:7">
      <c r="A160" s="132"/>
      <c r="B160" s="132"/>
      <c r="C160" s="131"/>
      <c r="D160" s="132"/>
      <c r="E160" s="163"/>
      <c r="F160" s="146"/>
      <c r="G160" s="389"/>
    </row>
    <row r="161" spans="1:7" ht="14">
      <c r="A161" s="351">
        <v>7</v>
      </c>
      <c r="B161" s="359" t="s">
        <v>718</v>
      </c>
      <c r="C161" s="354" t="s">
        <v>719</v>
      </c>
      <c r="D161" s="353"/>
      <c r="E161" s="349"/>
      <c r="F161" s="129"/>
      <c r="G161" s="389"/>
    </row>
    <row r="162" spans="1:7">
      <c r="A162" s="351"/>
      <c r="B162" s="351"/>
      <c r="C162" s="354"/>
      <c r="D162" s="373"/>
      <c r="E162" s="349"/>
      <c r="F162" s="129"/>
      <c r="G162" s="389"/>
    </row>
    <row r="163" spans="1:7" ht="14">
      <c r="A163" s="351">
        <v>7.1</v>
      </c>
      <c r="B163" s="351"/>
      <c r="C163" s="356" t="s">
        <v>720</v>
      </c>
      <c r="D163" s="353" t="s">
        <v>3</v>
      </c>
      <c r="E163" s="349">
        <v>1</v>
      </c>
      <c r="F163" s="390"/>
      <c r="G163" s="389"/>
    </row>
    <row r="164" spans="1:7">
      <c r="A164" s="353"/>
      <c r="B164" s="351"/>
      <c r="C164" s="354"/>
      <c r="D164" s="373"/>
      <c r="E164" s="358"/>
      <c r="F164" s="131"/>
      <c r="G164" s="389"/>
    </row>
    <row r="165" spans="1:7" ht="14">
      <c r="A165" s="353">
        <v>7.2</v>
      </c>
      <c r="B165" s="359" t="s">
        <v>721</v>
      </c>
      <c r="C165" s="374" t="s">
        <v>722</v>
      </c>
      <c r="D165" s="373"/>
      <c r="E165" s="358"/>
      <c r="F165" s="143"/>
      <c r="G165" s="389"/>
    </row>
    <row r="166" spans="1:7">
      <c r="A166" s="353"/>
      <c r="B166" s="351"/>
      <c r="C166" s="354"/>
      <c r="D166" s="375"/>
      <c r="E166" s="358"/>
      <c r="F166" s="167"/>
      <c r="G166" s="389"/>
    </row>
    <row r="167" spans="1:7" ht="14">
      <c r="A167" s="353" t="s">
        <v>256</v>
      </c>
      <c r="B167" s="351"/>
      <c r="C167" s="356" t="s">
        <v>723</v>
      </c>
      <c r="D167" s="371" t="s">
        <v>3</v>
      </c>
      <c r="E167" s="358">
        <v>1</v>
      </c>
      <c r="F167" s="143"/>
      <c r="G167" s="389"/>
    </row>
    <row r="168" spans="1:7">
      <c r="A168" s="353"/>
      <c r="B168" s="351"/>
      <c r="C168" s="354"/>
      <c r="D168" s="362"/>
      <c r="E168" s="349"/>
      <c r="F168" s="167"/>
      <c r="G168" s="389"/>
    </row>
    <row r="169" spans="1:7" ht="14">
      <c r="A169" s="353">
        <v>7.3</v>
      </c>
      <c r="B169" s="359" t="s">
        <v>724</v>
      </c>
      <c r="C169" s="356" t="s">
        <v>782</v>
      </c>
      <c r="D169" s="362"/>
      <c r="E169" s="349"/>
      <c r="F169" s="143"/>
      <c r="G169" s="389"/>
    </row>
    <row r="170" spans="1:7">
      <c r="A170" s="353"/>
      <c r="B170" s="351"/>
      <c r="C170" s="356"/>
      <c r="D170" s="362"/>
      <c r="E170" s="349"/>
      <c r="F170" s="164"/>
      <c r="G170" s="389"/>
    </row>
    <row r="171" spans="1:7" ht="14">
      <c r="A171" s="353" t="s">
        <v>258</v>
      </c>
      <c r="B171" s="351"/>
      <c r="C171" s="356" t="s">
        <v>726</v>
      </c>
      <c r="D171" s="362" t="s">
        <v>429</v>
      </c>
      <c r="E171" s="349">
        <v>10</v>
      </c>
      <c r="F171" s="131"/>
      <c r="G171" s="389"/>
    </row>
    <row r="172" spans="1:7">
      <c r="A172" s="353"/>
      <c r="B172" s="351"/>
      <c r="C172" s="356"/>
      <c r="D172" s="362"/>
      <c r="E172" s="349"/>
      <c r="F172" s="131"/>
      <c r="G172" s="389"/>
    </row>
    <row r="173" spans="1:7" ht="14">
      <c r="A173" s="353" t="s">
        <v>727</v>
      </c>
      <c r="B173" s="351"/>
      <c r="C173" s="356" t="s">
        <v>728</v>
      </c>
      <c r="D173" s="362" t="s">
        <v>429</v>
      </c>
      <c r="E173" s="349">
        <v>4</v>
      </c>
      <c r="F173" s="131"/>
      <c r="G173" s="389"/>
    </row>
    <row r="174" spans="1:7">
      <c r="A174" s="353"/>
      <c r="B174" s="351"/>
      <c r="C174" s="356"/>
      <c r="D174" s="362"/>
      <c r="E174" s="349"/>
      <c r="F174" s="143"/>
      <c r="G174" s="389"/>
    </row>
    <row r="175" spans="1:7" ht="14">
      <c r="A175" s="353" t="s">
        <v>729</v>
      </c>
      <c r="B175" s="351"/>
      <c r="C175" s="356" t="s">
        <v>730</v>
      </c>
      <c r="D175" s="362" t="s">
        <v>429</v>
      </c>
      <c r="E175" s="349">
        <v>3</v>
      </c>
      <c r="F175" s="489"/>
      <c r="G175" s="389"/>
    </row>
    <row r="176" spans="1:7">
      <c r="A176" s="353"/>
      <c r="B176" s="351"/>
      <c r="C176" s="356"/>
      <c r="D176" s="362"/>
      <c r="E176" s="349"/>
      <c r="F176" s="490"/>
      <c r="G176" s="389"/>
    </row>
    <row r="177" spans="1:7" ht="14">
      <c r="A177" s="353" t="s">
        <v>731</v>
      </c>
      <c r="B177" s="351"/>
      <c r="C177" s="356" t="s">
        <v>732</v>
      </c>
      <c r="D177" s="362" t="s">
        <v>429</v>
      </c>
      <c r="E177" s="349">
        <v>3</v>
      </c>
      <c r="F177" s="489"/>
      <c r="G177" s="389"/>
    </row>
    <row r="178" spans="1:7">
      <c r="A178" s="128"/>
      <c r="B178" s="166"/>
      <c r="C178" s="131"/>
      <c r="D178" s="166"/>
      <c r="E178" s="166"/>
      <c r="F178" s="490"/>
      <c r="G178" s="389"/>
    </row>
    <row r="179" spans="1:7" ht="42">
      <c r="A179" s="353">
        <v>8</v>
      </c>
      <c r="B179" s="359" t="s">
        <v>733</v>
      </c>
      <c r="C179" s="354" t="s">
        <v>734</v>
      </c>
      <c r="D179" s="353"/>
      <c r="E179" s="358"/>
      <c r="F179" s="143"/>
      <c r="G179" s="389"/>
    </row>
    <row r="180" spans="1:7">
      <c r="A180" s="353"/>
      <c r="B180" s="351"/>
      <c r="C180" s="354"/>
      <c r="D180" s="353"/>
      <c r="E180" s="358"/>
      <c r="F180" s="167"/>
      <c r="G180" s="389"/>
    </row>
    <row r="181" spans="1:7" ht="14">
      <c r="A181" s="353"/>
      <c r="B181" s="351"/>
      <c r="C181" s="356" t="s">
        <v>735</v>
      </c>
      <c r="D181" s="373"/>
      <c r="E181" s="358"/>
      <c r="F181" s="143"/>
      <c r="G181" s="389"/>
    </row>
    <row r="182" spans="1:7" ht="14">
      <c r="A182" s="353"/>
      <c r="B182" s="351"/>
      <c r="C182" s="357" t="s">
        <v>736</v>
      </c>
      <c r="D182" s="373"/>
      <c r="E182" s="358"/>
      <c r="F182" s="167"/>
      <c r="G182" s="389"/>
    </row>
    <row r="183" spans="1:7" ht="14">
      <c r="A183" s="353"/>
      <c r="B183" s="351"/>
      <c r="C183" s="357" t="s">
        <v>737</v>
      </c>
      <c r="D183" s="373" t="s">
        <v>3</v>
      </c>
      <c r="E183" s="358">
        <v>1</v>
      </c>
      <c r="F183" s="143"/>
      <c r="G183" s="389"/>
    </row>
    <row r="184" spans="1:7">
      <c r="A184" s="353"/>
      <c r="B184" s="351"/>
      <c r="C184" s="354"/>
      <c r="D184" s="353"/>
      <c r="E184" s="349"/>
      <c r="F184" s="167"/>
      <c r="G184" s="389"/>
    </row>
    <row r="185" spans="1:7" ht="14">
      <c r="A185" s="353">
        <v>9</v>
      </c>
      <c r="B185" s="351" t="s">
        <v>738</v>
      </c>
      <c r="C185" s="354" t="s">
        <v>739</v>
      </c>
      <c r="D185" s="353"/>
      <c r="E185" s="358"/>
      <c r="F185" s="143"/>
      <c r="G185" s="389"/>
    </row>
    <row r="186" spans="1:7">
      <c r="A186" s="353"/>
      <c r="B186" s="351"/>
      <c r="C186" s="354"/>
      <c r="D186" s="353"/>
      <c r="E186" s="349"/>
      <c r="F186" s="167"/>
      <c r="G186" s="389"/>
    </row>
    <row r="187" spans="1:7" ht="25" customHeight="1">
      <c r="A187" s="353">
        <v>9.1</v>
      </c>
      <c r="B187" s="351"/>
      <c r="C187" s="357" t="s">
        <v>796</v>
      </c>
      <c r="D187" s="353" t="s">
        <v>3</v>
      </c>
      <c r="E187" s="349">
        <v>1</v>
      </c>
      <c r="F187" s="143"/>
      <c r="G187" s="389"/>
    </row>
    <row r="188" spans="1:7" s="142" customFormat="1">
      <c r="A188" s="353"/>
      <c r="B188" s="351"/>
      <c r="C188" s="354"/>
      <c r="D188" s="362"/>
      <c r="E188" s="349"/>
      <c r="F188" s="165"/>
      <c r="G188" s="389"/>
    </row>
    <row r="189" spans="1:7" s="142" customFormat="1" ht="28">
      <c r="A189" s="353">
        <v>9.1999999999999993</v>
      </c>
      <c r="B189" s="351"/>
      <c r="C189" s="357" t="s">
        <v>795</v>
      </c>
      <c r="D189" s="353" t="s">
        <v>3</v>
      </c>
      <c r="E189" s="358">
        <v>1</v>
      </c>
      <c r="F189" s="143"/>
      <c r="G189" s="389"/>
    </row>
    <row r="190" spans="1:7" s="142" customFormat="1">
      <c r="A190" s="353"/>
      <c r="B190" s="351"/>
      <c r="C190" s="357"/>
      <c r="D190" s="373"/>
      <c r="E190" s="358"/>
      <c r="F190" s="380"/>
      <c r="G190" s="389"/>
    </row>
    <row r="191" spans="1:7" s="142" customFormat="1" ht="28">
      <c r="A191" s="353">
        <v>9.3000000000000007</v>
      </c>
      <c r="B191" s="351"/>
      <c r="C191" s="357" t="s">
        <v>798</v>
      </c>
      <c r="D191" s="353" t="s">
        <v>3</v>
      </c>
      <c r="E191" s="358">
        <v>1</v>
      </c>
      <c r="F191" s="380"/>
      <c r="G191" s="389"/>
    </row>
    <row r="192" spans="1:7" s="142" customFormat="1" ht="15.75" customHeight="1">
      <c r="A192" s="353"/>
      <c r="B192" s="351"/>
      <c r="C192" s="357"/>
      <c r="D192" s="373"/>
      <c r="E192" s="358"/>
      <c r="F192" s="380"/>
      <c r="G192" s="389"/>
    </row>
    <row r="193" spans="1:7" s="142" customFormat="1" ht="15.75" customHeight="1">
      <c r="A193" s="353">
        <v>9.4</v>
      </c>
      <c r="B193" s="351"/>
      <c r="C193" s="357" t="s">
        <v>954</v>
      </c>
      <c r="D193" s="353" t="s">
        <v>953</v>
      </c>
      <c r="E193" s="358">
        <v>1</v>
      </c>
      <c r="F193" s="380">
        <v>150000</v>
      </c>
      <c r="G193" s="380">
        <v>150000</v>
      </c>
    </row>
    <row r="194" spans="1:7" s="142" customFormat="1" ht="15.75" customHeight="1">
      <c r="A194" s="353"/>
      <c r="B194" s="351"/>
      <c r="C194" s="357"/>
      <c r="D194" s="373"/>
      <c r="E194" s="358"/>
      <c r="F194" s="380"/>
      <c r="G194" s="389"/>
    </row>
    <row r="195" spans="1:7" s="142" customFormat="1" ht="18.75" customHeight="1">
      <c r="A195" s="353">
        <v>9.5</v>
      </c>
      <c r="B195" s="351"/>
      <c r="C195" s="357" t="s">
        <v>952</v>
      </c>
      <c r="D195" s="353" t="s">
        <v>3</v>
      </c>
      <c r="E195" s="358">
        <v>1</v>
      </c>
      <c r="F195" s="380"/>
      <c r="G195" s="389"/>
    </row>
    <row r="196" spans="1:7" s="142" customFormat="1">
      <c r="A196" s="353"/>
      <c r="B196" s="351"/>
      <c r="C196" s="354"/>
      <c r="D196" s="362"/>
      <c r="E196" s="349"/>
      <c r="F196" s="167"/>
      <c r="G196" s="389"/>
    </row>
    <row r="197" spans="1:7" s="142" customFormat="1">
      <c r="A197" s="353"/>
      <c r="B197" s="351"/>
      <c r="C197" s="354"/>
      <c r="D197" s="362"/>
      <c r="E197" s="349"/>
      <c r="F197" s="495"/>
      <c r="G197" s="389"/>
    </row>
    <row r="198" spans="1:7" ht="14">
      <c r="A198" s="353">
        <v>10</v>
      </c>
      <c r="B198" s="351" t="s">
        <v>742</v>
      </c>
      <c r="C198" s="354" t="s">
        <v>743</v>
      </c>
      <c r="D198" s="353"/>
      <c r="E198" s="349"/>
      <c r="F198" s="143"/>
      <c r="G198" s="389"/>
    </row>
    <row r="199" spans="1:7" s="142" customFormat="1">
      <c r="A199" s="353"/>
      <c r="B199" s="376"/>
      <c r="C199" s="354"/>
      <c r="D199" s="353"/>
      <c r="E199" s="358"/>
      <c r="F199" s="131"/>
      <c r="G199" s="389"/>
    </row>
    <row r="200" spans="1:7" s="142" customFormat="1" ht="14">
      <c r="A200" s="353">
        <v>10.1</v>
      </c>
      <c r="B200" s="351"/>
      <c r="C200" s="356" t="s">
        <v>744</v>
      </c>
      <c r="D200" s="353" t="s">
        <v>429</v>
      </c>
      <c r="E200" s="358">
        <v>1</v>
      </c>
      <c r="F200" s="143"/>
      <c r="G200" s="389"/>
    </row>
    <row r="201" spans="1:7" s="142" customFormat="1">
      <c r="A201" s="353"/>
      <c r="B201" s="351"/>
      <c r="C201" s="357"/>
      <c r="D201" s="353"/>
      <c r="E201" s="349"/>
      <c r="F201" s="131"/>
      <c r="G201" s="389"/>
    </row>
    <row r="202" spans="1:7" s="142" customFormat="1" ht="14">
      <c r="A202" s="371">
        <v>10.199999999999999</v>
      </c>
      <c r="B202" s="351"/>
      <c r="C202" s="357" t="s">
        <v>745</v>
      </c>
      <c r="D202" s="353" t="s">
        <v>429</v>
      </c>
      <c r="E202" s="358">
        <v>1</v>
      </c>
      <c r="F202" s="143"/>
      <c r="G202" s="389"/>
    </row>
    <row r="203" spans="1:7" s="142" customFormat="1">
      <c r="A203" s="353"/>
      <c r="B203" s="351"/>
      <c r="C203" s="354"/>
      <c r="D203" s="353"/>
      <c r="E203" s="349"/>
      <c r="F203" s="228"/>
      <c r="G203" s="389"/>
    </row>
    <row r="204" spans="1:7" s="142" customFormat="1" ht="14">
      <c r="A204" s="353">
        <v>10.3</v>
      </c>
      <c r="B204" s="351"/>
      <c r="C204" s="357" t="s">
        <v>746</v>
      </c>
      <c r="D204" s="353" t="s">
        <v>429</v>
      </c>
      <c r="E204" s="349">
        <v>1</v>
      </c>
      <c r="F204" s="143"/>
      <c r="G204" s="389"/>
    </row>
    <row r="205" spans="1:7" s="142" customFormat="1">
      <c r="A205" s="353"/>
      <c r="B205" s="351"/>
      <c r="C205" s="354"/>
      <c r="D205" s="353"/>
      <c r="E205" s="349"/>
      <c r="F205" s="167"/>
      <c r="G205" s="389"/>
    </row>
    <row r="206" spans="1:7" s="142" customFormat="1" ht="28">
      <c r="A206" s="353">
        <v>11</v>
      </c>
      <c r="B206" s="359" t="s">
        <v>747</v>
      </c>
      <c r="C206" s="356" t="s">
        <v>783</v>
      </c>
      <c r="D206" s="353"/>
      <c r="E206" s="358"/>
      <c r="F206" s="133"/>
      <c r="G206" s="389"/>
    </row>
    <row r="207" spans="1:7" s="142" customFormat="1">
      <c r="A207" s="353"/>
      <c r="B207" s="351"/>
      <c r="C207" s="354"/>
      <c r="D207" s="353"/>
      <c r="E207" s="349"/>
      <c r="F207" s="131"/>
      <c r="G207" s="389"/>
    </row>
    <row r="208" spans="1:7" s="142" customFormat="1" ht="14">
      <c r="A208" s="353">
        <v>11.1</v>
      </c>
      <c r="B208" s="351"/>
      <c r="C208" s="357" t="s">
        <v>749</v>
      </c>
      <c r="D208" s="362" t="s">
        <v>3</v>
      </c>
      <c r="E208" s="349">
        <v>1</v>
      </c>
      <c r="F208" s="143"/>
      <c r="G208" s="389"/>
    </row>
    <row r="209" spans="1:7" s="142" customFormat="1">
      <c r="A209" s="128"/>
      <c r="B209" s="166"/>
      <c r="C209" s="131"/>
      <c r="D209" s="166"/>
      <c r="E209" s="189"/>
      <c r="F209" s="167"/>
      <c r="G209" s="389"/>
    </row>
    <row r="210" spans="1:7" s="142" customFormat="1" ht="14">
      <c r="A210" s="353">
        <v>12</v>
      </c>
      <c r="B210" s="351"/>
      <c r="C210" s="361" t="s">
        <v>683</v>
      </c>
      <c r="D210" s="362"/>
      <c r="E210" s="349"/>
      <c r="F210" s="143"/>
      <c r="G210" s="389"/>
    </row>
    <row r="211" spans="1:7" s="142" customFormat="1">
      <c r="A211" s="353"/>
      <c r="B211" s="351"/>
      <c r="C211" s="354"/>
      <c r="D211" s="353"/>
      <c r="E211" s="377"/>
      <c r="F211" s="167"/>
      <c r="G211" s="389"/>
    </row>
    <row r="212" spans="1:7" s="142" customFormat="1" ht="14">
      <c r="A212" s="353">
        <v>12.1</v>
      </c>
      <c r="B212" s="351"/>
      <c r="C212" s="357" t="s">
        <v>750</v>
      </c>
      <c r="D212" s="353" t="s">
        <v>3</v>
      </c>
      <c r="E212" s="358">
        <v>1</v>
      </c>
      <c r="F212" s="143"/>
      <c r="G212" s="389"/>
    </row>
    <row r="213" spans="1:7" s="142" customFormat="1">
      <c r="A213" s="353"/>
      <c r="B213" s="351"/>
      <c r="C213" s="354"/>
      <c r="D213" s="353"/>
      <c r="E213" s="349"/>
      <c r="F213" s="164"/>
      <c r="G213" s="389"/>
    </row>
    <row r="214" spans="1:7" s="142" customFormat="1" ht="14">
      <c r="A214" s="353" t="s">
        <v>751</v>
      </c>
      <c r="B214" s="351"/>
      <c r="C214" s="357" t="s">
        <v>752</v>
      </c>
      <c r="D214" s="353" t="s">
        <v>3</v>
      </c>
      <c r="E214" s="358">
        <v>1</v>
      </c>
      <c r="F214" s="143"/>
      <c r="G214" s="389"/>
    </row>
    <row r="215" spans="1:7" s="142" customFormat="1">
      <c r="A215" s="353"/>
      <c r="B215" s="351"/>
      <c r="C215" s="354"/>
      <c r="D215" s="353"/>
      <c r="E215" s="349"/>
      <c r="F215" s="143"/>
      <c r="G215" s="389"/>
    </row>
    <row r="216" spans="1:7" s="142" customFormat="1" ht="14">
      <c r="A216" s="353">
        <v>13</v>
      </c>
      <c r="B216" s="351" t="s">
        <v>753</v>
      </c>
      <c r="C216" s="357" t="s">
        <v>754</v>
      </c>
      <c r="D216" s="353" t="s">
        <v>3</v>
      </c>
      <c r="E216" s="358">
        <v>1</v>
      </c>
      <c r="F216" s="143"/>
      <c r="G216" s="389"/>
    </row>
    <row r="217" spans="1:7" s="142" customFormat="1">
      <c r="A217" s="353"/>
      <c r="B217" s="351"/>
      <c r="C217" s="357"/>
      <c r="D217" s="353"/>
      <c r="E217" s="358"/>
      <c r="F217" s="143"/>
      <c r="G217" s="389"/>
    </row>
    <row r="218" spans="1:7" s="142" customFormat="1" ht="28">
      <c r="A218" s="353">
        <v>13.1</v>
      </c>
      <c r="B218" s="351"/>
      <c r="C218" s="356" t="s">
        <v>755</v>
      </c>
      <c r="D218" s="353" t="s">
        <v>3</v>
      </c>
      <c r="E218" s="358">
        <v>1</v>
      </c>
      <c r="F218" s="143"/>
      <c r="G218" s="389"/>
    </row>
    <row r="219" spans="1:7" s="142" customFormat="1">
      <c r="A219" s="353"/>
      <c r="B219" s="351"/>
      <c r="C219" s="357"/>
      <c r="D219" s="353"/>
      <c r="E219" s="358"/>
      <c r="F219" s="143"/>
      <c r="G219" s="389"/>
    </row>
    <row r="220" spans="1:7" s="142" customFormat="1" ht="14">
      <c r="A220" s="353">
        <v>13.2</v>
      </c>
      <c r="B220" s="351"/>
      <c r="C220" s="357" t="s">
        <v>756</v>
      </c>
      <c r="D220" s="353" t="s">
        <v>429</v>
      </c>
      <c r="E220" s="358">
        <v>8</v>
      </c>
      <c r="F220" s="143"/>
      <c r="G220" s="389"/>
    </row>
    <row r="221" spans="1:7" s="142" customFormat="1">
      <c r="A221" s="128"/>
      <c r="B221" s="166"/>
      <c r="C221" s="131"/>
      <c r="D221" s="166"/>
      <c r="E221" s="166"/>
      <c r="F221" s="143"/>
      <c r="G221" s="389"/>
    </row>
    <row r="222" spans="1:7" s="142" customFormat="1">
      <c r="A222" s="378"/>
      <c r="B222" s="379"/>
      <c r="C222" s="364"/>
      <c r="D222" s="379"/>
      <c r="E222" s="379"/>
      <c r="F222" s="380"/>
      <c r="G222" s="364"/>
    </row>
    <row r="223" spans="1:7" s="142" customFormat="1">
      <c r="A223" s="151"/>
      <c r="B223" s="151"/>
      <c r="C223" s="152"/>
      <c r="D223" s="151"/>
      <c r="E223" s="151"/>
      <c r="F223" s="153"/>
      <c r="G223" s="154"/>
    </row>
    <row r="224" spans="1:7" s="142" customFormat="1">
      <c r="A224" s="145"/>
      <c r="B224" s="145"/>
      <c r="C224" s="155" t="s">
        <v>26</v>
      </c>
      <c r="D224" s="145"/>
      <c r="E224" s="145"/>
      <c r="F224" s="156"/>
      <c r="G224" s="157"/>
    </row>
    <row r="225" spans="1:7" s="142" customFormat="1">
      <c r="A225" s="158"/>
      <c r="B225" s="158"/>
      <c r="C225" s="159"/>
      <c r="D225" s="158"/>
      <c r="E225" s="158"/>
      <c r="F225" s="160"/>
      <c r="G225" s="161"/>
    </row>
    <row r="226" spans="1:7" s="142" customFormat="1">
      <c r="A226" s="119"/>
      <c r="B226" s="119"/>
      <c r="C226" s="119"/>
      <c r="D226" s="119"/>
      <c r="E226" s="119"/>
      <c r="F226" s="120"/>
      <c r="G226" s="120"/>
    </row>
    <row r="227" spans="1:7" s="142" customFormat="1">
      <c r="A227" s="121" t="s">
        <v>0</v>
      </c>
      <c r="B227" s="121" t="s">
        <v>384</v>
      </c>
      <c r="C227" s="121" t="s">
        <v>1</v>
      </c>
      <c r="D227" s="121" t="s">
        <v>10</v>
      </c>
      <c r="E227" s="121" t="s">
        <v>385</v>
      </c>
      <c r="F227" s="122" t="s">
        <v>341</v>
      </c>
      <c r="G227" s="122" t="s">
        <v>13</v>
      </c>
    </row>
    <row r="228" spans="1:7" s="142" customFormat="1">
      <c r="A228" s="123"/>
      <c r="B228" s="123"/>
      <c r="C228" s="123"/>
      <c r="D228" s="123"/>
      <c r="E228" s="123"/>
      <c r="F228" s="124"/>
      <c r="G228" s="124"/>
    </row>
    <row r="229" spans="1:7" s="142" customFormat="1">
      <c r="A229" s="145"/>
      <c r="B229" s="145"/>
      <c r="C229" s="144"/>
      <c r="D229" s="145"/>
      <c r="E229" s="145"/>
      <c r="F229" s="146"/>
      <c r="G229" s="146"/>
    </row>
    <row r="230" spans="1:7" s="142" customFormat="1">
      <c r="A230" s="145"/>
      <c r="B230" s="145"/>
      <c r="C230" s="155" t="s">
        <v>33</v>
      </c>
      <c r="D230" s="145"/>
      <c r="E230" s="145"/>
      <c r="F230" s="146"/>
      <c r="G230" s="157">
        <f>G224</f>
        <v>0</v>
      </c>
    </row>
    <row r="231" spans="1:7" s="142" customFormat="1">
      <c r="A231" s="158"/>
      <c r="B231" s="158"/>
      <c r="C231" s="162"/>
      <c r="D231" s="158"/>
      <c r="E231" s="158"/>
      <c r="F231" s="161"/>
      <c r="G231" s="161"/>
    </row>
    <row r="232" spans="1:7" s="142" customFormat="1">
      <c r="A232" s="378"/>
      <c r="B232" s="379"/>
      <c r="C232" s="364"/>
      <c r="D232" s="379"/>
      <c r="E232" s="379"/>
      <c r="F232" s="380"/>
      <c r="G232" s="364"/>
    </row>
    <row r="233" spans="1:7" s="142" customFormat="1" ht="28">
      <c r="A233" s="353">
        <v>14</v>
      </c>
      <c r="B233" s="376" t="s">
        <v>758</v>
      </c>
      <c r="C233" s="361" t="s">
        <v>784</v>
      </c>
      <c r="D233" s="382" t="s">
        <v>3</v>
      </c>
      <c r="E233" s="383">
        <v>1</v>
      </c>
      <c r="F233" s="496"/>
      <c r="G233" s="497"/>
    </row>
    <row r="234" spans="1:7" s="142" customFormat="1">
      <c r="A234" s="353"/>
      <c r="B234" s="381"/>
      <c r="C234" s="354"/>
      <c r="D234" s="362"/>
      <c r="E234" s="370"/>
      <c r="F234" s="496"/>
      <c r="G234" s="497"/>
    </row>
    <row r="235" spans="1:7" s="142" customFormat="1" ht="28">
      <c r="A235" s="353">
        <v>15</v>
      </c>
      <c r="B235" s="384" t="s">
        <v>760</v>
      </c>
      <c r="C235" s="361" t="s">
        <v>785</v>
      </c>
      <c r="D235" s="382" t="s">
        <v>3</v>
      </c>
      <c r="E235" s="383">
        <v>1</v>
      </c>
      <c r="F235" s="496"/>
      <c r="G235" s="497"/>
    </row>
    <row r="236" spans="1:7" s="142" customFormat="1">
      <c r="A236" s="353"/>
      <c r="B236" s="384"/>
      <c r="C236" s="361"/>
      <c r="D236" s="382"/>
      <c r="E236" s="383"/>
      <c r="F236" s="496"/>
      <c r="G236" s="497"/>
    </row>
    <row r="237" spans="1:7" s="142" customFormat="1" ht="28">
      <c r="A237" s="353">
        <v>16</v>
      </c>
      <c r="B237" s="384" t="s">
        <v>762</v>
      </c>
      <c r="C237" s="361" t="s">
        <v>786</v>
      </c>
      <c r="D237" s="382" t="s">
        <v>3</v>
      </c>
      <c r="E237" s="383">
        <v>1</v>
      </c>
      <c r="F237" s="496"/>
      <c r="G237" s="497"/>
    </row>
    <row r="238" spans="1:7" s="142" customFormat="1">
      <c r="A238" s="353"/>
      <c r="B238" s="376"/>
      <c r="C238" s="354"/>
      <c r="D238" s="382"/>
      <c r="E238" s="370"/>
      <c r="F238" s="496"/>
      <c r="G238" s="497"/>
    </row>
    <row r="239" spans="1:7" s="142" customFormat="1" ht="28">
      <c r="A239" s="353">
        <v>17</v>
      </c>
      <c r="B239" s="384" t="s">
        <v>764</v>
      </c>
      <c r="C239" s="356" t="s">
        <v>799</v>
      </c>
      <c r="D239" s="382" t="s">
        <v>3</v>
      </c>
      <c r="E239" s="385">
        <v>1</v>
      </c>
      <c r="F239" s="496"/>
      <c r="G239" s="497"/>
    </row>
    <row r="240" spans="1:7" s="142" customFormat="1">
      <c r="A240" s="378"/>
      <c r="B240" s="386"/>
      <c r="C240" s="387"/>
      <c r="D240" s="386"/>
      <c r="E240" s="386"/>
      <c r="F240" s="380"/>
      <c r="G240" s="495"/>
    </row>
    <row r="241" spans="1:7" s="142" customFormat="1">
      <c r="A241" s="378"/>
      <c r="B241" s="379"/>
      <c r="C241" s="364"/>
      <c r="D241" s="379"/>
      <c r="E241" s="379"/>
      <c r="F241" s="380"/>
      <c r="G241" s="495"/>
    </row>
    <row r="242" spans="1:7" s="142" customFormat="1" ht="14">
      <c r="A242" s="353"/>
      <c r="B242" s="351"/>
      <c r="C242" s="354" t="s">
        <v>766</v>
      </c>
      <c r="D242" s="353"/>
      <c r="E242" s="358"/>
      <c r="F242" s="380"/>
      <c r="G242" s="495"/>
    </row>
    <row r="243" spans="1:7" s="142" customFormat="1">
      <c r="A243" s="353"/>
      <c r="B243" s="351"/>
      <c r="C243" s="354"/>
      <c r="D243" s="353"/>
      <c r="E243" s="358"/>
      <c r="F243" s="380"/>
      <c r="G243" s="495"/>
    </row>
    <row r="244" spans="1:7" s="142" customFormat="1">
      <c r="A244" s="353"/>
      <c r="B244" s="351"/>
      <c r="C244" s="354"/>
      <c r="D244" s="353"/>
      <c r="E244" s="358"/>
      <c r="F244" s="380"/>
      <c r="G244" s="495"/>
    </row>
    <row r="245" spans="1:7" s="142" customFormat="1" ht="14">
      <c r="A245" s="353">
        <v>18</v>
      </c>
      <c r="B245" s="351"/>
      <c r="C245" s="352" t="s">
        <v>780</v>
      </c>
      <c r="D245" s="353"/>
      <c r="E245" s="349"/>
      <c r="F245" s="380"/>
      <c r="G245" s="495"/>
    </row>
    <row r="246" spans="1:7" s="142" customFormat="1">
      <c r="A246" s="353"/>
      <c r="B246" s="351"/>
      <c r="C246" s="354"/>
      <c r="D246" s="353"/>
      <c r="E246" s="349"/>
      <c r="F246" s="380"/>
      <c r="G246" s="495"/>
    </row>
    <row r="247" spans="1:7" s="142" customFormat="1" ht="17.25" customHeight="1">
      <c r="A247" s="353">
        <v>18.100000000000001</v>
      </c>
      <c r="B247" s="355"/>
      <c r="C247" s="356" t="s">
        <v>611</v>
      </c>
      <c r="D247" s="353" t="s">
        <v>767</v>
      </c>
      <c r="E247" s="349">
        <f>E157</f>
        <v>9</v>
      </c>
      <c r="F247" s="380"/>
      <c r="G247" s="495"/>
    </row>
    <row r="248" spans="1:7" s="142" customFormat="1" ht="17.25" customHeight="1">
      <c r="A248" s="353"/>
      <c r="B248" s="355"/>
      <c r="C248" s="354"/>
      <c r="D248" s="353"/>
      <c r="E248" s="349"/>
      <c r="F248" s="380"/>
      <c r="G248" s="495"/>
    </row>
    <row r="249" spans="1:7" s="142" customFormat="1" ht="17.25" customHeight="1">
      <c r="A249" s="353">
        <v>18.2</v>
      </c>
      <c r="B249" s="351"/>
      <c r="C249" s="357" t="s">
        <v>612</v>
      </c>
      <c r="D249" s="353" t="s">
        <v>767</v>
      </c>
      <c r="E249" s="349">
        <f>E247</f>
        <v>9</v>
      </c>
      <c r="F249" s="380"/>
      <c r="G249" s="495"/>
    </row>
    <row r="250" spans="1:7" s="142" customFormat="1" ht="17.25" customHeight="1">
      <c r="A250" s="353"/>
      <c r="B250" s="351"/>
      <c r="C250" s="354"/>
      <c r="D250" s="353"/>
      <c r="E250" s="349"/>
      <c r="F250" s="380"/>
      <c r="G250" s="495"/>
    </row>
    <row r="251" spans="1:7" s="142" customFormat="1" ht="17.25" customHeight="1">
      <c r="A251" s="353">
        <v>18.3</v>
      </c>
      <c r="B251" s="351"/>
      <c r="C251" s="357" t="s">
        <v>613</v>
      </c>
      <c r="D251" s="353" t="s">
        <v>767</v>
      </c>
      <c r="E251" s="349">
        <f>E249</f>
        <v>9</v>
      </c>
      <c r="F251" s="380"/>
      <c r="G251" s="495"/>
    </row>
    <row r="252" spans="1:7" s="142" customFormat="1">
      <c r="A252" s="378"/>
      <c r="B252" s="379"/>
      <c r="C252" s="364"/>
      <c r="D252" s="379"/>
      <c r="E252" s="379"/>
      <c r="F252" s="380"/>
      <c r="G252" s="495"/>
    </row>
    <row r="253" spans="1:7" s="142" customFormat="1">
      <c r="A253" s="378"/>
      <c r="B253" s="379"/>
      <c r="C253" s="364"/>
      <c r="D253" s="379"/>
      <c r="E253" s="379"/>
      <c r="F253" s="380"/>
      <c r="G253" s="495"/>
    </row>
    <row r="254" spans="1:7" s="142" customFormat="1" ht="28">
      <c r="A254" s="353">
        <v>18.399999999999999</v>
      </c>
      <c r="B254" s="351" t="s">
        <v>614</v>
      </c>
      <c r="C254" s="357" t="s">
        <v>615</v>
      </c>
      <c r="D254" s="353" t="s">
        <v>767</v>
      </c>
      <c r="E254" s="349">
        <f>E251</f>
        <v>9</v>
      </c>
      <c r="F254" s="380"/>
      <c r="G254" s="495"/>
    </row>
    <row r="255" spans="1:7" s="142" customFormat="1">
      <c r="A255" s="353"/>
      <c r="B255" s="351"/>
      <c r="C255" s="354"/>
      <c r="D255" s="353"/>
      <c r="E255" s="358"/>
      <c r="F255" s="380"/>
      <c r="G255" s="495"/>
    </row>
    <row r="256" spans="1:7" s="142" customFormat="1" ht="28">
      <c r="A256" s="353">
        <v>18.5</v>
      </c>
      <c r="B256" s="359" t="s">
        <v>616</v>
      </c>
      <c r="C256" s="357" t="s">
        <v>787</v>
      </c>
      <c r="D256" s="353" t="s">
        <v>767</v>
      </c>
      <c r="E256" s="349">
        <f>E254</f>
        <v>9</v>
      </c>
      <c r="F256" s="380"/>
      <c r="G256" s="495"/>
    </row>
    <row r="257" spans="1:7" s="142" customFormat="1">
      <c r="A257" s="353"/>
      <c r="B257" s="351"/>
      <c r="C257" s="354"/>
      <c r="D257" s="353"/>
      <c r="E257" s="349"/>
      <c r="F257" s="380"/>
      <c r="G257" s="495"/>
    </row>
    <row r="258" spans="1:7" s="142" customFormat="1" ht="28">
      <c r="A258" s="353">
        <v>18.600000000000001</v>
      </c>
      <c r="B258" s="351" t="s">
        <v>618</v>
      </c>
      <c r="C258" s="357" t="s">
        <v>788</v>
      </c>
      <c r="D258" s="353" t="s">
        <v>767</v>
      </c>
      <c r="E258" s="360">
        <f>E256</f>
        <v>9</v>
      </c>
      <c r="F258" s="380"/>
      <c r="G258" s="495"/>
    </row>
    <row r="259" spans="1:7" s="142" customFormat="1">
      <c r="A259" s="353"/>
      <c r="B259" s="351"/>
      <c r="C259" s="354"/>
      <c r="D259" s="353"/>
      <c r="E259" s="358"/>
      <c r="F259" s="380"/>
      <c r="G259" s="495"/>
    </row>
    <row r="260" spans="1:7" s="142" customFormat="1" ht="14">
      <c r="A260" s="353">
        <v>18.7</v>
      </c>
      <c r="B260" s="351" t="s">
        <v>620</v>
      </c>
      <c r="C260" s="357" t="s">
        <v>621</v>
      </c>
      <c r="D260" s="353" t="s">
        <v>767</v>
      </c>
      <c r="E260" s="358">
        <f>E258</f>
        <v>9</v>
      </c>
      <c r="F260" s="380"/>
      <c r="G260" s="495"/>
    </row>
    <row r="261" spans="1:7" s="142" customFormat="1">
      <c r="A261" s="353"/>
      <c r="B261" s="351"/>
      <c r="C261" s="354"/>
      <c r="D261" s="353"/>
      <c r="E261" s="358"/>
      <c r="F261" s="380"/>
      <c r="G261" s="495"/>
    </row>
    <row r="262" spans="1:7" s="142" customFormat="1" ht="14">
      <c r="A262" s="353">
        <v>18.8</v>
      </c>
      <c r="B262" s="351" t="s">
        <v>622</v>
      </c>
      <c r="C262" s="357" t="s">
        <v>623</v>
      </c>
      <c r="D262" s="353" t="s">
        <v>767</v>
      </c>
      <c r="E262" s="349">
        <f>E260</f>
        <v>9</v>
      </c>
      <c r="F262" s="380"/>
      <c r="G262" s="495"/>
    </row>
    <row r="263" spans="1:7" s="142" customFormat="1">
      <c r="A263" s="353"/>
      <c r="B263" s="351"/>
      <c r="C263" s="354"/>
      <c r="D263" s="353"/>
      <c r="E263" s="358"/>
      <c r="F263" s="380"/>
      <c r="G263" s="495"/>
    </row>
    <row r="264" spans="1:7" s="142" customFormat="1" ht="14">
      <c r="A264" s="353">
        <v>18.899999999999999</v>
      </c>
      <c r="B264" s="351" t="s">
        <v>622</v>
      </c>
      <c r="C264" s="356" t="s">
        <v>624</v>
      </c>
      <c r="D264" s="353" t="s">
        <v>767</v>
      </c>
      <c r="E264" s="349">
        <f>E262</f>
        <v>9</v>
      </c>
      <c r="F264" s="380"/>
      <c r="G264" s="495"/>
    </row>
    <row r="265" spans="1:7" s="142" customFormat="1">
      <c r="A265" s="378"/>
      <c r="B265" s="379"/>
      <c r="C265" s="364"/>
      <c r="D265" s="379"/>
      <c r="E265" s="379"/>
      <c r="F265" s="380"/>
      <c r="G265" s="495"/>
    </row>
    <row r="266" spans="1:7" s="142" customFormat="1">
      <c r="A266" s="378"/>
      <c r="B266" s="379"/>
      <c r="C266" s="364"/>
      <c r="D266" s="379"/>
      <c r="E266" s="379"/>
      <c r="F266" s="380"/>
      <c r="G266" s="495"/>
    </row>
    <row r="267" spans="1:7" s="142" customFormat="1" ht="28">
      <c r="A267" s="353">
        <v>19</v>
      </c>
      <c r="B267" s="359" t="s">
        <v>625</v>
      </c>
      <c r="C267" s="354" t="s">
        <v>626</v>
      </c>
      <c r="D267" s="353"/>
      <c r="E267" s="349"/>
      <c r="F267" s="380"/>
      <c r="G267" s="495"/>
    </row>
    <row r="268" spans="1:7" s="142" customFormat="1">
      <c r="A268" s="353"/>
      <c r="B268" s="351"/>
      <c r="C268" s="354"/>
      <c r="D268" s="353"/>
      <c r="E268" s="349"/>
      <c r="F268" s="380"/>
      <c r="G268" s="495"/>
    </row>
    <row r="269" spans="1:7" s="142" customFormat="1" ht="14">
      <c r="A269" s="353">
        <v>19.100000000000001</v>
      </c>
      <c r="B269" s="351"/>
      <c r="C269" s="356" t="s">
        <v>628</v>
      </c>
      <c r="D269" s="353" t="s">
        <v>767</v>
      </c>
      <c r="E269" s="349">
        <f>E264</f>
        <v>9</v>
      </c>
      <c r="F269" s="380"/>
      <c r="G269" s="495"/>
    </row>
    <row r="270" spans="1:7" s="142" customFormat="1">
      <c r="A270" s="353"/>
      <c r="B270" s="351"/>
      <c r="C270" s="354"/>
      <c r="D270" s="353"/>
      <c r="E270" s="349"/>
      <c r="F270" s="380"/>
      <c r="G270" s="495"/>
    </row>
    <row r="271" spans="1:7" s="142" customFormat="1" ht="14">
      <c r="A271" s="353">
        <v>19.2</v>
      </c>
      <c r="B271" s="351"/>
      <c r="C271" s="357" t="s">
        <v>631</v>
      </c>
      <c r="D271" s="353" t="s">
        <v>767</v>
      </c>
      <c r="E271" s="349">
        <f>E269</f>
        <v>9</v>
      </c>
      <c r="F271" s="380"/>
      <c r="G271" s="495"/>
    </row>
    <row r="272" spans="1:7" s="142" customFormat="1">
      <c r="A272" s="353"/>
      <c r="B272" s="351"/>
      <c r="C272" s="354"/>
      <c r="D272" s="353"/>
      <c r="E272" s="349"/>
      <c r="F272" s="380"/>
      <c r="G272" s="495"/>
    </row>
    <row r="273" spans="1:7" s="142" customFormat="1" ht="14">
      <c r="A273" s="353">
        <v>19.3</v>
      </c>
      <c r="B273" s="351"/>
      <c r="C273" s="361" t="s">
        <v>633</v>
      </c>
      <c r="D273" s="353"/>
      <c r="E273" s="349"/>
      <c r="F273" s="380"/>
      <c r="G273" s="495"/>
    </row>
    <row r="274" spans="1:7" s="142" customFormat="1">
      <c r="A274" s="353"/>
      <c r="B274" s="351"/>
      <c r="C274" s="354"/>
      <c r="D274" s="353"/>
      <c r="E274" s="349"/>
      <c r="F274" s="380"/>
      <c r="G274" s="495"/>
    </row>
    <row r="275" spans="1:7" s="142" customFormat="1" ht="14">
      <c r="A275" s="353" t="s">
        <v>769</v>
      </c>
      <c r="B275" s="351"/>
      <c r="C275" s="357" t="s">
        <v>635</v>
      </c>
      <c r="D275" s="353" t="s">
        <v>767</v>
      </c>
      <c r="E275" s="349">
        <f>E271</f>
        <v>9</v>
      </c>
      <c r="F275" s="380"/>
      <c r="G275" s="495"/>
    </row>
    <row r="276" spans="1:7" s="142" customFormat="1">
      <c r="A276" s="378"/>
      <c r="B276" s="379"/>
      <c r="C276" s="364"/>
      <c r="D276" s="379"/>
      <c r="E276" s="379"/>
      <c r="F276" s="380"/>
      <c r="G276" s="495"/>
    </row>
    <row r="277" spans="1:7" s="142" customFormat="1" ht="14">
      <c r="A277" s="353" t="s">
        <v>770</v>
      </c>
      <c r="B277" s="351"/>
      <c r="C277" s="357" t="s">
        <v>637</v>
      </c>
      <c r="D277" s="353" t="s">
        <v>767</v>
      </c>
      <c r="E277" s="349">
        <f>E275</f>
        <v>9</v>
      </c>
      <c r="F277" s="380"/>
      <c r="G277" s="495"/>
    </row>
    <row r="278" spans="1:7" s="142" customFormat="1">
      <c r="A278" s="353"/>
      <c r="B278" s="351"/>
      <c r="C278" s="354"/>
      <c r="D278" s="353"/>
      <c r="E278" s="358"/>
      <c r="F278" s="380"/>
      <c r="G278" s="495"/>
    </row>
    <row r="279" spans="1:7" s="142" customFormat="1" ht="14">
      <c r="A279" s="353">
        <v>19.399999999999999</v>
      </c>
      <c r="B279" s="351"/>
      <c r="C279" s="356" t="s">
        <v>639</v>
      </c>
      <c r="D279" s="353" t="s">
        <v>767</v>
      </c>
      <c r="E279" s="349">
        <f>E277</f>
        <v>9</v>
      </c>
      <c r="F279" s="380"/>
      <c r="G279" s="495"/>
    </row>
    <row r="280" spans="1:7" s="142" customFormat="1">
      <c r="A280" s="353"/>
      <c r="B280" s="351"/>
      <c r="C280" s="354"/>
      <c r="D280" s="353"/>
      <c r="E280" s="358"/>
      <c r="F280" s="380"/>
      <c r="G280" s="495"/>
    </row>
    <row r="281" spans="1:7" s="142" customFormat="1" ht="14">
      <c r="A281" s="353">
        <v>19.5</v>
      </c>
      <c r="B281" s="351"/>
      <c r="C281" s="356" t="s">
        <v>771</v>
      </c>
      <c r="D281" s="353" t="s">
        <v>767</v>
      </c>
      <c r="E281" s="349">
        <f>E279</f>
        <v>9</v>
      </c>
      <c r="F281" s="380"/>
      <c r="G281" s="495"/>
    </row>
    <row r="282" spans="1:7" s="142" customFormat="1">
      <c r="A282" s="353"/>
      <c r="B282" s="351"/>
      <c r="C282" s="354"/>
      <c r="D282" s="353"/>
      <c r="E282" s="358"/>
      <c r="F282" s="380"/>
      <c r="G282" s="495"/>
    </row>
    <row r="283" spans="1:7" s="142" customFormat="1" ht="14">
      <c r="A283" s="353">
        <v>19.600000000000001</v>
      </c>
      <c r="B283" s="362"/>
      <c r="C283" s="357" t="s">
        <v>643</v>
      </c>
      <c r="D283" s="353" t="s">
        <v>767</v>
      </c>
      <c r="E283" s="349">
        <f>E281</f>
        <v>9</v>
      </c>
      <c r="F283" s="380"/>
      <c r="G283" s="495"/>
    </row>
    <row r="284" spans="1:7" s="142" customFormat="1">
      <c r="A284" s="353"/>
      <c r="B284" s="362"/>
      <c r="C284" s="354"/>
      <c r="D284" s="353"/>
      <c r="E284" s="358"/>
      <c r="F284" s="380"/>
      <c r="G284" s="495"/>
    </row>
    <row r="285" spans="1:7" s="142" customFormat="1" ht="14">
      <c r="A285" s="353">
        <v>19.7</v>
      </c>
      <c r="B285" s="362"/>
      <c r="C285" s="357" t="s">
        <v>645</v>
      </c>
      <c r="D285" s="353" t="s">
        <v>767</v>
      </c>
      <c r="E285" s="349">
        <f>E283</f>
        <v>9</v>
      </c>
      <c r="F285" s="380"/>
      <c r="G285" s="495"/>
    </row>
    <row r="286" spans="1:7" s="142" customFormat="1">
      <c r="A286" s="353"/>
      <c r="B286" s="351"/>
      <c r="C286" s="354"/>
      <c r="D286" s="353"/>
      <c r="E286" s="358"/>
      <c r="F286" s="380"/>
      <c r="G286" s="495"/>
    </row>
    <row r="287" spans="1:7" s="142" customFormat="1" ht="14">
      <c r="A287" s="353">
        <v>19.8</v>
      </c>
      <c r="B287" s="351"/>
      <c r="C287" s="357" t="s">
        <v>647</v>
      </c>
      <c r="D287" s="353" t="s">
        <v>767</v>
      </c>
      <c r="E287" s="349">
        <f>E285</f>
        <v>9</v>
      </c>
      <c r="F287" s="380"/>
      <c r="G287" s="495"/>
    </row>
    <row r="288" spans="1:7" s="142" customFormat="1">
      <c r="A288" s="353"/>
      <c r="B288" s="362"/>
      <c r="C288" s="357"/>
      <c r="D288" s="353"/>
      <c r="E288" s="349"/>
      <c r="F288" s="380"/>
      <c r="G288" s="495"/>
    </row>
    <row r="289" spans="1:7" s="142" customFormat="1" ht="14">
      <c r="A289" s="353">
        <v>19.899999999999999</v>
      </c>
      <c r="B289" s="362"/>
      <c r="C289" s="357" t="s">
        <v>649</v>
      </c>
      <c r="D289" s="353" t="s">
        <v>767</v>
      </c>
      <c r="E289" s="349">
        <f>E287</f>
        <v>9</v>
      </c>
      <c r="F289" s="380"/>
      <c r="G289" s="495"/>
    </row>
    <row r="290" spans="1:7" s="142" customFormat="1">
      <c r="A290" s="378"/>
      <c r="B290" s="379"/>
      <c r="C290" s="364"/>
      <c r="D290" s="379"/>
      <c r="E290" s="379"/>
      <c r="F290" s="380"/>
      <c r="G290" s="495">
        <f t="shared" ref="G290:G292" si="1">F290*E290</f>
        <v>0</v>
      </c>
    </row>
    <row r="291" spans="1:7" s="142" customFormat="1" ht="28">
      <c r="A291" s="402">
        <v>19.100000000000001</v>
      </c>
      <c r="B291" s="362"/>
      <c r="C291" s="357" t="s">
        <v>800</v>
      </c>
      <c r="D291" s="353" t="s">
        <v>767</v>
      </c>
      <c r="E291" s="349">
        <f>E289</f>
        <v>9</v>
      </c>
      <c r="F291" s="380"/>
      <c r="G291" s="495"/>
    </row>
    <row r="292" spans="1:7" s="142" customFormat="1">
      <c r="A292" s="378"/>
      <c r="B292" s="379"/>
      <c r="C292" s="364"/>
      <c r="D292" s="379"/>
      <c r="E292" s="379"/>
      <c r="F292" s="380"/>
      <c r="G292" s="495">
        <f t="shared" si="1"/>
        <v>0</v>
      </c>
    </row>
    <row r="293" spans="1:7" s="142" customFormat="1">
      <c r="A293" s="378"/>
      <c r="B293" s="379"/>
      <c r="C293" s="364"/>
      <c r="D293" s="379"/>
      <c r="E293" s="379"/>
      <c r="F293" s="380"/>
      <c r="G293" s="364"/>
    </row>
    <row r="294" spans="1:7" s="142" customFormat="1">
      <c r="A294" s="378"/>
      <c r="B294" s="379"/>
      <c r="C294" s="364"/>
      <c r="D294" s="379"/>
      <c r="E294" s="379"/>
      <c r="F294" s="380"/>
      <c r="G294" s="364"/>
    </row>
    <row r="295" spans="1:7" s="142" customFormat="1">
      <c r="A295" s="378"/>
      <c r="B295" s="379"/>
      <c r="C295" s="364"/>
      <c r="D295" s="379"/>
      <c r="E295" s="379"/>
      <c r="F295" s="380"/>
      <c r="G295" s="364"/>
    </row>
    <row r="296" spans="1:7" s="142" customFormat="1">
      <c r="A296" s="378"/>
      <c r="B296" s="379"/>
      <c r="C296" s="364"/>
      <c r="D296" s="379"/>
      <c r="E296" s="379"/>
      <c r="F296" s="380"/>
      <c r="G296" s="364"/>
    </row>
    <row r="297" spans="1:7" s="142" customFormat="1">
      <c r="A297" s="151"/>
      <c r="B297" s="151"/>
      <c r="C297" s="152"/>
      <c r="D297" s="151"/>
      <c r="E297" s="151"/>
      <c r="F297" s="153"/>
      <c r="G297" s="154"/>
    </row>
    <row r="298" spans="1:7" s="142" customFormat="1">
      <c r="A298" s="145"/>
      <c r="B298" s="145"/>
      <c r="C298" s="155" t="s">
        <v>26</v>
      </c>
      <c r="D298" s="145"/>
      <c r="E298" s="145"/>
      <c r="F298" s="156"/>
      <c r="G298" s="157">
        <f>SUM(G230:G293)</f>
        <v>0</v>
      </c>
    </row>
    <row r="299" spans="1:7" s="142" customFormat="1">
      <c r="A299" s="158"/>
      <c r="B299" s="158"/>
      <c r="C299" s="159"/>
      <c r="D299" s="158"/>
      <c r="E299" s="158"/>
      <c r="F299" s="160"/>
      <c r="G299" s="161"/>
    </row>
    <row r="300" spans="1:7" s="142" customFormat="1">
      <c r="A300" s="119"/>
      <c r="B300" s="119"/>
      <c r="C300" s="119"/>
      <c r="D300" s="119"/>
      <c r="E300" s="119"/>
      <c r="F300" s="120"/>
      <c r="G300" s="120"/>
    </row>
    <row r="301" spans="1:7" s="142" customFormat="1">
      <c r="A301" s="121" t="s">
        <v>0</v>
      </c>
      <c r="B301" s="121" t="s">
        <v>384</v>
      </c>
      <c r="C301" s="121" t="s">
        <v>1</v>
      </c>
      <c r="D301" s="121" t="s">
        <v>10</v>
      </c>
      <c r="E301" s="121" t="s">
        <v>385</v>
      </c>
      <c r="F301" s="122" t="s">
        <v>341</v>
      </c>
      <c r="G301" s="122" t="s">
        <v>13</v>
      </c>
    </row>
    <row r="302" spans="1:7" s="142" customFormat="1">
      <c r="A302" s="123"/>
      <c r="B302" s="123"/>
      <c r="C302" s="123"/>
      <c r="D302" s="123"/>
      <c r="E302" s="123"/>
      <c r="F302" s="124"/>
      <c r="G302" s="124"/>
    </row>
    <row r="303" spans="1:7" s="142" customFormat="1">
      <c r="A303" s="145"/>
      <c r="B303" s="145"/>
      <c r="C303" s="144"/>
      <c r="D303" s="145"/>
      <c r="E303" s="145"/>
      <c r="F303" s="146"/>
      <c r="G303" s="146"/>
    </row>
    <row r="304" spans="1:7" s="142" customFormat="1">
      <c r="A304" s="145"/>
      <c r="B304" s="145"/>
      <c r="C304" s="155" t="s">
        <v>33</v>
      </c>
      <c r="D304" s="145"/>
      <c r="E304" s="145"/>
      <c r="F304" s="146"/>
      <c r="G304" s="157">
        <f>G298</f>
        <v>0</v>
      </c>
    </row>
    <row r="305" spans="1:7" s="142" customFormat="1">
      <c r="A305" s="158"/>
      <c r="B305" s="158"/>
      <c r="C305" s="162"/>
      <c r="D305" s="158"/>
      <c r="E305" s="158"/>
      <c r="F305" s="161"/>
      <c r="G305" s="161"/>
    </row>
    <row r="306" spans="1:7" s="142" customFormat="1">
      <c r="A306" s="378"/>
      <c r="B306" s="379"/>
      <c r="C306" s="364"/>
      <c r="D306" s="379"/>
      <c r="E306" s="379"/>
      <c r="F306" s="380"/>
      <c r="G306" s="364"/>
    </row>
    <row r="307" spans="1:7" s="142" customFormat="1">
      <c r="A307" s="378"/>
      <c r="B307" s="379"/>
      <c r="C307" s="364"/>
      <c r="D307" s="379"/>
      <c r="E307" s="379"/>
      <c r="F307" s="380"/>
      <c r="G307" s="364"/>
    </row>
    <row r="308" spans="1:7" s="142" customFormat="1" ht="28">
      <c r="A308" s="353">
        <v>20</v>
      </c>
      <c r="B308" s="362" t="s">
        <v>650</v>
      </c>
      <c r="C308" s="356" t="s">
        <v>789</v>
      </c>
      <c r="D308" s="353"/>
      <c r="E308" s="349"/>
      <c r="F308" s="302"/>
      <c r="G308" s="364"/>
    </row>
    <row r="309" spans="1:7" s="142" customFormat="1">
      <c r="A309" s="353"/>
      <c r="B309" s="351"/>
      <c r="C309" s="354"/>
      <c r="D309" s="353"/>
      <c r="E309" s="358"/>
      <c r="F309" s="302"/>
      <c r="G309" s="364"/>
    </row>
    <row r="310" spans="1:7" s="142" customFormat="1" ht="14">
      <c r="A310" s="353">
        <v>20.100000000000001</v>
      </c>
      <c r="B310" s="351"/>
      <c r="C310" s="357" t="s">
        <v>654</v>
      </c>
      <c r="D310" s="353" t="s">
        <v>767</v>
      </c>
      <c r="E310" s="349">
        <f>E291</f>
        <v>9</v>
      </c>
      <c r="F310" s="380"/>
      <c r="G310" s="495"/>
    </row>
    <row r="311" spans="1:7" s="142" customFormat="1">
      <c r="A311" s="353"/>
      <c r="B311" s="351"/>
      <c r="C311" s="354"/>
      <c r="D311" s="353"/>
      <c r="E311" s="349"/>
      <c r="F311" s="380"/>
      <c r="G311" s="495"/>
    </row>
    <row r="312" spans="1:7" s="142" customFormat="1" ht="14">
      <c r="A312" s="353">
        <v>20.2</v>
      </c>
      <c r="B312" s="351"/>
      <c r="C312" s="357" t="s">
        <v>656</v>
      </c>
      <c r="D312" s="353" t="s">
        <v>767</v>
      </c>
      <c r="E312" s="358">
        <f>E310</f>
        <v>9</v>
      </c>
      <c r="F312" s="380"/>
      <c r="G312" s="495"/>
    </row>
    <row r="313" spans="1:7" s="142" customFormat="1">
      <c r="A313" s="378"/>
      <c r="B313" s="379"/>
      <c r="C313" s="364"/>
      <c r="D313" s="379"/>
      <c r="E313" s="379"/>
      <c r="F313" s="380"/>
      <c r="G313" s="495"/>
    </row>
    <row r="314" spans="1:7" s="142" customFormat="1" ht="14">
      <c r="A314" s="353">
        <v>20.3</v>
      </c>
      <c r="B314" s="351"/>
      <c r="C314" s="357" t="s">
        <v>659</v>
      </c>
      <c r="D314" s="353" t="s">
        <v>767</v>
      </c>
      <c r="E314" s="358">
        <f>E312</f>
        <v>9</v>
      </c>
      <c r="F314" s="380"/>
      <c r="G314" s="495"/>
    </row>
    <row r="315" spans="1:7" s="142" customFormat="1">
      <c r="A315" s="353"/>
      <c r="B315" s="351"/>
      <c r="C315" s="354"/>
      <c r="D315" s="353"/>
      <c r="E315" s="349"/>
      <c r="F315" s="380"/>
      <c r="G315" s="495"/>
    </row>
    <row r="316" spans="1:7" s="142" customFormat="1" ht="28">
      <c r="A316" s="353">
        <v>21</v>
      </c>
      <c r="B316" s="359" t="s">
        <v>660</v>
      </c>
      <c r="C316" s="357" t="s">
        <v>661</v>
      </c>
      <c r="D316" s="353" t="s">
        <v>767</v>
      </c>
      <c r="E316" s="349">
        <f>E314</f>
        <v>9</v>
      </c>
      <c r="F316" s="380"/>
      <c r="G316" s="495"/>
    </row>
    <row r="317" spans="1:7" s="142" customFormat="1">
      <c r="A317" s="353"/>
      <c r="B317" s="355"/>
      <c r="C317" s="354"/>
      <c r="D317" s="353"/>
      <c r="E317" s="349"/>
      <c r="F317" s="380"/>
      <c r="G317" s="495"/>
    </row>
    <row r="318" spans="1:7" s="142" customFormat="1" ht="14">
      <c r="A318" s="351">
        <v>22</v>
      </c>
      <c r="B318" s="359" t="s">
        <v>718</v>
      </c>
      <c r="C318" s="354" t="s">
        <v>719</v>
      </c>
      <c r="D318" s="353"/>
      <c r="E318" s="349"/>
      <c r="F318" s="380"/>
      <c r="G318" s="495"/>
    </row>
    <row r="319" spans="1:7" s="142" customFormat="1">
      <c r="A319" s="351"/>
      <c r="B319" s="351"/>
      <c r="C319" s="354"/>
      <c r="D319" s="373"/>
      <c r="E319" s="349"/>
      <c r="F319" s="380"/>
      <c r="G319" s="495"/>
    </row>
    <row r="320" spans="1:7" s="142" customFormat="1" ht="28">
      <c r="A320" s="351">
        <v>22.1</v>
      </c>
      <c r="B320" s="351"/>
      <c r="C320" s="356" t="s">
        <v>720</v>
      </c>
      <c r="D320" s="353" t="s">
        <v>767</v>
      </c>
      <c r="E320" s="349">
        <f>E316</f>
        <v>9</v>
      </c>
      <c r="F320" s="380"/>
      <c r="G320" s="495"/>
    </row>
    <row r="321" spans="1:7" s="142" customFormat="1">
      <c r="A321" s="353"/>
      <c r="B321" s="351"/>
      <c r="C321" s="354"/>
      <c r="D321" s="373"/>
      <c r="E321" s="358"/>
      <c r="F321" s="380"/>
      <c r="G321" s="495"/>
    </row>
    <row r="322" spans="1:7" s="142" customFormat="1" ht="14">
      <c r="A322" s="353">
        <v>23</v>
      </c>
      <c r="B322" s="359" t="s">
        <v>721</v>
      </c>
      <c r="C322" s="374" t="s">
        <v>722</v>
      </c>
      <c r="D322" s="373"/>
      <c r="E322" s="358"/>
      <c r="F322" s="380"/>
      <c r="G322" s="495"/>
    </row>
    <row r="323" spans="1:7" s="142" customFormat="1">
      <c r="A323" s="353"/>
      <c r="B323" s="351"/>
      <c r="C323" s="354"/>
      <c r="D323" s="375"/>
      <c r="E323" s="358"/>
      <c r="F323" s="380"/>
      <c r="G323" s="495"/>
    </row>
    <row r="324" spans="1:7" s="142" customFormat="1" ht="14">
      <c r="A324" s="353">
        <v>23.1</v>
      </c>
      <c r="B324" s="351"/>
      <c r="C324" s="356" t="s">
        <v>723</v>
      </c>
      <c r="D324" s="353" t="s">
        <v>767</v>
      </c>
      <c r="E324" s="358">
        <f>E320</f>
        <v>9</v>
      </c>
      <c r="F324" s="380"/>
      <c r="G324" s="495"/>
    </row>
    <row r="325" spans="1:7" s="142" customFormat="1">
      <c r="A325" s="378"/>
      <c r="B325" s="379"/>
      <c r="C325" s="364"/>
      <c r="D325" s="379"/>
      <c r="E325" s="379"/>
      <c r="F325" s="380"/>
      <c r="G325" s="495"/>
    </row>
    <row r="326" spans="1:7" s="142" customFormat="1" ht="28">
      <c r="A326" s="353">
        <v>24</v>
      </c>
      <c r="B326" s="359" t="s">
        <v>747</v>
      </c>
      <c r="C326" s="356" t="s">
        <v>783</v>
      </c>
      <c r="D326" s="353"/>
      <c r="E326" s="358"/>
      <c r="F326" s="380"/>
      <c r="G326" s="495"/>
    </row>
    <row r="327" spans="1:7" s="142" customFormat="1">
      <c r="A327" s="353"/>
      <c r="B327" s="351"/>
      <c r="C327" s="354"/>
      <c r="D327" s="353"/>
      <c r="E327" s="349"/>
      <c r="F327" s="380"/>
      <c r="G327" s="495"/>
    </row>
    <row r="328" spans="1:7" s="142" customFormat="1" ht="14">
      <c r="A328" s="353">
        <v>24.1</v>
      </c>
      <c r="B328" s="351"/>
      <c r="C328" s="357" t="s">
        <v>749</v>
      </c>
      <c r="D328" s="362" t="s">
        <v>767</v>
      </c>
      <c r="E328" s="349">
        <f>E324</f>
        <v>9</v>
      </c>
      <c r="F328" s="380"/>
      <c r="G328" s="495"/>
    </row>
    <row r="329" spans="1:7" s="142" customFormat="1">
      <c r="A329" s="378"/>
      <c r="B329" s="379"/>
      <c r="C329" s="364"/>
      <c r="D329" s="379"/>
      <c r="E329" s="379"/>
      <c r="F329" s="380"/>
      <c r="G329" s="495">
        <f t="shared" ref="G329" si="2">F329*E329</f>
        <v>0</v>
      </c>
    </row>
    <row r="330" spans="1:7" s="142" customFormat="1">
      <c r="A330" s="378"/>
      <c r="B330" s="379"/>
      <c r="C330" s="364"/>
      <c r="D330" s="379"/>
      <c r="E330" s="379"/>
      <c r="F330" s="380"/>
      <c r="G330" s="495"/>
    </row>
    <row r="331" spans="1:7" s="142" customFormat="1">
      <c r="A331" s="378"/>
      <c r="B331" s="379"/>
      <c r="C331" s="364"/>
      <c r="D331" s="379"/>
      <c r="E331" s="379"/>
      <c r="F331" s="380"/>
      <c r="G331" s="495"/>
    </row>
    <row r="332" spans="1:7" s="142" customFormat="1">
      <c r="A332" s="378"/>
      <c r="B332" s="379"/>
      <c r="C332" s="364"/>
      <c r="D332" s="379"/>
      <c r="E332" s="379"/>
      <c r="F332" s="380"/>
      <c r="G332" s="495"/>
    </row>
    <row r="333" spans="1:7" s="142" customFormat="1">
      <c r="A333" s="378"/>
      <c r="B333" s="379"/>
      <c r="C333" s="364"/>
      <c r="D333" s="379"/>
      <c r="E333" s="379"/>
      <c r="F333" s="380"/>
      <c r="G333" s="364"/>
    </row>
    <row r="334" spans="1:7" s="142" customFormat="1">
      <c r="A334" s="378"/>
      <c r="B334" s="379"/>
      <c r="C334" s="364"/>
      <c r="D334" s="379"/>
      <c r="E334" s="379"/>
      <c r="F334" s="380"/>
      <c r="G334" s="364"/>
    </row>
    <row r="335" spans="1:7" s="142" customFormat="1">
      <c r="A335" s="378"/>
      <c r="B335" s="379"/>
      <c r="C335" s="364"/>
      <c r="D335" s="379"/>
      <c r="E335" s="379"/>
      <c r="F335" s="380"/>
      <c r="G335" s="364"/>
    </row>
    <row r="336" spans="1:7" s="142" customFormat="1">
      <c r="A336" s="378"/>
      <c r="B336" s="379"/>
      <c r="C336" s="364"/>
      <c r="D336" s="379"/>
      <c r="E336" s="379"/>
      <c r="F336" s="380"/>
      <c r="G336" s="364"/>
    </row>
    <row r="337" spans="1:7" s="142" customFormat="1">
      <c r="A337" s="378"/>
      <c r="B337" s="379"/>
      <c r="C337" s="364"/>
      <c r="D337" s="379"/>
      <c r="E337" s="379"/>
      <c r="F337" s="380"/>
      <c r="G337" s="364"/>
    </row>
    <row r="338" spans="1:7" s="142" customFormat="1">
      <c r="A338" s="378"/>
      <c r="B338" s="379"/>
      <c r="C338" s="364"/>
      <c r="D338" s="379"/>
      <c r="E338" s="379"/>
      <c r="F338" s="380"/>
      <c r="G338" s="364"/>
    </row>
    <row r="339" spans="1:7" s="142" customFormat="1">
      <c r="A339" s="378"/>
      <c r="B339" s="379"/>
      <c r="C339" s="364"/>
      <c r="D339" s="379"/>
      <c r="E339" s="379"/>
      <c r="F339" s="380"/>
      <c r="G339" s="364"/>
    </row>
    <row r="340" spans="1:7" s="142" customFormat="1">
      <c r="A340" s="378"/>
      <c r="B340" s="379"/>
      <c r="C340" s="364"/>
      <c r="D340" s="379"/>
      <c r="E340" s="379"/>
      <c r="F340" s="380"/>
      <c r="G340" s="364"/>
    </row>
    <row r="341" spans="1:7" s="142" customFormat="1">
      <c r="A341" s="378"/>
      <c r="B341" s="379"/>
      <c r="C341" s="364"/>
      <c r="D341" s="379"/>
      <c r="E341" s="379"/>
      <c r="F341" s="380"/>
      <c r="G341" s="364"/>
    </row>
    <row r="342" spans="1:7" s="142" customFormat="1">
      <c r="A342" s="378"/>
      <c r="B342" s="379"/>
      <c r="C342" s="364"/>
      <c r="D342" s="379"/>
      <c r="E342" s="379"/>
      <c r="F342" s="380"/>
      <c r="G342" s="364"/>
    </row>
    <row r="343" spans="1:7" s="142" customFormat="1">
      <c r="A343" s="378"/>
      <c r="B343" s="379"/>
      <c r="C343" s="364"/>
      <c r="D343" s="379"/>
      <c r="E343" s="379"/>
      <c r="F343" s="380"/>
      <c r="G343" s="364"/>
    </row>
    <row r="344" spans="1:7" s="142" customFormat="1">
      <c r="A344" s="378"/>
      <c r="B344" s="379"/>
      <c r="C344" s="364"/>
      <c r="D344" s="379"/>
      <c r="E344" s="379"/>
      <c r="F344" s="380"/>
      <c r="G344" s="364"/>
    </row>
    <row r="345" spans="1:7" s="142" customFormat="1">
      <c r="A345" s="378"/>
      <c r="B345" s="379"/>
      <c r="C345" s="364"/>
      <c r="D345" s="379"/>
      <c r="E345" s="379"/>
      <c r="F345" s="380"/>
      <c r="G345" s="364"/>
    </row>
    <row r="346" spans="1:7" s="142" customFormat="1">
      <c r="A346" s="378"/>
      <c r="B346" s="379"/>
      <c r="C346" s="364"/>
      <c r="D346" s="379"/>
      <c r="E346" s="379"/>
      <c r="F346" s="380"/>
      <c r="G346" s="364"/>
    </row>
    <row r="347" spans="1:7" s="142" customFormat="1">
      <c r="A347" s="378"/>
      <c r="B347" s="379"/>
      <c r="C347" s="364"/>
      <c r="D347" s="379"/>
      <c r="E347" s="379"/>
      <c r="F347" s="380"/>
      <c r="G347" s="364"/>
    </row>
    <row r="348" spans="1:7" s="142" customFormat="1">
      <c r="A348" s="378"/>
      <c r="B348" s="379"/>
      <c r="C348" s="364"/>
      <c r="D348" s="379"/>
      <c r="E348" s="379"/>
      <c r="F348" s="380"/>
      <c r="G348" s="364"/>
    </row>
    <row r="349" spans="1:7" s="142" customFormat="1">
      <c r="A349" s="378"/>
      <c r="B349" s="379"/>
      <c r="C349" s="364"/>
      <c r="D349" s="379"/>
      <c r="E349" s="379"/>
      <c r="F349" s="380"/>
      <c r="G349" s="364"/>
    </row>
    <row r="350" spans="1:7" s="142" customFormat="1">
      <c r="A350" s="378"/>
      <c r="B350" s="379"/>
      <c r="C350" s="364"/>
      <c r="D350" s="379"/>
      <c r="E350" s="379"/>
      <c r="F350" s="380"/>
      <c r="G350" s="364"/>
    </row>
    <row r="351" spans="1:7" s="142" customFormat="1">
      <c r="A351" s="128"/>
      <c r="B351" s="166"/>
      <c r="C351" s="131"/>
      <c r="D351" s="166"/>
      <c r="E351" s="166"/>
      <c r="F351" s="143"/>
      <c r="G351" s="131"/>
    </row>
    <row r="352" spans="1:7" s="142" customFormat="1">
      <c r="A352" s="128"/>
      <c r="B352" s="166"/>
      <c r="C352" s="138"/>
      <c r="D352" s="166"/>
      <c r="E352" s="166"/>
      <c r="F352" s="143"/>
      <c r="G352" s="133"/>
    </row>
    <row r="353" spans="1:8" s="142" customFormat="1">
      <c r="A353" s="128"/>
      <c r="B353" s="166"/>
      <c r="C353" s="131"/>
      <c r="D353" s="166"/>
      <c r="E353" s="166"/>
      <c r="F353" s="167"/>
      <c r="G353" s="133"/>
    </row>
    <row r="354" spans="1:8" s="142" customFormat="1">
      <c r="A354" s="128"/>
      <c r="B354" s="166"/>
      <c r="C354" s="131"/>
      <c r="D354" s="166"/>
      <c r="E354" s="166"/>
      <c r="F354" s="143"/>
      <c r="G354" s="133"/>
    </row>
    <row r="355" spans="1:8" s="142" customFormat="1">
      <c r="A355" s="128"/>
      <c r="B355" s="166"/>
      <c r="C355" s="131"/>
      <c r="D355" s="166"/>
      <c r="E355" s="166"/>
      <c r="F355" s="167"/>
      <c r="G355" s="131"/>
    </row>
    <row r="356" spans="1:8" s="142" customFormat="1">
      <c r="A356" s="132"/>
      <c r="B356" s="132"/>
      <c r="C356" s="131"/>
      <c r="D356" s="132"/>
      <c r="E356" s="163"/>
      <c r="F356" s="133"/>
      <c r="G356" s="133"/>
    </row>
    <row r="357" spans="1:8" s="142" customFormat="1">
      <c r="A357" s="151"/>
      <c r="B357" s="151"/>
      <c r="C357" s="152"/>
      <c r="D357" s="151"/>
      <c r="E357" s="151"/>
      <c r="F357" s="154"/>
      <c r="G357" s="154"/>
    </row>
    <row r="358" spans="1:8" s="142" customFormat="1">
      <c r="A358" s="121"/>
      <c r="B358" s="125" t="s">
        <v>418</v>
      </c>
      <c r="C358" s="155" t="s">
        <v>54</v>
      </c>
      <c r="D358" s="145"/>
      <c r="E358" s="145"/>
      <c r="F358" s="146"/>
      <c r="G358" s="157"/>
    </row>
    <row r="359" spans="1:8" s="142" customFormat="1">
      <c r="A359" s="158"/>
      <c r="B359" s="158"/>
      <c r="C359" s="162"/>
      <c r="D359" s="158"/>
      <c r="E359" s="158"/>
      <c r="F359" s="161"/>
      <c r="G359" s="161"/>
    </row>
    <row r="360" spans="1:8" s="142" customFormat="1"/>
    <row r="361" spans="1:8" s="142" customFormat="1"/>
    <row r="362" spans="1:8" s="142" customFormat="1">
      <c r="A362" s="118"/>
      <c r="B362" s="118"/>
      <c r="C362" s="118"/>
      <c r="D362" s="118"/>
      <c r="E362" s="118"/>
      <c r="F362" s="118"/>
      <c r="G362" s="118"/>
      <c r="H362" s="118"/>
    </row>
    <row r="363" spans="1:8" s="142" customFormat="1">
      <c r="A363" s="118"/>
      <c r="B363" s="118"/>
      <c r="C363" s="118"/>
      <c r="D363" s="118"/>
      <c r="E363" s="118"/>
      <c r="F363" s="118"/>
      <c r="G363" s="118"/>
      <c r="H363" s="118"/>
    </row>
    <row r="364" spans="1:8" s="142" customFormat="1">
      <c r="A364" s="118"/>
      <c r="B364" s="118"/>
      <c r="C364" s="118"/>
      <c r="D364" s="118"/>
      <c r="E364" s="118"/>
      <c r="F364" s="118"/>
      <c r="G364" s="118"/>
      <c r="H364" s="118"/>
    </row>
    <row r="365" spans="1:8" s="142" customFormat="1">
      <c r="A365" s="118"/>
      <c r="B365" s="118"/>
      <c r="C365" s="118"/>
      <c r="D365" s="118"/>
      <c r="E365" s="118"/>
      <c r="F365" s="118"/>
      <c r="G365" s="118"/>
      <c r="H365" s="118"/>
    </row>
    <row r="366" spans="1:8">
      <c r="D366" s="118"/>
      <c r="E366" s="118"/>
      <c r="F366" s="118"/>
      <c r="G366" s="118"/>
    </row>
    <row r="367" spans="1:8">
      <c r="D367" s="118"/>
      <c r="E367" s="118"/>
      <c r="F367" s="118"/>
      <c r="G367" s="118"/>
    </row>
    <row r="368" spans="1:8">
      <c r="D368" s="118"/>
      <c r="E368" s="118"/>
      <c r="F368" s="118"/>
      <c r="G368" s="118"/>
    </row>
    <row r="369" s="118" customFormat="1"/>
    <row r="370" s="118" customFormat="1"/>
    <row r="371" s="118" customFormat="1"/>
    <row r="372" s="118" customFormat="1"/>
    <row r="373" s="118" customFormat="1"/>
    <row r="374" s="118" customFormat="1"/>
    <row r="375" s="118" customFormat="1"/>
    <row r="376" s="118" customFormat="1"/>
    <row r="377" s="118" customFormat="1"/>
    <row r="378" s="118" customFormat="1"/>
    <row r="379" s="118" customFormat="1"/>
    <row r="380" s="118" customFormat="1"/>
    <row r="381" s="118" customFormat="1"/>
    <row r="382" s="118" customFormat="1"/>
    <row r="383" s="118" customFormat="1"/>
    <row r="384" s="118" customFormat="1"/>
    <row r="385" spans="1:8">
      <c r="D385" s="118"/>
      <c r="E385" s="118"/>
      <c r="F385" s="118"/>
      <c r="G385" s="118"/>
    </row>
    <row r="386" spans="1:8">
      <c r="D386" s="118"/>
      <c r="E386" s="118"/>
      <c r="F386" s="118"/>
      <c r="G386" s="118"/>
    </row>
    <row r="387" spans="1:8">
      <c r="D387" s="118"/>
      <c r="E387" s="118"/>
      <c r="F387" s="118"/>
      <c r="G387" s="118"/>
    </row>
    <row r="388" spans="1:8">
      <c r="D388" s="118"/>
      <c r="E388" s="118"/>
      <c r="F388" s="118"/>
      <c r="G388" s="118"/>
    </row>
    <row r="389" spans="1:8">
      <c r="D389" s="118"/>
      <c r="E389" s="118"/>
      <c r="F389" s="118"/>
      <c r="G389" s="118"/>
    </row>
    <row r="390" spans="1:8">
      <c r="D390" s="118"/>
      <c r="E390" s="118"/>
      <c r="F390" s="118"/>
      <c r="G390" s="118"/>
    </row>
    <row r="391" spans="1:8">
      <c r="D391" s="118"/>
      <c r="E391" s="118"/>
      <c r="F391" s="118"/>
      <c r="G391" s="118"/>
    </row>
    <row r="392" spans="1:8">
      <c r="D392" s="118"/>
      <c r="E392" s="118"/>
      <c r="F392" s="118"/>
      <c r="G392" s="118"/>
    </row>
    <row r="393" spans="1:8">
      <c r="D393" s="118"/>
      <c r="E393" s="118"/>
      <c r="F393" s="118"/>
      <c r="G393" s="118"/>
    </row>
    <row r="394" spans="1:8">
      <c r="D394" s="118"/>
      <c r="E394" s="118"/>
      <c r="F394" s="118"/>
      <c r="G394" s="118"/>
    </row>
    <row r="395" spans="1:8">
      <c r="D395" s="118"/>
      <c r="E395" s="118"/>
      <c r="F395" s="118"/>
      <c r="G395" s="118"/>
    </row>
    <row r="396" spans="1:8" s="142" customFormat="1">
      <c r="A396" s="118"/>
      <c r="B396" s="118"/>
      <c r="C396" s="118"/>
      <c r="D396" s="118"/>
      <c r="E396" s="118"/>
      <c r="F396" s="118"/>
      <c r="G396" s="118"/>
      <c r="H396" s="118"/>
    </row>
    <row r="397" spans="1:8">
      <c r="D397" s="118"/>
      <c r="E397" s="118"/>
      <c r="F397" s="118"/>
      <c r="G397" s="118"/>
    </row>
    <row r="398" spans="1:8">
      <c r="D398" s="118"/>
      <c r="E398" s="118"/>
      <c r="F398" s="118"/>
      <c r="G398" s="118"/>
    </row>
    <row r="399" spans="1:8">
      <c r="D399" s="118"/>
      <c r="E399" s="118"/>
      <c r="F399" s="118"/>
      <c r="G399" s="118"/>
    </row>
    <row r="400" spans="1:8" ht="29.25" customHeight="1">
      <c r="D400" s="118"/>
      <c r="E400" s="118"/>
      <c r="F400" s="118"/>
      <c r="G400" s="118"/>
    </row>
    <row r="401" s="118" customFormat="1" ht="24.5" customHeight="1"/>
    <row r="402" s="118" customFormat="1" ht="24.5" customHeight="1"/>
    <row r="403" s="118" customFormat="1" ht="24.5" customHeight="1"/>
    <row r="404" s="118" customFormat="1" ht="24.5" customHeight="1"/>
    <row r="405" s="118" customFormat="1" ht="24.5" customHeight="1"/>
    <row r="406" s="118" customFormat="1" ht="24.5" customHeight="1"/>
    <row r="407" s="118" customFormat="1" ht="24.5" customHeight="1"/>
    <row r="408" s="118" customFormat="1" ht="24.5" customHeight="1"/>
    <row r="409" s="118" customFormat="1" ht="24.5" customHeight="1"/>
    <row r="410" s="118" customFormat="1" ht="24.5" customHeight="1"/>
    <row r="411" s="118" customFormat="1" ht="24.5" customHeight="1"/>
    <row r="412" s="118" customFormat="1" ht="24.5" customHeight="1"/>
    <row r="413" s="118" customFormat="1" ht="24.5" customHeight="1"/>
    <row r="414" s="118" customFormat="1" ht="24.5" customHeight="1"/>
    <row r="415" s="118" customFormat="1" ht="24.5" customHeight="1"/>
    <row r="416" s="118" customFormat="1"/>
    <row r="417" s="118" customFormat="1"/>
    <row r="418" s="118" customFormat="1"/>
    <row r="419" s="118" customFormat="1"/>
    <row r="420" s="118" customFormat="1"/>
    <row r="421" s="118" customFormat="1"/>
    <row r="422" s="118" customFormat="1"/>
    <row r="423" s="118" customFormat="1"/>
  </sheetData>
  <pageMargins left="0.59055118110236227" right="0.31496062992125984" top="0.78740157480314965" bottom="0.74803149606299213" header="0.59055118110236227" footer="0.39370078740157483"/>
  <pageSetup paperSize="9" scale="67" firstPageNumber="117" orientation="portrait" useFirstPageNumber="1" r:id="rId1"/>
  <headerFooter>
    <oddHeader>&amp;C&amp;"Arial,Bold"BURGERSFORT WWTW UPGRADE - OCCUPATIONAL HEALTH AND SAFETY COMPLIANCE</oddHeader>
    <oddFooter>&amp;L&amp;"Arial,Regular"Bill of Quantities&amp;CPage &amp;P&amp;R&amp;"Arial,Regular"Burgersfort  WWTW</oddFooter>
  </headerFooter>
  <rowBreaks count="5" manualBreakCount="5">
    <brk id="75" max="6" man="1"/>
    <brk id="149" max="6" man="1"/>
    <brk id="225" max="6" man="1"/>
    <brk id="299" max="6" man="1"/>
    <brk id="359"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6"/>
  <sheetViews>
    <sheetView view="pageBreakPreview" topLeftCell="A259" zoomScale="106" zoomScaleNormal="100" zoomScaleSheetLayoutView="106" workbookViewId="0">
      <selection sqref="A1:D3"/>
    </sheetView>
  </sheetViews>
  <sheetFormatPr baseColWidth="10" defaultColWidth="9.1640625" defaultRowHeight="13"/>
  <cols>
    <col min="1" max="1" width="9.6640625" style="279" customWidth="1"/>
    <col min="2" max="2" width="13.5" style="307" customWidth="1"/>
    <col min="3" max="3" width="37.6640625" style="336" customWidth="1"/>
    <col min="4" max="4" width="8.83203125" style="279" customWidth="1"/>
    <col min="5" max="5" width="10.6640625" style="280" customWidth="1"/>
    <col min="6" max="7" width="16.1640625" style="281" customWidth="1"/>
    <col min="8" max="16384" width="9.1640625" style="282"/>
  </cols>
  <sheetData>
    <row r="1" spans="1:7">
      <c r="A1" s="278" t="s">
        <v>595</v>
      </c>
      <c r="B1" s="528" t="s">
        <v>596</v>
      </c>
      <c r="C1" s="528"/>
    </row>
    <row r="2" spans="1:7">
      <c r="A2" s="278" t="s">
        <v>597</v>
      </c>
      <c r="B2" s="283"/>
      <c r="C2" s="284"/>
    </row>
    <row r="3" spans="1:7">
      <c r="A3" s="278" t="s">
        <v>598</v>
      </c>
      <c r="B3" s="283"/>
      <c r="C3" s="284"/>
    </row>
    <row r="4" spans="1:7">
      <c r="A4" s="529"/>
      <c r="B4" s="529"/>
      <c r="C4" s="285"/>
      <c r="D4" s="286"/>
      <c r="E4" s="287"/>
      <c r="F4" s="286"/>
      <c r="G4" s="286"/>
    </row>
    <row r="5" spans="1:7">
      <c r="A5" s="530" t="s">
        <v>599</v>
      </c>
      <c r="B5" s="530" t="s">
        <v>600</v>
      </c>
      <c r="C5" s="530" t="s">
        <v>1</v>
      </c>
      <c r="D5" s="530" t="s">
        <v>10</v>
      </c>
      <c r="E5" s="522" t="s">
        <v>601</v>
      </c>
      <c r="F5" s="523"/>
      <c r="G5" s="524"/>
    </row>
    <row r="6" spans="1:7">
      <c r="A6" s="531"/>
      <c r="B6" s="531"/>
      <c r="C6" s="531"/>
      <c r="D6" s="531"/>
      <c r="E6" s="288" t="s">
        <v>11</v>
      </c>
      <c r="F6" s="289" t="s">
        <v>12</v>
      </c>
      <c r="G6" s="289" t="s">
        <v>13</v>
      </c>
    </row>
    <row r="7" spans="1:7">
      <c r="A7" s="290"/>
      <c r="B7" s="291"/>
      <c r="C7" s="292"/>
      <c r="D7" s="290"/>
      <c r="E7" s="293"/>
      <c r="F7" s="294"/>
      <c r="G7" s="294"/>
    </row>
    <row r="8" spans="1:7">
      <c r="A8" s="290"/>
      <c r="B8" s="295"/>
      <c r="C8" s="296" t="s">
        <v>602</v>
      </c>
      <c r="D8" s="290"/>
      <c r="E8" s="293"/>
      <c r="F8" s="294"/>
      <c r="G8" s="294"/>
    </row>
    <row r="9" spans="1:7">
      <c r="A9" s="290"/>
      <c r="B9" s="291"/>
      <c r="C9" s="296"/>
      <c r="D9" s="290"/>
      <c r="E9" s="293"/>
      <c r="F9" s="294"/>
      <c r="G9" s="294"/>
    </row>
    <row r="10" spans="1:7">
      <c r="A10" s="290"/>
      <c r="B10" s="291"/>
      <c r="C10" s="296" t="s">
        <v>603</v>
      </c>
      <c r="D10" s="290"/>
      <c r="E10" s="293"/>
      <c r="F10" s="294"/>
      <c r="G10" s="294"/>
    </row>
    <row r="11" spans="1:7">
      <c r="A11" s="290"/>
      <c r="B11" s="291"/>
      <c r="C11" s="296"/>
      <c r="D11" s="290"/>
      <c r="E11" s="293"/>
      <c r="F11" s="294"/>
      <c r="G11" s="294"/>
    </row>
    <row r="12" spans="1:7" ht="26">
      <c r="A12" s="290">
        <v>1</v>
      </c>
      <c r="B12" s="297" t="s">
        <v>604</v>
      </c>
      <c r="C12" s="298" t="s">
        <v>605</v>
      </c>
      <c r="D12" s="290" t="s">
        <v>3</v>
      </c>
      <c r="E12" s="293">
        <v>1</v>
      </c>
      <c r="F12" s="294"/>
      <c r="G12" s="294"/>
    </row>
    <row r="13" spans="1:7">
      <c r="A13" s="299"/>
      <c r="B13" s="291"/>
      <c r="C13" s="296"/>
      <c r="D13" s="290"/>
      <c r="E13" s="293"/>
      <c r="F13" s="294"/>
      <c r="G13" s="294"/>
    </row>
    <row r="14" spans="1:7" ht="26">
      <c r="A14" s="290">
        <v>2</v>
      </c>
      <c r="B14" s="297" t="s">
        <v>606</v>
      </c>
      <c r="C14" s="298" t="s">
        <v>607</v>
      </c>
      <c r="D14" s="290" t="s">
        <v>3</v>
      </c>
      <c r="E14" s="300">
        <v>1</v>
      </c>
      <c r="F14" s="294"/>
      <c r="G14" s="294"/>
    </row>
    <row r="15" spans="1:7">
      <c r="A15" s="290"/>
      <c r="B15" s="291"/>
      <c r="C15" s="296"/>
      <c r="D15" s="290"/>
      <c r="E15" s="300"/>
      <c r="F15" s="294"/>
      <c r="G15" s="294"/>
    </row>
    <row r="16" spans="1:7" ht="26">
      <c r="A16" s="290">
        <v>3</v>
      </c>
      <c r="B16" s="297" t="s">
        <v>608</v>
      </c>
      <c r="C16" s="301" t="s">
        <v>609</v>
      </c>
      <c r="D16" s="290" t="s">
        <v>3</v>
      </c>
      <c r="E16" s="300">
        <v>1</v>
      </c>
      <c r="F16" s="302"/>
      <c r="G16" s="294"/>
    </row>
    <row r="17" spans="1:7">
      <c r="A17" s="290"/>
      <c r="B17" s="291"/>
      <c r="C17" s="296"/>
      <c r="D17" s="290"/>
      <c r="E17" s="293"/>
      <c r="F17" s="294"/>
      <c r="G17" s="294"/>
    </row>
    <row r="18" spans="1:7">
      <c r="A18" s="290">
        <v>4</v>
      </c>
      <c r="B18" s="291"/>
      <c r="C18" s="303" t="s">
        <v>610</v>
      </c>
      <c r="D18" s="290"/>
      <c r="E18" s="300"/>
      <c r="F18" s="294"/>
      <c r="G18" s="294"/>
    </row>
    <row r="19" spans="1:7">
      <c r="A19" s="290"/>
      <c r="B19" s="291"/>
      <c r="C19" s="296"/>
      <c r="D19" s="290"/>
      <c r="E19" s="300"/>
      <c r="F19" s="294"/>
      <c r="G19" s="294"/>
    </row>
    <row r="20" spans="1:7">
      <c r="A20" s="290">
        <v>4.0999999999999996</v>
      </c>
      <c r="B20" s="295"/>
      <c r="C20" s="298" t="s">
        <v>611</v>
      </c>
      <c r="D20" s="290" t="s">
        <v>3</v>
      </c>
      <c r="E20" s="300">
        <v>1</v>
      </c>
      <c r="F20" s="294"/>
      <c r="G20" s="294"/>
    </row>
    <row r="21" spans="1:7">
      <c r="A21" s="290"/>
      <c r="B21" s="295"/>
      <c r="C21" s="296"/>
      <c r="D21" s="290"/>
      <c r="E21" s="300"/>
      <c r="F21" s="294"/>
      <c r="G21" s="294"/>
    </row>
    <row r="22" spans="1:7">
      <c r="A22" s="290">
        <v>4.2</v>
      </c>
      <c r="B22" s="291"/>
      <c r="C22" s="301" t="s">
        <v>612</v>
      </c>
      <c r="D22" s="290" t="s">
        <v>3</v>
      </c>
      <c r="E22" s="300">
        <v>1</v>
      </c>
      <c r="F22" s="294"/>
      <c r="G22" s="294"/>
    </row>
    <row r="23" spans="1:7">
      <c r="A23" s="290"/>
      <c r="B23" s="291"/>
      <c r="C23" s="296"/>
      <c r="D23" s="290"/>
      <c r="E23" s="300"/>
      <c r="F23" s="294"/>
      <c r="G23" s="294"/>
    </row>
    <row r="24" spans="1:7">
      <c r="A24" s="290">
        <v>4.3</v>
      </c>
      <c r="B24" s="291"/>
      <c r="C24" s="301" t="s">
        <v>613</v>
      </c>
      <c r="D24" s="290" t="s">
        <v>3</v>
      </c>
      <c r="E24" s="300">
        <v>1</v>
      </c>
      <c r="F24" s="302"/>
      <c r="G24" s="294"/>
    </row>
    <row r="25" spans="1:7">
      <c r="A25" s="290"/>
      <c r="B25" s="291"/>
      <c r="C25" s="296"/>
      <c r="D25" s="290"/>
      <c r="E25" s="293"/>
      <c r="F25" s="302"/>
      <c r="G25" s="294"/>
    </row>
    <row r="26" spans="1:7" ht="26">
      <c r="A26" s="290">
        <v>4.4000000000000004</v>
      </c>
      <c r="B26" s="291" t="s">
        <v>614</v>
      </c>
      <c r="C26" s="301" t="s">
        <v>615</v>
      </c>
      <c r="D26" s="290" t="s">
        <v>429</v>
      </c>
      <c r="E26" s="300">
        <v>3</v>
      </c>
      <c r="F26" s="302"/>
      <c r="G26" s="294"/>
    </row>
    <row r="27" spans="1:7">
      <c r="A27" s="290"/>
      <c r="B27" s="291"/>
      <c r="C27" s="296"/>
      <c r="D27" s="290"/>
      <c r="E27" s="293"/>
      <c r="F27" s="302"/>
      <c r="G27" s="294"/>
    </row>
    <row r="28" spans="1:7" ht="26">
      <c r="A28" s="290">
        <v>4.5</v>
      </c>
      <c r="B28" s="297" t="s">
        <v>616</v>
      </c>
      <c r="C28" s="298" t="s">
        <v>617</v>
      </c>
      <c r="D28" s="290" t="s">
        <v>429</v>
      </c>
      <c r="E28" s="300">
        <v>10</v>
      </c>
      <c r="F28" s="302"/>
      <c r="G28" s="294"/>
    </row>
    <row r="29" spans="1:7">
      <c r="A29" s="290"/>
      <c r="B29" s="291"/>
      <c r="C29" s="296"/>
      <c r="D29" s="290"/>
      <c r="E29" s="300"/>
      <c r="F29" s="302"/>
      <c r="G29" s="294"/>
    </row>
    <row r="30" spans="1:7" ht="26">
      <c r="A30" s="290">
        <v>4.5999999999999996</v>
      </c>
      <c r="B30" s="291" t="s">
        <v>618</v>
      </c>
      <c r="C30" s="301" t="s">
        <v>619</v>
      </c>
      <c r="D30" s="290" t="s">
        <v>429</v>
      </c>
      <c r="E30" s="304">
        <v>6</v>
      </c>
      <c r="F30" s="305"/>
      <c r="G30" s="294"/>
    </row>
    <row r="31" spans="1:7">
      <c r="A31" s="290"/>
      <c r="B31" s="291"/>
      <c r="C31" s="296"/>
      <c r="D31" s="290"/>
      <c r="E31" s="293"/>
      <c r="F31" s="294"/>
      <c r="G31" s="294"/>
    </row>
    <row r="32" spans="1:7">
      <c r="A32" s="290">
        <v>4.7</v>
      </c>
      <c r="B32" s="291" t="s">
        <v>620</v>
      </c>
      <c r="C32" s="301" t="s">
        <v>621</v>
      </c>
      <c r="D32" s="290" t="s">
        <v>429</v>
      </c>
      <c r="E32" s="293">
        <v>4</v>
      </c>
      <c r="F32" s="294"/>
      <c r="G32" s="294"/>
    </row>
    <row r="33" spans="1:7">
      <c r="A33" s="290"/>
      <c r="B33" s="291"/>
      <c r="C33" s="296"/>
      <c r="D33" s="290"/>
      <c r="E33" s="293"/>
      <c r="F33" s="294"/>
      <c r="G33" s="294"/>
    </row>
    <row r="34" spans="1:7" ht="26">
      <c r="A34" s="290">
        <v>4.8</v>
      </c>
      <c r="B34" s="291" t="s">
        <v>622</v>
      </c>
      <c r="C34" s="301" t="s">
        <v>623</v>
      </c>
      <c r="D34" s="290" t="s">
        <v>429</v>
      </c>
      <c r="E34" s="300">
        <v>1</v>
      </c>
      <c r="F34" s="294"/>
      <c r="G34" s="294"/>
    </row>
    <row r="35" spans="1:7">
      <c r="A35" s="290"/>
      <c r="B35" s="291"/>
      <c r="C35" s="296"/>
      <c r="D35" s="290"/>
      <c r="E35" s="293"/>
      <c r="F35" s="294"/>
      <c r="G35" s="294"/>
    </row>
    <row r="36" spans="1:7">
      <c r="A36" s="290"/>
      <c r="B36" s="291" t="s">
        <v>622</v>
      </c>
      <c r="C36" s="298" t="s">
        <v>624</v>
      </c>
      <c r="D36" s="290" t="s">
        <v>429</v>
      </c>
      <c r="E36" s="300">
        <v>5</v>
      </c>
      <c r="F36" s="302"/>
      <c r="G36" s="294"/>
    </row>
    <row r="37" spans="1:7">
      <c r="A37" s="290"/>
      <c r="B37" s="291"/>
      <c r="C37" s="296"/>
      <c r="D37" s="290"/>
      <c r="E37" s="300"/>
      <c r="F37" s="302"/>
      <c r="G37" s="294"/>
    </row>
    <row r="38" spans="1:7" ht="26">
      <c r="A38" s="290">
        <v>4.2</v>
      </c>
      <c r="B38" s="297" t="s">
        <v>625</v>
      </c>
      <c r="C38" s="296" t="s">
        <v>626</v>
      </c>
      <c r="D38" s="290"/>
      <c r="E38" s="300"/>
      <c r="F38" s="302"/>
      <c r="G38" s="294"/>
    </row>
    <row r="39" spans="1:7">
      <c r="A39" s="290"/>
      <c r="B39" s="291"/>
      <c r="C39" s="296"/>
      <c r="D39" s="290"/>
      <c r="E39" s="300"/>
      <c r="F39" s="302"/>
      <c r="G39" s="294"/>
    </row>
    <row r="40" spans="1:7">
      <c r="A40" s="290" t="s">
        <v>627</v>
      </c>
      <c r="B40" s="291"/>
      <c r="C40" s="298" t="s">
        <v>628</v>
      </c>
      <c r="D40" s="290" t="s">
        <v>629</v>
      </c>
      <c r="E40" s="300">
        <v>200</v>
      </c>
      <c r="F40" s="302"/>
      <c r="G40" s="294"/>
    </row>
    <row r="41" spans="1:7">
      <c r="A41" s="290"/>
      <c r="B41" s="291"/>
      <c r="C41" s="296"/>
      <c r="D41" s="290"/>
      <c r="E41" s="300"/>
      <c r="F41" s="302"/>
      <c r="G41" s="294"/>
    </row>
    <row r="42" spans="1:7">
      <c r="A42" s="290" t="s">
        <v>630</v>
      </c>
      <c r="B42" s="291"/>
      <c r="C42" s="301" t="s">
        <v>631</v>
      </c>
      <c r="D42" s="290" t="s">
        <v>629</v>
      </c>
      <c r="E42" s="300">
        <v>200</v>
      </c>
      <c r="F42" s="302"/>
      <c r="G42" s="294"/>
    </row>
    <row r="43" spans="1:7">
      <c r="A43" s="290"/>
      <c r="B43" s="291"/>
      <c r="C43" s="296"/>
      <c r="D43" s="290"/>
      <c r="E43" s="300"/>
      <c r="F43" s="302"/>
      <c r="G43" s="294"/>
    </row>
    <row r="44" spans="1:7">
      <c r="A44" s="290" t="s">
        <v>632</v>
      </c>
      <c r="B44" s="291"/>
      <c r="C44" s="306" t="s">
        <v>633</v>
      </c>
      <c r="D44" s="290"/>
      <c r="E44" s="300"/>
      <c r="F44" s="302"/>
      <c r="G44" s="294"/>
    </row>
    <row r="45" spans="1:7">
      <c r="A45" s="290"/>
      <c r="B45" s="291"/>
      <c r="C45" s="296"/>
      <c r="D45" s="290"/>
      <c r="E45" s="300"/>
      <c r="F45" s="302"/>
      <c r="G45" s="294"/>
    </row>
    <row r="46" spans="1:7">
      <c r="A46" s="290" t="s">
        <v>634</v>
      </c>
      <c r="B46" s="291"/>
      <c r="C46" s="301" t="s">
        <v>635</v>
      </c>
      <c r="D46" s="290" t="s">
        <v>429</v>
      </c>
      <c r="E46" s="300">
        <v>80</v>
      </c>
      <c r="F46" s="302"/>
      <c r="G46" s="294"/>
    </row>
    <row r="47" spans="1:7">
      <c r="A47" s="290"/>
      <c r="B47" s="291"/>
      <c r="C47" s="296"/>
      <c r="D47" s="290"/>
      <c r="E47" s="300"/>
      <c r="F47" s="302"/>
      <c r="G47" s="294"/>
    </row>
    <row r="48" spans="1:7">
      <c r="A48" s="290" t="s">
        <v>636</v>
      </c>
      <c r="B48" s="291"/>
      <c r="C48" s="301" t="s">
        <v>637</v>
      </c>
      <c r="D48" s="290" t="s">
        <v>429</v>
      </c>
      <c r="E48" s="300">
        <v>200</v>
      </c>
      <c r="F48" s="302"/>
      <c r="G48" s="294"/>
    </row>
    <row r="49" spans="1:7">
      <c r="A49" s="290"/>
      <c r="B49" s="291"/>
      <c r="C49" s="296"/>
      <c r="D49" s="290"/>
      <c r="E49" s="293"/>
      <c r="F49" s="302"/>
      <c r="G49" s="294"/>
    </row>
    <row r="50" spans="1:7">
      <c r="A50" s="290" t="s">
        <v>638</v>
      </c>
      <c r="B50" s="291"/>
      <c r="C50" s="298" t="s">
        <v>639</v>
      </c>
      <c r="D50" s="290" t="s">
        <v>429</v>
      </c>
      <c r="E50" s="300">
        <v>140</v>
      </c>
      <c r="F50" s="302"/>
      <c r="G50" s="294"/>
    </row>
    <row r="51" spans="1:7">
      <c r="A51" s="290"/>
      <c r="B51" s="291"/>
      <c r="C51" s="296"/>
      <c r="D51" s="290"/>
      <c r="E51" s="293"/>
      <c r="F51" s="302"/>
      <c r="G51" s="294"/>
    </row>
    <row r="52" spans="1:7">
      <c r="A52" s="290" t="s">
        <v>640</v>
      </c>
      <c r="B52" s="291"/>
      <c r="C52" s="301" t="s">
        <v>641</v>
      </c>
      <c r="D52" s="290" t="s">
        <v>429</v>
      </c>
      <c r="E52" s="300">
        <v>200</v>
      </c>
      <c r="F52" s="302"/>
      <c r="G52" s="294"/>
    </row>
    <row r="53" spans="1:7">
      <c r="A53" s="290"/>
      <c r="B53" s="291"/>
      <c r="C53" s="296"/>
      <c r="D53" s="290"/>
      <c r="E53" s="293"/>
      <c r="F53" s="302"/>
      <c r="G53" s="294"/>
    </row>
    <row r="54" spans="1:7">
      <c r="A54" s="290" t="s">
        <v>642</v>
      </c>
      <c r="C54" s="301" t="s">
        <v>643</v>
      </c>
      <c r="D54" s="290" t="s">
        <v>429</v>
      </c>
      <c r="E54" s="300">
        <v>200</v>
      </c>
      <c r="F54" s="302"/>
      <c r="G54" s="294"/>
    </row>
    <row r="55" spans="1:7">
      <c r="A55" s="290"/>
      <c r="C55" s="296"/>
      <c r="D55" s="290"/>
      <c r="E55" s="293"/>
      <c r="F55" s="302"/>
      <c r="G55" s="294"/>
    </row>
    <row r="56" spans="1:7">
      <c r="A56" s="290" t="s">
        <v>644</v>
      </c>
      <c r="C56" s="301" t="s">
        <v>645</v>
      </c>
      <c r="D56" s="290" t="s">
        <v>429</v>
      </c>
      <c r="E56" s="300">
        <v>50</v>
      </c>
      <c r="F56" s="302"/>
      <c r="G56" s="294"/>
    </row>
    <row r="57" spans="1:7">
      <c r="A57" s="290"/>
      <c r="B57" s="291"/>
      <c r="C57" s="296"/>
      <c r="D57" s="290"/>
      <c r="E57" s="293"/>
      <c r="F57" s="302"/>
      <c r="G57" s="294"/>
    </row>
    <row r="58" spans="1:7">
      <c r="A58" s="290" t="s">
        <v>646</v>
      </c>
      <c r="B58" s="291"/>
      <c r="C58" s="301" t="s">
        <v>647</v>
      </c>
      <c r="D58" s="290" t="s">
        <v>429</v>
      </c>
      <c r="E58" s="300">
        <v>200</v>
      </c>
      <c r="F58" s="302"/>
      <c r="G58" s="294"/>
    </row>
    <row r="59" spans="1:7">
      <c r="A59" s="290"/>
      <c r="C59" s="301"/>
      <c r="D59" s="290"/>
      <c r="E59" s="300"/>
      <c r="F59" s="302"/>
      <c r="G59" s="294"/>
    </row>
    <row r="60" spans="1:7">
      <c r="A60" s="290" t="s">
        <v>648</v>
      </c>
      <c r="C60" s="301" t="s">
        <v>649</v>
      </c>
      <c r="D60" s="290" t="s">
        <v>429</v>
      </c>
      <c r="E60" s="300">
        <v>200</v>
      </c>
      <c r="F60" s="302"/>
      <c r="G60" s="294"/>
    </row>
    <row r="61" spans="1:7">
      <c r="A61" s="290"/>
      <c r="C61" s="296"/>
      <c r="D61" s="290"/>
      <c r="E61" s="300"/>
      <c r="F61" s="302"/>
      <c r="G61" s="294"/>
    </row>
    <row r="62" spans="1:7" ht="26">
      <c r="A62" s="290">
        <v>4.3</v>
      </c>
      <c r="B62" s="307" t="s">
        <v>650</v>
      </c>
      <c r="C62" s="298" t="s">
        <v>651</v>
      </c>
      <c r="D62" s="290"/>
      <c r="E62" s="300"/>
      <c r="F62" s="302"/>
      <c r="G62" s="294"/>
    </row>
    <row r="63" spans="1:7">
      <c r="A63" s="290"/>
      <c r="B63" s="291"/>
      <c r="C63" s="308"/>
      <c r="D63" s="290"/>
      <c r="E63" s="300"/>
      <c r="F63" s="309"/>
      <c r="G63" s="310"/>
    </row>
    <row r="64" spans="1:7">
      <c r="A64" s="311"/>
      <c r="B64" s="312"/>
      <c r="C64" s="313" t="s">
        <v>26</v>
      </c>
      <c r="D64" s="314"/>
      <c r="E64" s="315"/>
      <c r="F64" s="316"/>
      <c r="G64" s="317"/>
    </row>
    <row r="65" spans="1:7">
      <c r="A65" s="311"/>
      <c r="B65" s="312"/>
      <c r="C65" s="318" t="s">
        <v>652</v>
      </c>
      <c r="D65" s="311"/>
      <c r="E65" s="315"/>
      <c r="F65" s="316"/>
      <c r="G65" s="317"/>
    </row>
    <row r="66" spans="1:7">
      <c r="A66" s="290"/>
      <c r="B66" s="291"/>
      <c r="C66" s="291"/>
      <c r="D66" s="290"/>
      <c r="E66" s="300"/>
      <c r="F66" s="302"/>
      <c r="G66" s="294"/>
    </row>
    <row r="67" spans="1:7">
      <c r="A67" s="290"/>
      <c r="B67" s="291"/>
      <c r="C67" s="296"/>
      <c r="D67" s="290"/>
      <c r="E67" s="300"/>
      <c r="F67" s="302"/>
      <c r="G67" s="294"/>
    </row>
    <row r="68" spans="1:7">
      <c r="A68" s="290" t="s">
        <v>653</v>
      </c>
      <c r="B68" s="291"/>
      <c r="C68" s="301" t="s">
        <v>654</v>
      </c>
      <c r="D68" s="290" t="s">
        <v>3</v>
      </c>
      <c r="E68" s="300">
        <v>1</v>
      </c>
      <c r="F68" s="302"/>
      <c r="G68" s="294"/>
    </row>
    <row r="69" spans="1:7">
      <c r="A69" s="290"/>
      <c r="B69" s="291"/>
      <c r="C69" s="296"/>
      <c r="D69" s="290"/>
      <c r="E69" s="300"/>
      <c r="F69" s="302"/>
      <c r="G69" s="294"/>
    </row>
    <row r="70" spans="1:7">
      <c r="A70" s="290" t="s">
        <v>655</v>
      </c>
      <c r="B70" s="291"/>
      <c r="C70" s="301" t="s">
        <v>656</v>
      </c>
      <c r="D70" s="290" t="s">
        <v>657</v>
      </c>
      <c r="E70" s="293">
        <v>1</v>
      </c>
      <c r="F70" s="302"/>
      <c r="G70" s="294"/>
    </row>
    <row r="71" spans="1:7">
      <c r="A71" s="290"/>
      <c r="B71" s="291"/>
      <c r="C71" s="296"/>
      <c r="D71" s="290"/>
      <c r="E71" s="300"/>
      <c r="F71" s="302"/>
      <c r="G71" s="294"/>
    </row>
    <row r="72" spans="1:7">
      <c r="A72" s="290" t="s">
        <v>658</v>
      </c>
      <c r="B72" s="291"/>
      <c r="C72" s="301" t="s">
        <v>659</v>
      </c>
      <c r="D72" s="290" t="s">
        <v>3</v>
      </c>
      <c r="E72" s="293">
        <v>1</v>
      </c>
      <c r="F72" s="294"/>
      <c r="G72" s="294"/>
    </row>
    <row r="73" spans="1:7">
      <c r="A73" s="290"/>
      <c r="B73" s="291"/>
      <c r="C73" s="296"/>
      <c r="D73" s="290"/>
      <c r="E73" s="300"/>
      <c r="F73" s="294"/>
      <c r="G73" s="294"/>
    </row>
    <row r="74" spans="1:7" ht="26">
      <c r="A74" s="290">
        <v>4.4000000000000004</v>
      </c>
      <c r="B74" s="297" t="s">
        <v>660</v>
      </c>
      <c r="C74" s="301" t="s">
        <v>661</v>
      </c>
      <c r="D74" s="290" t="s">
        <v>3</v>
      </c>
      <c r="E74" s="300">
        <v>1</v>
      </c>
      <c r="F74" s="294"/>
      <c r="G74" s="294"/>
    </row>
    <row r="75" spans="1:7">
      <c r="A75" s="290"/>
      <c r="B75" s="295"/>
      <c r="C75" s="296"/>
      <c r="D75" s="290"/>
      <c r="E75" s="300"/>
      <c r="F75" s="294"/>
      <c r="G75" s="294"/>
    </row>
    <row r="76" spans="1:7" ht="39">
      <c r="A76" s="290">
        <v>4.5</v>
      </c>
      <c r="B76" s="297" t="s">
        <v>662</v>
      </c>
      <c r="C76" s="296" t="s">
        <v>663</v>
      </c>
      <c r="D76" s="290"/>
      <c r="E76" s="300"/>
      <c r="F76" s="294"/>
      <c r="G76" s="294"/>
    </row>
    <row r="77" spans="1:7">
      <c r="A77" s="290"/>
      <c r="B77" s="295"/>
      <c r="C77" s="296"/>
      <c r="D77" s="290"/>
      <c r="E77" s="300"/>
      <c r="F77" s="294"/>
      <c r="G77" s="294"/>
    </row>
    <row r="78" spans="1:7">
      <c r="A78" s="290" t="s">
        <v>664</v>
      </c>
      <c r="B78" s="291"/>
      <c r="C78" s="298" t="s">
        <v>665</v>
      </c>
      <c r="D78" s="290" t="s">
        <v>429</v>
      </c>
      <c r="E78" s="300">
        <v>2</v>
      </c>
      <c r="F78" s="302"/>
      <c r="G78" s="294"/>
    </row>
    <row r="79" spans="1:7">
      <c r="A79" s="290"/>
      <c r="B79" s="291"/>
      <c r="C79" s="296"/>
      <c r="D79" s="290"/>
      <c r="E79" s="293"/>
      <c r="F79" s="302"/>
      <c r="G79" s="294"/>
    </row>
    <row r="80" spans="1:7">
      <c r="A80" s="290" t="s">
        <v>666</v>
      </c>
      <c r="B80" s="291"/>
      <c r="C80" s="301" t="s">
        <v>667</v>
      </c>
      <c r="D80" s="290" t="s">
        <v>429</v>
      </c>
      <c r="E80" s="300">
        <v>2</v>
      </c>
      <c r="F80" s="302"/>
      <c r="G80" s="294"/>
    </row>
    <row r="81" spans="1:7">
      <c r="A81" s="290"/>
      <c r="B81" s="291"/>
      <c r="C81" s="296"/>
      <c r="D81" s="290"/>
      <c r="E81" s="319"/>
      <c r="F81" s="320"/>
      <c r="G81" s="294"/>
    </row>
    <row r="82" spans="1:7">
      <c r="A82" s="290" t="s">
        <v>668</v>
      </c>
      <c r="B82" s="291"/>
      <c r="C82" s="301" t="s">
        <v>669</v>
      </c>
      <c r="D82" s="290" t="s">
        <v>429</v>
      </c>
      <c r="E82" s="293">
        <v>6</v>
      </c>
      <c r="F82" s="294"/>
      <c r="G82" s="294"/>
    </row>
    <row r="83" spans="1:7">
      <c r="A83" s="290"/>
      <c r="B83" s="291"/>
      <c r="C83" s="296"/>
      <c r="D83" s="290"/>
      <c r="E83" s="293"/>
      <c r="F83" s="294"/>
      <c r="G83" s="294"/>
    </row>
    <row r="84" spans="1:7">
      <c r="A84" s="290" t="s">
        <v>670</v>
      </c>
      <c r="B84" s="291"/>
      <c r="C84" s="301" t="s">
        <v>671</v>
      </c>
      <c r="D84" s="290" t="s">
        <v>429</v>
      </c>
      <c r="E84" s="293">
        <v>1</v>
      </c>
      <c r="F84" s="294"/>
      <c r="G84" s="294"/>
    </row>
    <row r="85" spans="1:7">
      <c r="A85" s="290"/>
      <c r="B85" s="291"/>
      <c r="C85" s="296"/>
      <c r="D85" s="290"/>
      <c r="E85" s="300"/>
      <c r="F85" s="294"/>
      <c r="G85" s="294"/>
    </row>
    <row r="86" spans="1:7">
      <c r="A86" s="290" t="s">
        <v>672</v>
      </c>
      <c r="B86" s="291"/>
      <c r="C86" s="301" t="s">
        <v>673</v>
      </c>
      <c r="D86" s="290" t="s">
        <v>429</v>
      </c>
      <c r="E86" s="293">
        <v>4</v>
      </c>
      <c r="F86" s="294"/>
      <c r="G86" s="294"/>
    </row>
    <row r="87" spans="1:7">
      <c r="A87" s="290"/>
      <c r="B87" s="291"/>
      <c r="C87" s="296"/>
      <c r="D87" s="290"/>
      <c r="E87" s="300"/>
      <c r="F87" s="302"/>
      <c r="G87" s="294"/>
    </row>
    <row r="88" spans="1:7">
      <c r="A88" s="290" t="s">
        <v>674</v>
      </c>
      <c r="B88" s="291"/>
      <c r="C88" s="301" t="s">
        <v>675</v>
      </c>
      <c r="D88" s="290" t="s">
        <v>429</v>
      </c>
      <c r="E88" s="300">
        <v>4</v>
      </c>
      <c r="F88" s="302"/>
      <c r="G88" s="294"/>
    </row>
    <row r="89" spans="1:7">
      <c r="A89" s="290"/>
      <c r="B89" s="291"/>
      <c r="C89" s="296"/>
      <c r="D89" s="290"/>
      <c r="E89" s="300"/>
      <c r="F89" s="302"/>
      <c r="G89" s="294"/>
    </row>
    <row r="90" spans="1:7">
      <c r="A90" s="290" t="s">
        <v>676</v>
      </c>
      <c r="B90" s="291"/>
      <c r="C90" s="301" t="s">
        <v>677</v>
      </c>
      <c r="D90" s="290" t="s">
        <v>429</v>
      </c>
      <c r="E90" s="300">
        <v>8</v>
      </c>
      <c r="F90" s="302"/>
      <c r="G90" s="294"/>
    </row>
    <row r="91" spans="1:7">
      <c r="A91" s="290"/>
      <c r="B91" s="291"/>
      <c r="C91" s="296"/>
      <c r="D91" s="290"/>
      <c r="E91" s="300"/>
      <c r="F91" s="302"/>
      <c r="G91" s="294"/>
    </row>
    <row r="92" spans="1:7">
      <c r="A92" s="290" t="s">
        <v>678</v>
      </c>
      <c r="B92" s="291"/>
      <c r="C92" s="301" t="s">
        <v>679</v>
      </c>
      <c r="D92" s="290" t="s">
        <v>429</v>
      </c>
      <c r="E92" s="300">
        <v>4</v>
      </c>
      <c r="F92" s="302"/>
      <c r="G92" s="294"/>
    </row>
    <row r="93" spans="1:7">
      <c r="A93" s="290"/>
      <c r="B93" s="291"/>
      <c r="C93" s="296"/>
      <c r="D93" s="290"/>
      <c r="E93" s="300"/>
      <c r="F93" s="302"/>
      <c r="G93" s="294"/>
    </row>
    <row r="94" spans="1:7">
      <c r="A94" s="290" t="s">
        <v>680</v>
      </c>
      <c r="B94" s="291"/>
      <c r="C94" s="301" t="s">
        <v>681</v>
      </c>
      <c r="D94" s="290" t="s">
        <v>429</v>
      </c>
      <c r="E94" s="300">
        <v>2</v>
      </c>
      <c r="F94" s="302"/>
      <c r="G94" s="294"/>
    </row>
    <row r="95" spans="1:7">
      <c r="A95" s="290"/>
      <c r="B95" s="291"/>
      <c r="C95" s="296"/>
      <c r="D95" s="290"/>
      <c r="E95" s="300"/>
      <c r="F95" s="302"/>
      <c r="G95" s="294"/>
    </row>
    <row r="96" spans="1:7">
      <c r="A96" s="299" t="s">
        <v>682</v>
      </c>
      <c r="B96" s="291"/>
      <c r="C96" s="298" t="s">
        <v>683</v>
      </c>
      <c r="D96" s="299" t="s">
        <v>429</v>
      </c>
      <c r="E96" s="300">
        <v>2</v>
      </c>
      <c r="F96" s="302"/>
      <c r="G96" s="294"/>
    </row>
    <row r="97" spans="1:7">
      <c r="A97" s="299"/>
      <c r="B97" s="291"/>
      <c r="C97" s="298"/>
      <c r="D97" s="299"/>
      <c r="E97" s="300"/>
      <c r="F97" s="302"/>
      <c r="G97" s="294"/>
    </row>
    <row r="98" spans="1:7">
      <c r="A98" s="299" t="s">
        <v>684</v>
      </c>
      <c r="B98" s="291"/>
      <c r="C98" s="298" t="s">
        <v>685</v>
      </c>
      <c r="D98" s="299" t="s">
        <v>429</v>
      </c>
      <c r="E98" s="300">
        <v>10</v>
      </c>
      <c r="F98" s="302"/>
      <c r="G98" s="294"/>
    </row>
    <row r="99" spans="1:7">
      <c r="A99" s="299"/>
      <c r="B99" s="291"/>
      <c r="C99" s="298"/>
      <c r="D99" s="299"/>
      <c r="E99" s="300"/>
      <c r="F99" s="302"/>
      <c r="G99" s="294"/>
    </row>
    <row r="100" spans="1:7">
      <c r="A100" s="299" t="s">
        <v>686</v>
      </c>
      <c r="B100" s="291"/>
      <c r="C100" s="298" t="s">
        <v>687</v>
      </c>
      <c r="D100" s="299" t="s">
        <v>429</v>
      </c>
      <c r="E100" s="300">
        <v>10</v>
      </c>
      <c r="F100" s="302"/>
      <c r="G100" s="294"/>
    </row>
    <row r="101" spans="1:7">
      <c r="A101" s="299"/>
      <c r="B101" s="291"/>
      <c r="C101" s="298"/>
      <c r="D101" s="299"/>
      <c r="E101" s="300"/>
      <c r="F101" s="302"/>
      <c r="G101" s="294"/>
    </row>
    <row r="102" spans="1:7">
      <c r="A102" s="299" t="s">
        <v>688</v>
      </c>
      <c r="B102" s="291"/>
      <c r="C102" s="298" t="s">
        <v>689</v>
      </c>
      <c r="D102" s="299" t="s">
        <v>429</v>
      </c>
      <c r="E102" s="300">
        <v>4</v>
      </c>
      <c r="F102" s="302"/>
      <c r="G102" s="294"/>
    </row>
    <row r="103" spans="1:7">
      <c r="A103" s="299"/>
      <c r="B103" s="291"/>
      <c r="C103" s="298"/>
      <c r="D103" s="299"/>
      <c r="E103" s="300"/>
      <c r="F103" s="302"/>
      <c r="G103" s="294"/>
    </row>
    <row r="104" spans="1:7">
      <c r="A104" s="299" t="s">
        <v>690</v>
      </c>
      <c r="B104" s="291"/>
      <c r="C104" s="298" t="s">
        <v>691</v>
      </c>
      <c r="D104" s="299" t="s">
        <v>429</v>
      </c>
      <c r="E104" s="300">
        <v>3</v>
      </c>
      <c r="F104" s="302"/>
      <c r="G104" s="294"/>
    </row>
    <row r="105" spans="1:7">
      <c r="A105" s="290"/>
      <c r="B105" s="291"/>
      <c r="C105" s="296"/>
      <c r="D105" s="290"/>
      <c r="E105" s="300"/>
      <c r="F105" s="302"/>
      <c r="G105" s="294"/>
    </row>
    <row r="106" spans="1:7">
      <c r="A106" s="290">
        <v>4.5999999999999996</v>
      </c>
      <c r="B106" s="291"/>
      <c r="C106" s="301" t="s">
        <v>692</v>
      </c>
      <c r="D106" s="290" t="s">
        <v>429</v>
      </c>
      <c r="E106" s="300">
        <v>1</v>
      </c>
      <c r="F106" s="302"/>
      <c r="G106" s="294"/>
    </row>
    <row r="107" spans="1:7">
      <c r="A107" s="290"/>
      <c r="B107" s="291"/>
      <c r="C107" s="296"/>
      <c r="D107" s="290"/>
      <c r="E107" s="300"/>
      <c r="F107" s="302"/>
      <c r="G107" s="294"/>
    </row>
    <row r="108" spans="1:7" ht="26">
      <c r="A108" s="290">
        <v>4.7</v>
      </c>
      <c r="B108" s="291"/>
      <c r="C108" s="298" t="s">
        <v>693</v>
      </c>
      <c r="D108" s="290" t="s">
        <v>429</v>
      </c>
      <c r="E108" s="293">
        <v>4</v>
      </c>
      <c r="F108" s="302"/>
      <c r="G108" s="294"/>
    </row>
    <row r="109" spans="1:7">
      <c r="A109" s="290"/>
      <c r="B109" s="291"/>
      <c r="C109" s="296"/>
      <c r="D109" s="290"/>
      <c r="E109" s="300"/>
      <c r="F109" s="302"/>
      <c r="G109" s="294"/>
    </row>
    <row r="110" spans="1:7">
      <c r="A110" s="290">
        <v>4.8</v>
      </c>
      <c r="B110" s="291"/>
      <c r="C110" s="301" t="s">
        <v>694</v>
      </c>
      <c r="D110" s="290" t="s">
        <v>429</v>
      </c>
      <c r="E110" s="300">
        <v>2</v>
      </c>
      <c r="F110" s="302"/>
      <c r="G110" s="294"/>
    </row>
    <row r="111" spans="1:7">
      <c r="A111" s="290"/>
      <c r="B111" s="291"/>
      <c r="C111" s="296"/>
      <c r="D111" s="290"/>
      <c r="E111" s="293"/>
      <c r="F111" s="302"/>
      <c r="G111" s="294"/>
    </row>
    <row r="112" spans="1:7" ht="26">
      <c r="A112" s="290">
        <v>5</v>
      </c>
      <c r="B112" s="321" t="s">
        <v>695</v>
      </c>
      <c r="C112" s="296" t="s">
        <v>696</v>
      </c>
      <c r="D112" s="290"/>
      <c r="E112" s="300"/>
      <c r="F112" s="302"/>
      <c r="G112" s="294"/>
    </row>
    <row r="113" spans="1:7">
      <c r="A113" s="290"/>
      <c r="C113" s="296"/>
      <c r="D113" s="290"/>
      <c r="E113" s="293"/>
      <c r="F113" s="302"/>
      <c r="G113" s="294"/>
    </row>
    <row r="114" spans="1:7">
      <c r="A114" s="290">
        <v>5.0999999999999996</v>
      </c>
      <c r="B114" s="291"/>
      <c r="C114" s="301" t="s">
        <v>697</v>
      </c>
      <c r="D114" s="290" t="s">
        <v>3</v>
      </c>
      <c r="E114" s="293">
        <v>2</v>
      </c>
      <c r="F114" s="302"/>
      <c r="G114" s="294"/>
    </row>
    <row r="115" spans="1:7">
      <c r="A115" s="290"/>
      <c r="B115" s="291"/>
      <c r="C115" s="296"/>
      <c r="D115" s="290"/>
      <c r="E115" s="300"/>
      <c r="F115" s="302"/>
      <c r="G115" s="294"/>
    </row>
    <row r="116" spans="1:7">
      <c r="A116" s="290">
        <v>5.2</v>
      </c>
      <c r="C116" s="301" t="s">
        <v>698</v>
      </c>
      <c r="D116" s="290" t="s">
        <v>3</v>
      </c>
      <c r="E116" s="300">
        <v>2</v>
      </c>
      <c r="F116" s="302"/>
      <c r="G116" s="294"/>
    </row>
    <row r="117" spans="1:7">
      <c r="A117" s="290"/>
      <c r="C117" s="296"/>
      <c r="D117" s="290"/>
      <c r="E117" s="300"/>
      <c r="F117" s="302"/>
      <c r="G117" s="294"/>
    </row>
    <row r="118" spans="1:7">
      <c r="A118" s="290">
        <v>5.3</v>
      </c>
      <c r="B118" s="291"/>
      <c r="C118" s="301" t="s">
        <v>699</v>
      </c>
      <c r="D118" s="290" t="s">
        <v>3</v>
      </c>
      <c r="E118" s="293">
        <v>2</v>
      </c>
      <c r="F118" s="302"/>
      <c r="G118" s="294"/>
    </row>
    <row r="119" spans="1:7">
      <c r="A119" s="290"/>
      <c r="B119" s="291"/>
      <c r="C119" s="296"/>
      <c r="D119" s="290"/>
      <c r="E119" s="293"/>
      <c r="F119" s="302"/>
      <c r="G119" s="294"/>
    </row>
    <row r="120" spans="1:7">
      <c r="A120" s="290">
        <v>5.4</v>
      </c>
      <c r="B120" s="291"/>
      <c r="C120" s="301" t="s">
        <v>700</v>
      </c>
      <c r="D120" s="290" t="s">
        <v>3</v>
      </c>
      <c r="E120" s="300">
        <v>8</v>
      </c>
      <c r="F120" s="302"/>
      <c r="G120" s="294"/>
    </row>
    <row r="121" spans="1:7">
      <c r="A121" s="290"/>
      <c r="B121" s="291"/>
      <c r="C121" s="296"/>
      <c r="D121" s="290"/>
      <c r="E121" s="300"/>
      <c r="F121" s="302"/>
      <c r="G121" s="294"/>
    </row>
    <row r="122" spans="1:7">
      <c r="A122" s="290">
        <v>5.5</v>
      </c>
      <c r="B122" s="291"/>
      <c r="C122" s="301" t="s">
        <v>701</v>
      </c>
      <c r="D122" s="290" t="s">
        <v>3</v>
      </c>
      <c r="E122" s="300">
        <v>1</v>
      </c>
      <c r="F122" s="302"/>
      <c r="G122" s="294"/>
    </row>
    <row r="123" spans="1:7">
      <c r="A123" s="290"/>
      <c r="B123" s="291"/>
      <c r="C123" s="296"/>
      <c r="D123" s="290"/>
      <c r="E123" s="300"/>
      <c r="F123" s="302"/>
      <c r="G123" s="294"/>
    </row>
    <row r="124" spans="1:7">
      <c r="A124" s="290">
        <v>5.6</v>
      </c>
      <c r="B124" s="291"/>
      <c r="C124" s="301" t="s">
        <v>702</v>
      </c>
      <c r="D124" s="290" t="s">
        <v>3</v>
      </c>
      <c r="E124" s="300">
        <v>2</v>
      </c>
      <c r="F124" s="302"/>
      <c r="G124" s="294"/>
    </row>
    <row r="125" spans="1:7">
      <c r="A125" s="290"/>
      <c r="B125" s="291"/>
      <c r="C125" s="296"/>
      <c r="D125" s="290"/>
      <c r="E125" s="300"/>
      <c r="F125" s="302"/>
      <c r="G125" s="294"/>
    </row>
    <row r="126" spans="1:7" ht="39">
      <c r="A126" s="290">
        <v>5.7</v>
      </c>
      <c r="B126" s="291"/>
      <c r="C126" s="298" t="s">
        <v>703</v>
      </c>
      <c r="D126" s="290" t="s">
        <v>3</v>
      </c>
      <c r="E126" s="300">
        <v>1</v>
      </c>
      <c r="F126" s="302"/>
      <c r="G126" s="294"/>
    </row>
    <row r="127" spans="1:7">
      <c r="A127" s="311"/>
      <c r="B127" s="312"/>
      <c r="C127" s="318" t="s">
        <v>26</v>
      </c>
      <c r="D127" s="314"/>
      <c r="E127" s="315"/>
      <c r="F127" s="316"/>
      <c r="G127" s="322"/>
    </row>
    <row r="128" spans="1:7">
      <c r="A128" s="311"/>
      <c r="B128" s="312"/>
      <c r="C128" s="318" t="s">
        <v>652</v>
      </c>
      <c r="D128" s="311"/>
      <c r="E128" s="315"/>
      <c r="F128" s="316"/>
      <c r="G128" s="322"/>
    </row>
    <row r="129" spans="1:7">
      <c r="A129" s="290"/>
      <c r="B129" s="291"/>
      <c r="C129" s="296"/>
      <c r="D129" s="290"/>
      <c r="E129" s="293"/>
      <c r="F129" s="302"/>
      <c r="G129" s="294"/>
    </row>
    <row r="130" spans="1:7">
      <c r="A130" s="290">
        <v>6</v>
      </c>
      <c r="B130" s="297" t="s">
        <v>704</v>
      </c>
      <c r="C130" s="306" t="s">
        <v>705</v>
      </c>
      <c r="D130" s="290"/>
      <c r="E130" s="300"/>
      <c r="F130" s="302"/>
      <c r="G130" s="294"/>
    </row>
    <row r="131" spans="1:7">
      <c r="A131" s="290"/>
      <c r="B131" s="291"/>
      <c r="C131" s="296"/>
      <c r="D131" s="290"/>
      <c r="E131" s="293"/>
      <c r="F131" s="294"/>
      <c r="G131" s="294"/>
    </row>
    <row r="132" spans="1:7">
      <c r="A132" s="290">
        <v>6.1</v>
      </c>
      <c r="B132" s="307" t="s">
        <v>706</v>
      </c>
      <c r="C132" s="323" t="s">
        <v>707</v>
      </c>
      <c r="D132" s="290" t="s">
        <v>366</v>
      </c>
      <c r="E132" s="300">
        <v>8</v>
      </c>
      <c r="F132" s="294"/>
      <c r="G132" s="294"/>
    </row>
    <row r="133" spans="1:7">
      <c r="A133" s="290"/>
      <c r="C133" s="296"/>
      <c r="D133" s="307"/>
      <c r="E133" s="300"/>
      <c r="F133" s="294"/>
      <c r="G133" s="294"/>
    </row>
    <row r="134" spans="1:7">
      <c r="A134" s="290">
        <v>6.2</v>
      </c>
      <c r="B134" s="307" t="s">
        <v>708</v>
      </c>
      <c r="C134" s="298" t="s">
        <v>709</v>
      </c>
      <c r="D134" s="290" t="s">
        <v>366</v>
      </c>
      <c r="E134" s="300">
        <v>8</v>
      </c>
      <c r="F134" s="294"/>
      <c r="G134" s="294"/>
    </row>
    <row r="135" spans="1:7">
      <c r="A135" s="290"/>
      <c r="B135" s="291"/>
      <c r="C135" s="296"/>
      <c r="D135" s="290"/>
      <c r="E135" s="324"/>
      <c r="F135" s="294"/>
      <c r="G135" s="294"/>
    </row>
    <row r="136" spans="1:7">
      <c r="A136" s="290">
        <v>6.3</v>
      </c>
      <c r="B136" s="291" t="s">
        <v>710</v>
      </c>
      <c r="C136" s="298" t="s">
        <v>711</v>
      </c>
      <c r="D136" s="290" t="s">
        <v>366</v>
      </c>
      <c r="E136" s="300">
        <v>8</v>
      </c>
      <c r="F136" s="294"/>
      <c r="G136" s="294"/>
    </row>
    <row r="137" spans="1:7">
      <c r="A137" s="290"/>
      <c r="B137" s="291"/>
      <c r="C137" s="298"/>
      <c r="E137" s="300"/>
      <c r="F137" s="294"/>
      <c r="G137" s="294"/>
    </row>
    <row r="138" spans="1:7">
      <c r="A138" s="290">
        <v>6.4</v>
      </c>
      <c r="B138" s="297" t="s">
        <v>712</v>
      </c>
      <c r="C138" s="298" t="s">
        <v>713</v>
      </c>
      <c r="D138" s="325" t="s">
        <v>366</v>
      </c>
      <c r="E138" s="300">
        <v>1</v>
      </c>
      <c r="F138" s="294"/>
      <c r="G138" s="294"/>
    </row>
    <row r="139" spans="1:7">
      <c r="A139" s="290"/>
      <c r="B139" s="291"/>
      <c r="C139" s="298"/>
      <c r="E139" s="300"/>
      <c r="F139" s="294"/>
      <c r="G139" s="294"/>
    </row>
    <row r="140" spans="1:7">
      <c r="A140" s="290">
        <v>6.5</v>
      </c>
      <c r="B140" s="297" t="s">
        <v>714</v>
      </c>
      <c r="C140" s="298" t="s">
        <v>715</v>
      </c>
      <c r="D140" s="279" t="s">
        <v>366</v>
      </c>
      <c r="E140" s="300">
        <v>8</v>
      </c>
      <c r="F140" s="294"/>
      <c r="G140" s="294"/>
    </row>
    <row r="141" spans="1:7">
      <c r="A141" s="290"/>
      <c r="B141" s="291"/>
      <c r="C141" s="298"/>
      <c r="E141" s="300"/>
      <c r="F141" s="294"/>
      <c r="G141" s="294"/>
    </row>
    <row r="142" spans="1:7">
      <c r="A142" s="290" t="s">
        <v>716</v>
      </c>
      <c r="B142" s="291"/>
      <c r="C142" s="298" t="s">
        <v>717</v>
      </c>
      <c r="D142" s="279" t="s">
        <v>429</v>
      </c>
      <c r="E142" s="300">
        <v>1</v>
      </c>
      <c r="F142" s="294"/>
      <c r="G142" s="294"/>
    </row>
    <row r="143" spans="1:7">
      <c r="A143" s="291"/>
      <c r="B143" s="291"/>
      <c r="C143" s="296"/>
      <c r="E143" s="300"/>
      <c r="F143" s="294"/>
      <c r="G143" s="294"/>
    </row>
    <row r="144" spans="1:7" ht="26">
      <c r="A144" s="291">
        <v>7</v>
      </c>
      <c r="B144" s="297" t="s">
        <v>718</v>
      </c>
      <c r="C144" s="296" t="s">
        <v>719</v>
      </c>
      <c r="D144" s="290"/>
      <c r="E144" s="300"/>
      <c r="F144" s="294"/>
      <c r="G144" s="294"/>
    </row>
    <row r="145" spans="1:7">
      <c r="A145" s="291"/>
      <c r="B145" s="291"/>
      <c r="C145" s="296"/>
      <c r="E145" s="300"/>
      <c r="F145" s="294"/>
      <c r="G145" s="294"/>
    </row>
    <row r="146" spans="1:7" ht="26">
      <c r="A146" s="291">
        <v>7.1</v>
      </c>
      <c r="B146" s="291"/>
      <c r="C146" s="298" t="s">
        <v>720</v>
      </c>
      <c r="D146" s="290" t="s">
        <v>3</v>
      </c>
      <c r="E146" s="300">
        <v>1</v>
      </c>
      <c r="F146" s="294"/>
      <c r="G146" s="294"/>
    </row>
    <row r="147" spans="1:7">
      <c r="A147" s="290"/>
      <c r="B147" s="291"/>
      <c r="C147" s="296"/>
      <c r="E147" s="293"/>
      <c r="F147" s="294"/>
      <c r="G147" s="294"/>
    </row>
    <row r="148" spans="1:7">
      <c r="A148" s="290">
        <v>7.2</v>
      </c>
      <c r="B148" s="297" t="s">
        <v>721</v>
      </c>
      <c r="C148" s="326" t="s">
        <v>722</v>
      </c>
      <c r="E148" s="293"/>
      <c r="F148" s="294"/>
      <c r="G148" s="294"/>
    </row>
    <row r="149" spans="1:7">
      <c r="A149" s="290"/>
      <c r="B149" s="291"/>
      <c r="C149" s="296"/>
      <c r="D149" s="327"/>
      <c r="E149" s="293"/>
      <c r="F149" s="294"/>
      <c r="G149" s="294"/>
    </row>
    <row r="150" spans="1:7">
      <c r="A150" s="290" t="s">
        <v>256</v>
      </c>
      <c r="B150" s="291"/>
      <c r="C150" s="298" t="s">
        <v>723</v>
      </c>
      <c r="D150" s="299" t="s">
        <v>3</v>
      </c>
      <c r="E150" s="293">
        <v>1</v>
      </c>
      <c r="F150" s="294"/>
      <c r="G150" s="294"/>
    </row>
    <row r="151" spans="1:7">
      <c r="A151" s="290"/>
      <c r="B151" s="291"/>
      <c r="C151" s="296"/>
      <c r="D151" s="307"/>
      <c r="E151" s="300"/>
      <c r="F151" s="294"/>
      <c r="G151" s="294"/>
    </row>
    <row r="152" spans="1:7" ht="26">
      <c r="A152" s="290">
        <v>7.3</v>
      </c>
      <c r="B152" s="297" t="s">
        <v>724</v>
      </c>
      <c r="C152" s="298" t="s">
        <v>725</v>
      </c>
      <c r="D152" s="307"/>
      <c r="E152" s="300"/>
      <c r="F152" s="294"/>
      <c r="G152" s="294"/>
    </row>
    <row r="153" spans="1:7">
      <c r="A153" s="290"/>
      <c r="B153" s="291"/>
      <c r="C153" s="298"/>
      <c r="D153" s="307"/>
      <c r="E153" s="300"/>
      <c r="F153" s="294"/>
      <c r="G153" s="294"/>
    </row>
    <row r="154" spans="1:7">
      <c r="A154" s="290" t="s">
        <v>258</v>
      </c>
      <c r="B154" s="291"/>
      <c r="C154" s="298" t="s">
        <v>726</v>
      </c>
      <c r="D154" s="307" t="s">
        <v>429</v>
      </c>
      <c r="E154" s="300">
        <v>10</v>
      </c>
      <c r="F154" s="294"/>
      <c r="G154" s="294"/>
    </row>
    <row r="155" spans="1:7">
      <c r="A155" s="290"/>
      <c r="B155" s="291"/>
      <c r="C155" s="298"/>
      <c r="D155" s="307"/>
      <c r="E155" s="300"/>
      <c r="F155" s="294"/>
      <c r="G155" s="294"/>
    </row>
    <row r="156" spans="1:7">
      <c r="A156" s="290" t="s">
        <v>727</v>
      </c>
      <c r="B156" s="291"/>
      <c r="C156" s="298" t="s">
        <v>728</v>
      </c>
      <c r="D156" s="307" t="s">
        <v>429</v>
      </c>
      <c r="E156" s="300">
        <v>4</v>
      </c>
      <c r="F156" s="294"/>
      <c r="G156" s="294"/>
    </row>
    <row r="157" spans="1:7">
      <c r="A157" s="290"/>
      <c r="B157" s="291"/>
      <c r="C157" s="298"/>
      <c r="D157" s="307"/>
      <c r="E157" s="300"/>
      <c r="F157" s="294"/>
      <c r="G157" s="294"/>
    </row>
    <row r="158" spans="1:7">
      <c r="A158" s="290" t="s">
        <v>729</v>
      </c>
      <c r="B158" s="291"/>
      <c r="C158" s="298" t="s">
        <v>730</v>
      </c>
      <c r="D158" s="307" t="s">
        <v>429</v>
      </c>
      <c r="E158" s="300">
        <v>1</v>
      </c>
      <c r="F158" s="294"/>
      <c r="G158" s="294"/>
    </row>
    <row r="159" spans="1:7">
      <c r="A159" s="290"/>
      <c r="B159" s="291"/>
      <c r="C159" s="298"/>
      <c r="D159" s="307"/>
      <c r="E159" s="300"/>
      <c r="F159" s="294"/>
      <c r="G159" s="294"/>
    </row>
    <row r="160" spans="1:7">
      <c r="A160" s="290" t="s">
        <v>731</v>
      </c>
      <c r="B160" s="291"/>
      <c r="C160" s="298" t="s">
        <v>732</v>
      </c>
      <c r="D160" s="307" t="s">
        <v>429</v>
      </c>
      <c r="E160" s="300">
        <v>1</v>
      </c>
      <c r="F160" s="294"/>
      <c r="G160" s="294"/>
    </row>
    <row r="161" spans="1:7">
      <c r="A161" s="290"/>
      <c r="B161" s="291"/>
      <c r="C161" s="296"/>
      <c r="D161" s="290"/>
      <c r="E161" s="293"/>
      <c r="F161" s="294"/>
      <c r="G161" s="294"/>
    </row>
    <row r="162" spans="1:7" ht="39">
      <c r="A162" s="290">
        <v>8</v>
      </c>
      <c r="B162" s="297" t="s">
        <v>733</v>
      </c>
      <c r="C162" s="296" t="s">
        <v>734</v>
      </c>
      <c r="D162" s="290"/>
      <c r="E162" s="293"/>
      <c r="F162" s="294"/>
      <c r="G162" s="294"/>
    </row>
    <row r="163" spans="1:7">
      <c r="A163" s="290"/>
      <c r="B163" s="291"/>
      <c r="C163" s="296"/>
      <c r="D163" s="290"/>
      <c r="E163" s="293"/>
      <c r="F163" s="294"/>
      <c r="G163" s="294"/>
    </row>
    <row r="164" spans="1:7">
      <c r="A164" s="290"/>
      <c r="B164" s="291"/>
      <c r="C164" s="298" t="s">
        <v>735</v>
      </c>
      <c r="E164" s="293"/>
      <c r="F164" s="294"/>
      <c r="G164" s="294"/>
    </row>
    <row r="165" spans="1:7">
      <c r="A165" s="290"/>
      <c r="B165" s="291"/>
      <c r="C165" s="301" t="s">
        <v>736</v>
      </c>
      <c r="E165" s="293"/>
      <c r="F165" s="294"/>
      <c r="G165" s="294"/>
    </row>
    <row r="166" spans="1:7">
      <c r="A166" s="290"/>
      <c r="B166" s="291"/>
      <c r="C166" s="301" t="s">
        <v>737</v>
      </c>
      <c r="D166" s="279" t="s">
        <v>3</v>
      </c>
      <c r="E166" s="293">
        <v>1</v>
      </c>
      <c r="F166" s="294"/>
      <c r="G166" s="294"/>
    </row>
    <row r="167" spans="1:7">
      <c r="A167" s="290"/>
      <c r="B167" s="291"/>
      <c r="C167" s="296"/>
      <c r="D167" s="290"/>
      <c r="E167" s="300"/>
      <c r="F167" s="302"/>
      <c r="G167" s="294"/>
    </row>
    <row r="168" spans="1:7">
      <c r="A168" s="290">
        <v>9</v>
      </c>
      <c r="B168" s="291" t="s">
        <v>738</v>
      </c>
      <c r="C168" s="296" t="s">
        <v>739</v>
      </c>
      <c r="D168" s="290"/>
      <c r="E168" s="293"/>
      <c r="F168" s="302"/>
      <c r="G168" s="294"/>
    </row>
    <row r="169" spans="1:7">
      <c r="A169" s="290"/>
      <c r="B169" s="291"/>
      <c r="C169" s="296"/>
      <c r="D169" s="290"/>
      <c r="E169" s="300"/>
      <c r="F169" s="302"/>
      <c r="G169" s="294"/>
    </row>
    <row r="170" spans="1:7">
      <c r="A170" s="290">
        <v>9.1</v>
      </c>
      <c r="B170" s="291"/>
      <c r="C170" s="301" t="s">
        <v>740</v>
      </c>
      <c r="D170" s="290" t="s">
        <v>3</v>
      </c>
      <c r="E170" s="300">
        <v>1</v>
      </c>
      <c r="F170" s="302"/>
      <c r="G170" s="294"/>
    </row>
    <row r="171" spans="1:7">
      <c r="A171" s="290"/>
      <c r="B171" s="291"/>
      <c r="C171" s="296"/>
      <c r="D171" s="307"/>
      <c r="E171" s="300"/>
      <c r="F171" s="302"/>
      <c r="G171" s="294"/>
    </row>
    <row r="172" spans="1:7">
      <c r="A172" s="290">
        <v>9.1999999999999993</v>
      </c>
      <c r="B172" s="291"/>
      <c r="C172" s="301" t="s">
        <v>741</v>
      </c>
      <c r="D172" s="290" t="s">
        <v>429</v>
      </c>
      <c r="E172" s="293">
        <v>10</v>
      </c>
      <c r="F172" s="302"/>
      <c r="G172" s="294"/>
    </row>
    <row r="173" spans="1:7">
      <c r="A173" s="290"/>
      <c r="B173" s="291"/>
      <c r="C173" s="296"/>
      <c r="D173" s="307"/>
      <c r="E173" s="300"/>
      <c r="F173" s="302"/>
      <c r="G173" s="294"/>
    </row>
    <row r="174" spans="1:7" ht="26">
      <c r="A174" s="290">
        <v>10</v>
      </c>
      <c r="B174" s="291" t="s">
        <v>742</v>
      </c>
      <c r="C174" s="296" t="s">
        <v>743</v>
      </c>
      <c r="D174" s="290"/>
      <c r="E174" s="300"/>
      <c r="F174" s="294"/>
      <c r="G174" s="294"/>
    </row>
    <row r="175" spans="1:7">
      <c r="A175" s="290"/>
      <c r="B175" s="328"/>
      <c r="C175" s="296"/>
      <c r="D175" s="290"/>
      <c r="E175" s="293"/>
      <c r="F175" s="294"/>
      <c r="G175" s="294"/>
    </row>
    <row r="176" spans="1:7">
      <c r="A176" s="290">
        <v>10.1</v>
      </c>
      <c r="B176" s="291"/>
      <c r="C176" s="298" t="s">
        <v>744</v>
      </c>
      <c r="D176" s="290" t="s">
        <v>429</v>
      </c>
      <c r="E176" s="293">
        <v>1</v>
      </c>
      <c r="F176" s="294"/>
      <c r="G176" s="294"/>
    </row>
    <row r="177" spans="1:7">
      <c r="A177" s="290"/>
      <c r="B177" s="291"/>
      <c r="C177" s="301"/>
      <c r="D177" s="290"/>
      <c r="E177" s="300"/>
      <c r="F177" s="302"/>
      <c r="G177" s="294"/>
    </row>
    <row r="178" spans="1:7">
      <c r="A178" s="299">
        <v>10.199999999999999</v>
      </c>
      <c r="B178" s="291"/>
      <c r="C178" s="301" t="s">
        <v>745</v>
      </c>
      <c r="D178" s="290" t="s">
        <v>429</v>
      </c>
      <c r="E178" s="293">
        <v>1</v>
      </c>
      <c r="F178" s="294"/>
      <c r="G178" s="294"/>
    </row>
    <row r="179" spans="1:7">
      <c r="A179" s="290"/>
      <c r="B179" s="291"/>
      <c r="C179" s="296"/>
      <c r="D179" s="290"/>
      <c r="E179" s="300"/>
      <c r="F179" s="302"/>
      <c r="G179" s="294"/>
    </row>
    <row r="180" spans="1:7">
      <c r="A180" s="290">
        <v>10.3</v>
      </c>
      <c r="B180" s="291"/>
      <c r="C180" s="301" t="s">
        <v>746</v>
      </c>
      <c r="D180" s="290" t="s">
        <v>429</v>
      </c>
      <c r="E180" s="300">
        <v>1</v>
      </c>
      <c r="F180" s="302"/>
      <c r="G180" s="294"/>
    </row>
    <row r="181" spans="1:7">
      <c r="A181" s="290"/>
      <c r="B181" s="291"/>
      <c r="C181" s="296"/>
      <c r="D181" s="290"/>
      <c r="E181" s="300"/>
      <c r="F181" s="302"/>
      <c r="G181" s="294"/>
    </row>
    <row r="182" spans="1:7" ht="26">
      <c r="A182" s="290">
        <v>11</v>
      </c>
      <c r="B182" s="297" t="s">
        <v>747</v>
      </c>
      <c r="C182" s="298" t="s">
        <v>748</v>
      </c>
      <c r="D182" s="290"/>
      <c r="E182" s="293"/>
      <c r="F182" s="302"/>
      <c r="G182" s="294"/>
    </row>
    <row r="183" spans="1:7">
      <c r="A183" s="290"/>
      <c r="B183" s="291"/>
      <c r="C183" s="296"/>
      <c r="D183" s="290"/>
      <c r="E183" s="300"/>
      <c r="F183" s="302"/>
      <c r="G183" s="294"/>
    </row>
    <row r="184" spans="1:7">
      <c r="A184" s="290">
        <v>11.1</v>
      </c>
      <c r="B184" s="291"/>
      <c r="C184" s="301" t="s">
        <v>749</v>
      </c>
      <c r="D184" s="307" t="s">
        <v>3</v>
      </c>
      <c r="E184" s="300">
        <v>1</v>
      </c>
      <c r="F184" s="302"/>
      <c r="G184" s="294"/>
    </row>
    <row r="185" spans="1:7">
      <c r="A185" s="290"/>
      <c r="B185" s="291"/>
      <c r="C185" s="296"/>
      <c r="D185" s="290"/>
      <c r="E185" s="329"/>
      <c r="F185" s="302"/>
      <c r="G185" s="294"/>
    </row>
    <row r="186" spans="1:7">
      <c r="A186" s="290"/>
      <c r="B186" s="291"/>
      <c r="C186" s="306"/>
      <c r="D186" s="307"/>
      <c r="E186" s="300"/>
      <c r="F186" s="294"/>
      <c r="G186" s="294"/>
    </row>
    <row r="187" spans="1:7">
      <c r="A187" s="311"/>
      <c r="B187" s="312"/>
      <c r="C187" s="318" t="s">
        <v>26</v>
      </c>
      <c r="D187" s="314"/>
      <c r="E187" s="315"/>
      <c r="F187" s="316"/>
      <c r="G187" s="322"/>
    </row>
    <row r="188" spans="1:7">
      <c r="A188" s="311"/>
      <c r="B188" s="312"/>
      <c r="C188" s="318" t="s">
        <v>652</v>
      </c>
      <c r="D188" s="311"/>
      <c r="E188" s="315"/>
      <c r="F188" s="316"/>
      <c r="G188" s="322"/>
    </row>
    <row r="189" spans="1:7">
      <c r="A189" s="290"/>
      <c r="B189" s="291"/>
      <c r="C189" s="306"/>
      <c r="D189" s="307"/>
      <c r="E189" s="300"/>
      <c r="F189" s="294"/>
      <c r="G189" s="294"/>
    </row>
    <row r="190" spans="1:7">
      <c r="A190" s="290">
        <v>12</v>
      </c>
      <c r="B190" s="291"/>
      <c r="C190" s="306" t="s">
        <v>683</v>
      </c>
      <c r="D190" s="307"/>
      <c r="E190" s="300"/>
      <c r="F190" s="294"/>
      <c r="G190" s="294"/>
    </row>
    <row r="191" spans="1:7">
      <c r="A191" s="290"/>
      <c r="B191" s="291"/>
      <c r="C191" s="296"/>
      <c r="D191" s="290"/>
      <c r="E191" s="330"/>
      <c r="F191" s="331"/>
      <c r="G191" s="294"/>
    </row>
    <row r="192" spans="1:7">
      <c r="A192" s="290">
        <v>12.1</v>
      </c>
      <c r="B192" s="291"/>
      <c r="C192" s="332" t="s">
        <v>750</v>
      </c>
      <c r="D192" s="290" t="s">
        <v>3</v>
      </c>
      <c r="E192" s="293">
        <v>1</v>
      </c>
      <c r="F192" s="302"/>
      <c r="G192" s="294"/>
    </row>
    <row r="193" spans="1:7">
      <c r="A193" s="290"/>
      <c r="B193" s="291"/>
      <c r="C193" s="296"/>
      <c r="D193" s="290"/>
      <c r="E193" s="300"/>
      <c r="F193" s="302"/>
      <c r="G193" s="294"/>
    </row>
    <row r="194" spans="1:7">
      <c r="A194" s="290" t="s">
        <v>751</v>
      </c>
      <c r="B194" s="291"/>
      <c r="C194" s="301" t="s">
        <v>752</v>
      </c>
      <c r="D194" s="290" t="s">
        <v>3</v>
      </c>
      <c r="E194" s="293">
        <v>1</v>
      </c>
      <c r="F194" s="302"/>
      <c r="G194" s="294"/>
    </row>
    <row r="195" spans="1:7">
      <c r="A195" s="290"/>
      <c r="B195" s="291"/>
      <c r="C195" s="296"/>
      <c r="D195" s="290"/>
      <c r="E195" s="300"/>
      <c r="F195" s="302"/>
      <c r="G195" s="294"/>
    </row>
    <row r="196" spans="1:7" ht="26">
      <c r="A196" s="290">
        <v>13</v>
      </c>
      <c r="B196" s="291" t="s">
        <v>753</v>
      </c>
      <c r="C196" s="301" t="s">
        <v>754</v>
      </c>
      <c r="D196" s="290" t="s">
        <v>3</v>
      </c>
      <c r="E196" s="293">
        <v>1</v>
      </c>
      <c r="F196" s="302"/>
      <c r="G196" s="294"/>
    </row>
    <row r="197" spans="1:7">
      <c r="A197" s="290"/>
      <c r="B197" s="291"/>
      <c r="C197" s="301"/>
      <c r="D197" s="290"/>
      <c r="E197" s="293"/>
      <c r="F197" s="302"/>
      <c r="G197" s="294"/>
    </row>
    <row r="198" spans="1:7" ht="26">
      <c r="A198" s="290">
        <v>13.1</v>
      </c>
      <c r="B198" s="291"/>
      <c r="C198" s="298" t="s">
        <v>755</v>
      </c>
      <c r="D198" s="290" t="s">
        <v>3</v>
      </c>
      <c r="E198" s="293">
        <v>1</v>
      </c>
      <c r="F198" s="302"/>
      <c r="G198" s="294"/>
    </row>
    <row r="199" spans="1:7">
      <c r="A199" s="290"/>
      <c r="B199" s="291"/>
      <c r="C199" s="301"/>
      <c r="D199" s="290"/>
      <c r="E199" s="293"/>
      <c r="F199" s="302"/>
      <c r="G199" s="294"/>
    </row>
    <row r="200" spans="1:7">
      <c r="A200" s="290">
        <v>13.2</v>
      </c>
      <c r="B200" s="291"/>
      <c r="C200" s="301" t="s">
        <v>756</v>
      </c>
      <c r="D200" s="290" t="s">
        <v>429</v>
      </c>
      <c r="E200" s="293">
        <v>8</v>
      </c>
      <c r="F200" s="302"/>
      <c r="G200" s="294"/>
    </row>
    <row r="201" spans="1:7">
      <c r="A201" s="290"/>
      <c r="B201" s="291"/>
      <c r="C201" s="301"/>
      <c r="D201" s="290"/>
      <c r="E201" s="293" t="s">
        <v>757</v>
      </c>
      <c r="F201" s="302"/>
      <c r="G201" s="294"/>
    </row>
    <row r="202" spans="1:7">
      <c r="A202" s="290"/>
      <c r="B202" s="291"/>
      <c r="C202" s="296"/>
      <c r="D202" s="290"/>
      <c r="E202" s="300"/>
      <c r="F202" s="302"/>
      <c r="G202" s="294"/>
    </row>
    <row r="203" spans="1:7" ht="26">
      <c r="A203" s="290">
        <v>14</v>
      </c>
      <c r="B203" s="291" t="s">
        <v>758</v>
      </c>
      <c r="C203" s="306" t="s">
        <v>759</v>
      </c>
      <c r="D203" s="290" t="s">
        <v>3</v>
      </c>
      <c r="E203" s="293">
        <v>1</v>
      </c>
      <c r="F203" s="302"/>
      <c r="G203" s="294"/>
    </row>
    <row r="204" spans="1:7">
      <c r="A204" s="290"/>
      <c r="B204" s="333"/>
      <c r="C204" s="296"/>
      <c r="D204" s="307"/>
      <c r="E204" s="300"/>
      <c r="F204" s="302"/>
      <c r="G204" s="294"/>
    </row>
    <row r="205" spans="1:7" ht="26">
      <c r="A205" s="290">
        <v>15</v>
      </c>
      <c r="B205" s="297" t="s">
        <v>760</v>
      </c>
      <c r="C205" s="306" t="s">
        <v>761</v>
      </c>
      <c r="D205" s="290" t="s">
        <v>3</v>
      </c>
      <c r="E205" s="293">
        <v>1</v>
      </c>
      <c r="F205" s="302"/>
      <c r="G205" s="294"/>
    </row>
    <row r="206" spans="1:7">
      <c r="A206" s="290"/>
      <c r="B206" s="297"/>
      <c r="C206" s="306"/>
      <c r="D206" s="290"/>
      <c r="E206" s="293"/>
      <c r="F206" s="302"/>
      <c r="G206" s="294"/>
    </row>
    <row r="207" spans="1:7" ht="26">
      <c r="A207" s="290">
        <v>16</v>
      </c>
      <c r="B207" s="297" t="s">
        <v>762</v>
      </c>
      <c r="C207" s="306" t="s">
        <v>763</v>
      </c>
      <c r="D207" s="290" t="s">
        <v>3</v>
      </c>
      <c r="E207" s="293">
        <v>1</v>
      </c>
      <c r="F207" s="302"/>
      <c r="G207" s="294"/>
    </row>
    <row r="208" spans="1:7">
      <c r="A208" s="290"/>
      <c r="B208" s="291"/>
      <c r="C208" s="296"/>
      <c r="D208" s="290"/>
      <c r="E208" s="300"/>
      <c r="F208" s="302"/>
      <c r="G208" s="294"/>
    </row>
    <row r="209" spans="1:7" ht="26">
      <c r="A209" s="290">
        <v>17</v>
      </c>
      <c r="B209" s="297" t="s">
        <v>764</v>
      </c>
      <c r="C209" s="298" t="s">
        <v>765</v>
      </c>
      <c r="D209" s="290" t="s">
        <v>3</v>
      </c>
      <c r="E209" s="304">
        <v>1</v>
      </c>
      <c r="F209" s="302"/>
      <c r="G209" s="294"/>
    </row>
    <row r="210" spans="1:7">
      <c r="A210" s="290"/>
      <c r="B210" s="291"/>
      <c r="C210" s="296"/>
      <c r="D210" s="290"/>
      <c r="E210" s="293"/>
      <c r="F210" s="294"/>
      <c r="G210" s="294"/>
    </row>
    <row r="211" spans="1:7">
      <c r="A211" s="290"/>
      <c r="B211" s="291"/>
      <c r="C211" s="296"/>
      <c r="D211" s="290"/>
      <c r="E211" s="293"/>
      <c r="F211" s="294"/>
      <c r="G211" s="294"/>
    </row>
    <row r="212" spans="1:7">
      <c r="A212" s="290"/>
      <c r="B212" s="291"/>
      <c r="C212" s="296" t="s">
        <v>766</v>
      </c>
      <c r="D212" s="290"/>
      <c r="E212" s="293"/>
      <c r="F212" s="294"/>
      <c r="G212" s="294"/>
    </row>
    <row r="213" spans="1:7">
      <c r="A213" s="290"/>
      <c r="B213" s="291"/>
      <c r="C213" s="296"/>
      <c r="D213" s="290"/>
      <c r="E213" s="293"/>
      <c r="F213" s="294"/>
      <c r="G213" s="294"/>
    </row>
    <row r="214" spans="1:7">
      <c r="A214" s="290"/>
      <c r="B214" s="291"/>
      <c r="C214" s="296"/>
      <c r="D214" s="290"/>
      <c r="E214" s="293"/>
      <c r="F214" s="294"/>
      <c r="G214" s="294"/>
    </row>
    <row r="215" spans="1:7">
      <c r="A215" s="290">
        <v>18</v>
      </c>
      <c r="B215" s="291"/>
      <c r="C215" s="303" t="s">
        <v>610</v>
      </c>
      <c r="D215" s="290"/>
      <c r="E215" s="300"/>
      <c r="F215" s="294"/>
      <c r="G215" s="294"/>
    </row>
    <row r="216" spans="1:7">
      <c r="A216" s="290"/>
      <c r="B216" s="291"/>
      <c r="C216" s="296"/>
      <c r="D216" s="290"/>
      <c r="E216" s="300"/>
      <c r="F216" s="294"/>
      <c r="G216" s="294"/>
    </row>
    <row r="217" spans="1:7">
      <c r="A217" s="290">
        <v>18.100000000000001</v>
      </c>
      <c r="B217" s="295"/>
      <c r="C217" s="298" t="s">
        <v>611</v>
      </c>
      <c r="D217" s="290" t="s">
        <v>767</v>
      </c>
      <c r="E217" s="300">
        <v>8</v>
      </c>
      <c r="F217" s="294"/>
      <c r="G217" s="294"/>
    </row>
    <row r="218" spans="1:7">
      <c r="A218" s="290"/>
      <c r="B218" s="295"/>
      <c r="C218" s="296"/>
      <c r="D218" s="290"/>
      <c r="E218" s="300"/>
      <c r="F218" s="294"/>
      <c r="G218" s="294"/>
    </row>
    <row r="219" spans="1:7">
      <c r="A219" s="290">
        <v>18.2</v>
      </c>
      <c r="B219" s="291"/>
      <c r="C219" s="301" t="s">
        <v>612</v>
      </c>
      <c r="D219" s="290" t="s">
        <v>767</v>
      </c>
      <c r="E219" s="300">
        <v>8</v>
      </c>
      <c r="F219" s="294"/>
      <c r="G219" s="294"/>
    </row>
    <row r="220" spans="1:7">
      <c r="A220" s="290"/>
      <c r="B220" s="291"/>
      <c r="C220" s="296"/>
      <c r="D220" s="290"/>
      <c r="E220" s="300"/>
      <c r="F220" s="294"/>
      <c r="G220" s="294"/>
    </row>
    <row r="221" spans="1:7">
      <c r="A221" s="290">
        <v>18.3</v>
      </c>
      <c r="B221" s="291"/>
      <c r="C221" s="301" t="s">
        <v>613</v>
      </c>
      <c r="D221" s="290" t="s">
        <v>767</v>
      </c>
      <c r="E221" s="300">
        <v>8</v>
      </c>
      <c r="F221" s="302"/>
      <c r="G221" s="294"/>
    </row>
    <row r="222" spans="1:7">
      <c r="A222" s="290"/>
      <c r="B222" s="291"/>
      <c r="C222" s="296"/>
      <c r="D222" s="290"/>
      <c r="E222" s="293"/>
      <c r="F222" s="302"/>
      <c r="G222" s="294"/>
    </row>
    <row r="223" spans="1:7" ht="26">
      <c r="A223" s="290">
        <v>18.399999999999999</v>
      </c>
      <c r="B223" s="291" t="s">
        <v>614</v>
      </c>
      <c r="C223" s="301" t="s">
        <v>615</v>
      </c>
      <c r="D223" s="290" t="s">
        <v>767</v>
      </c>
      <c r="E223" s="300">
        <v>8</v>
      </c>
      <c r="F223" s="302"/>
      <c r="G223" s="294"/>
    </row>
    <row r="224" spans="1:7">
      <c r="A224" s="290"/>
      <c r="B224" s="291"/>
      <c r="C224" s="296"/>
      <c r="D224" s="290"/>
      <c r="E224" s="293"/>
      <c r="F224" s="302"/>
      <c r="G224" s="294"/>
    </row>
    <row r="225" spans="1:7" ht="26">
      <c r="A225" s="290">
        <v>18.5</v>
      </c>
      <c r="B225" s="297" t="s">
        <v>616</v>
      </c>
      <c r="C225" s="323" t="s">
        <v>768</v>
      </c>
      <c r="D225" s="290" t="s">
        <v>767</v>
      </c>
      <c r="E225" s="300">
        <v>8</v>
      </c>
      <c r="F225" s="302"/>
      <c r="G225" s="294"/>
    </row>
    <row r="226" spans="1:7">
      <c r="A226" s="290"/>
      <c r="B226" s="291"/>
      <c r="C226" s="296"/>
      <c r="D226" s="290"/>
      <c r="E226" s="300"/>
      <c r="F226" s="302"/>
      <c r="G226" s="294"/>
    </row>
    <row r="227" spans="1:7" ht="26">
      <c r="A227" s="290">
        <v>18.600000000000001</v>
      </c>
      <c r="B227" s="291" t="s">
        <v>618</v>
      </c>
      <c r="C227" s="301" t="s">
        <v>619</v>
      </c>
      <c r="D227" s="290" t="s">
        <v>767</v>
      </c>
      <c r="E227" s="304">
        <v>8</v>
      </c>
      <c r="F227" s="305"/>
      <c r="G227" s="294"/>
    </row>
    <row r="228" spans="1:7">
      <c r="A228" s="290"/>
      <c r="B228" s="291"/>
      <c r="C228" s="296"/>
      <c r="D228" s="290"/>
      <c r="E228" s="293"/>
      <c r="F228" s="294"/>
      <c r="G228" s="294"/>
    </row>
    <row r="229" spans="1:7">
      <c r="A229" s="290">
        <v>18.7</v>
      </c>
      <c r="B229" s="291" t="s">
        <v>620</v>
      </c>
      <c r="C229" s="301" t="s">
        <v>621</v>
      </c>
      <c r="D229" s="290" t="s">
        <v>767</v>
      </c>
      <c r="E229" s="293">
        <v>8</v>
      </c>
      <c r="F229" s="294"/>
      <c r="G229" s="294"/>
    </row>
    <row r="230" spans="1:7">
      <c r="A230" s="290"/>
      <c r="B230" s="291"/>
      <c r="C230" s="296"/>
      <c r="D230" s="290"/>
      <c r="E230" s="293"/>
      <c r="F230" s="294"/>
      <c r="G230" s="294"/>
    </row>
    <row r="231" spans="1:7" ht="26">
      <c r="A231" s="290">
        <v>18.8</v>
      </c>
      <c r="B231" s="291" t="s">
        <v>622</v>
      </c>
      <c r="C231" s="301" t="s">
        <v>623</v>
      </c>
      <c r="D231" s="290" t="s">
        <v>767</v>
      </c>
      <c r="E231" s="300">
        <v>8</v>
      </c>
      <c r="F231" s="294"/>
      <c r="G231" s="294"/>
    </row>
    <row r="232" spans="1:7">
      <c r="A232" s="290"/>
      <c r="B232" s="291"/>
      <c r="C232" s="296"/>
      <c r="D232" s="290"/>
      <c r="E232" s="293"/>
      <c r="F232" s="294"/>
      <c r="G232" s="294"/>
    </row>
    <row r="233" spans="1:7">
      <c r="A233" s="290">
        <v>18.899999999999999</v>
      </c>
      <c r="B233" s="291" t="s">
        <v>622</v>
      </c>
      <c r="C233" s="298" t="s">
        <v>624</v>
      </c>
      <c r="D233" s="290" t="s">
        <v>767</v>
      </c>
      <c r="E233" s="300">
        <v>8</v>
      </c>
      <c r="F233" s="302"/>
      <c r="G233" s="294"/>
    </row>
    <row r="234" spans="1:7">
      <c r="A234" s="290"/>
      <c r="B234" s="291"/>
      <c r="C234" s="296"/>
      <c r="D234" s="290"/>
      <c r="E234" s="300"/>
      <c r="F234" s="302"/>
      <c r="G234" s="294"/>
    </row>
    <row r="235" spans="1:7" ht="26">
      <c r="A235" s="290">
        <v>19</v>
      </c>
      <c r="B235" s="297" t="s">
        <v>625</v>
      </c>
      <c r="C235" s="296" t="s">
        <v>626</v>
      </c>
      <c r="D235" s="290"/>
      <c r="E235" s="300"/>
      <c r="F235" s="302"/>
      <c r="G235" s="294"/>
    </row>
    <row r="236" spans="1:7">
      <c r="A236" s="290"/>
      <c r="B236" s="291"/>
      <c r="C236" s="296"/>
      <c r="D236" s="290"/>
      <c r="E236" s="300"/>
      <c r="F236" s="302"/>
      <c r="G236" s="294"/>
    </row>
    <row r="237" spans="1:7">
      <c r="A237" s="290">
        <v>19.100000000000001</v>
      </c>
      <c r="B237" s="291"/>
      <c r="C237" s="298" t="s">
        <v>628</v>
      </c>
      <c r="D237" s="290" t="s">
        <v>767</v>
      </c>
      <c r="E237" s="300">
        <v>8</v>
      </c>
      <c r="F237" s="302"/>
      <c r="G237" s="294"/>
    </row>
    <row r="238" spans="1:7">
      <c r="A238" s="290"/>
      <c r="B238" s="291"/>
      <c r="C238" s="296"/>
      <c r="D238" s="290"/>
      <c r="E238" s="300"/>
      <c r="F238" s="302"/>
      <c r="G238" s="294"/>
    </row>
    <row r="239" spans="1:7">
      <c r="A239" s="290">
        <v>19.2</v>
      </c>
      <c r="B239" s="291"/>
      <c r="C239" s="301" t="s">
        <v>631</v>
      </c>
      <c r="D239" s="290" t="s">
        <v>767</v>
      </c>
      <c r="E239" s="300">
        <v>8</v>
      </c>
      <c r="F239" s="302"/>
      <c r="G239" s="294"/>
    </row>
    <row r="240" spans="1:7">
      <c r="A240" s="290"/>
      <c r="B240" s="291"/>
      <c r="C240" s="296"/>
      <c r="D240" s="290"/>
      <c r="E240" s="300"/>
      <c r="F240" s="302"/>
      <c r="G240" s="294"/>
    </row>
    <row r="241" spans="1:7">
      <c r="A241" s="290">
        <v>19.3</v>
      </c>
      <c r="B241" s="291"/>
      <c r="C241" s="306" t="s">
        <v>633</v>
      </c>
      <c r="D241" s="290"/>
      <c r="E241" s="300"/>
      <c r="F241" s="302"/>
      <c r="G241" s="294"/>
    </row>
    <row r="242" spans="1:7">
      <c r="A242" s="290"/>
      <c r="B242" s="291"/>
      <c r="C242" s="296"/>
      <c r="D242" s="290"/>
      <c r="E242" s="300"/>
      <c r="F242" s="302"/>
      <c r="G242" s="294"/>
    </row>
    <row r="243" spans="1:7">
      <c r="A243" s="290" t="s">
        <v>769</v>
      </c>
      <c r="B243" s="291"/>
      <c r="C243" s="301" t="s">
        <v>635</v>
      </c>
      <c r="D243" s="290" t="s">
        <v>767</v>
      </c>
      <c r="E243" s="300">
        <v>8</v>
      </c>
      <c r="F243" s="302"/>
      <c r="G243" s="294"/>
    </row>
    <row r="244" spans="1:7">
      <c r="A244" s="290"/>
      <c r="B244" s="291"/>
      <c r="C244" s="296"/>
      <c r="D244" s="290"/>
      <c r="E244" s="300"/>
      <c r="F244" s="302"/>
      <c r="G244" s="294"/>
    </row>
    <row r="245" spans="1:7">
      <c r="A245" s="311"/>
      <c r="B245" s="312"/>
      <c r="C245" s="334" t="s">
        <v>26</v>
      </c>
      <c r="D245" s="314"/>
      <c r="E245" s="315"/>
      <c r="F245" s="316"/>
      <c r="G245" s="322"/>
    </row>
    <row r="246" spans="1:7">
      <c r="A246" s="311"/>
      <c r="B246" s="312"/>
      <c r="C246" s="318" t="s">
        <v>652</v>
      </c>
      <c r="D246" s="311"/>
      <c r="E246" s="315"/>
      <c r="F246" s="316"/>
      <c r="G246" s="322"/>
    </row>
    <row r="247" spans="1:7">
      <c r="A247" s="290"/>
      <c r="B247" s="291"/>
      <c r="C247" s="296"/>
      <c r="D247" s="290"/>
      <c r="E247" s="300"/>
      <c r="F247" s="302"/>
      <c r="G247" s="294"/>
    </row>
    <row r="248" spans="1:7">
      <c r="A248" s="290" t="s">
        <v>770</v>
      </c>
      <c r="B248" s="291"/>
      <c r="C248" s="301" t="s">
        <v>637</v>
      </c>
      <c r="D248" s="290" t="s">
        <v>767</v>
      </c>
      <c r="E248" s="300">
        <v>8</v>
      </c>
      <c r="F248" s="302"/>
      <c r="G248" s="294"/>
    </row>
    <row r="249" spans="1:7">
      <c r="A249" s="290"/>
      <c r="B249" s="291"/>
      <c r="C249" s="296"/>
      <c r="D249" s="290"/>
      <c r="E249" s="293"/>
      <c r="F249" s="302"/>
      <c r="G249" s="294"/>
    </row>
    <row r="250" spans="1:7">
      <c r="A250" s="290">
        <v>19.399999999999999</v>
      </c>
      <c r="B250" s="291"/>
      <c r="C250" s="298" t="s">
        <v>639</v>
      </c>
      <c r="D250" s="290" t="s">
        <v>767</v>
      </c>
      <c r="E250" s="300">
        <v>8</v>
      </c>
      <c r="F250" s="302"/>
      <c r="G250" s="294"/>
    </row>
    <row r="251" spans="1:7">
      <c r="A251" s="290"/>
      <c r="B251" s="291"/>
      <c r="C251" s="296"/>
      <c r="D251" s="290"/>
      <c r="E251" s="293"/>
      <c r="F251" s="302"/>
      <c r="G251" s="294"/>
    </row>
    <row r="252" spans="1:7">
      <c r="A252" s="290">
        <v>19.5</v>
      </c>
      <c r="B252" s="291"/>
      <c r="C252" s="298" t="s">
        <v>771</v>
      </c>
      <c r="D252" s="290" t="s">
        <v>767</v>
      </c>
      <c r="E252" s="300">
        <v>8</v>
      </c>
      <c r="F252" s="302"/>
      <c r="G252" s="294"/>
    </row>
    <row r="253" spans="1:7">
      <c r="A253" s="290"/>
      <c r="B253" s="291"/>
      <c r="C253" s="296"/>
      <c r="D253" s="290"/>
      <c r="E253" s="293"/>
      <c r="F253" s="302"/>
      <c r="G253" s="294"/>
    </row>
    <row r="254" spans="1:7">
      <c r="A254" s="290">
        <v>19.600000000000001</v>
      </c>
      <c r="C254" s="301" t="s">
        <v>643</v>
      </c>
      <c r="D254" s="290" t="s">
        <v>767</v>
      </c>
      <c r="E254" s="300">
        <v>8</v>
      </c>
      <c r="F254" s="302"/>
      <c r="G254" s="294"/>
    </row>
    <row r="255" spans="1:7">
      <c r="A255" s="290"/>
      <c r="C255" s="296"/>
      <c r="D255" s="290"/>
      <c r="E255" s="293"/>
      <c r="F255" s="302"/>
      <c r="G255" s="294"/>
    </row>
    <row r="256" spans="1:7">
      <c r="A256" s="290">
        <v>19.7</v>
      </c>
      <c r="C256" s="301" t="s">
        <v>645</v>
      </c>
      <c r="D256" s="290" t="s">
        <v>767</v>
      </c>
      <c r="E256" s="300">
        <v>8</v>
      </c>
      <c r="F256" s="302"/>
      <c r="G256" s="294"/>
    </row>
    <row r="257" spans="1:7">
      <c r="A257" s="290"/>
      <c r="B257" s="291"/>
      <c r="C257" s="296"/>
      <c r="D257" s="290"/>
      <c r="E257" s="293"/>
      <c r="F257" s="302"/>
      <c r="G257" s="294"/>
    </row>
    <row r="258" spans="1:7">
      <c r="A258" s="290">
        <v>19.8</v>
      </c>
      <c r="B258" s="291"/>
      <c r="C258" s="301" t="s">
        <v>647</v>
      </c>
      <c r="D258" s="290" t="s">
        <v>767</v>
      </c>
      <c r="E258" s="300">
        <v>8</v>
      </c>
      <c r="F258" s="302"/>
      <c r="G258" s="294"/>
    </row>
    <row r="259" spans="1:7">
      <c r="A259" s="290"/>
      <c r="C259" s="301"/>
      <c r="D259" s="290"/>
      <c r="E259" s="300"/>
      <c r="F259" s="302"/>
      <c r="G259" s="294"/>
    </row>
    <row r="260" spans="1:7">
      <c r="A260" s="290">
        <v>19.899999999999999</v>
      </c>
      <c r="C260" s="301" t="s">
        <v>649</v>
      </c>
      <c r="D260" s="290" t="s">
        <v>767</v>
      </c>
      <c r="E260" s="300">
        <v>8</v>
      </c>
      <c r="F260" s="302"/>
      <c r="G260" s="294"/>
    </row>
    <row r="261" spans="1:7">
      <c r="A261" s="290"/>
      <c r="C261" s="296"/>
      <c r="D261" s="290"/>
      <c r="E261" s="300"/>
      <c r="F261" s="302"/>
      <c r="G261" s="294"/>
    </row>
    <row r="262" spans="1:7" ht="26">
      <c r="A262" s="290">
        <v>20</v>
      </c>
      <c r="B262" s="307" t="s">
        <v>650</v>
      </c>
      <c r="C262" s="298" t="s">
        <v>651</v>
      </c>
      <c r="D262" s="290"/>
      <c r="E262" s="300"/>
      <c r="F262" s="302"/>
      <c r="G262" s="294"/>
    </row>
    <row r="263" spans="1:7">
      <c r="A263" s="290"/>
      <c r="B263" s="291"/>
      <c r="C263" s="296"/>
      <c r="D263" s="290"/>
      <c r="E263" s="293"/>
      <c r="F263" s="302"/>
      <c r="G263" s="294"/>
    </row>
    <row r="264" spans="1:7">
      <c r="A264" s="290">
        <v>20.100000000000001</v>
      </c>
      <c r="B264" s="291"/>
      <c r="C264" s="301" t="s">
        <v>654</v>
      </c>
      <c r="D264" s="290" t="s">
        <v>767</v>
      </c>
      <c r="E264" s="300">
        <v>8</v>
      </c>
      <c r="F264" s="302"/>
      <c r="G264" s="294"/>
    </row>
    <row r="265" spans="1:7">
      <c r="A265" s="290"/>
      <c r="B265" s="291"/>
      <c r="C265" s="296"/>
      <c r="D265" s="290"/>
      <c r="E265" s="300"/>
      <c r="F265" s="302"/>
      <c r="G265" s="294"/>
    </row>
    <row r="266" spans="1:7">
      <c r="A266" s="290">
        <v>20.2</v>
      </c>
      <c r="B266" s="291"/>
      <c r="C266" s="301" t="s">
        <v>656</v>
      </c>
      <c r="D266" s="290" t="s">
        <v>767</v>
      </c>
      <c r="E266" s="293">
        <v>8</v>
      </c>
      <c r="F266" s="302"/>
      <c r="G266" s="294"/>
    </row>
    <row r="267" spans="1:7">
      <c r="A267" s="290"/>
      <c r="B267" s="291"/>
      <c r="C267" s="296"/>
      <c r="D267" s="290"/>
      <c r="E267" s="300"/>
      <c r="F267" s="302"/>
      <c r="G267" s="294"/>
    </row>
    <row r="268" spans="1:7">
      <c r="A268" s="290">
        <v>20.3</v>
      </c>
      <c r="B268" s="291"/>
      <c r="C268" s="301" t="s">
        <v>659</v>
      </c>
      <c r="D268" s="290" t="s">
        <v>767</v>
      </c>
      <c r="E268" s="293">
        <v>8</v>
      </c>
      <c r="F268" s="294"/>
      <c r="G268" s="294"/>
    </row>
    <row r="269" spans="1:7">
      <c r="A269" s="290"/>
      <c r="B269" s="291"/>
      <c r="C269" s="296"/>
      <c r="D269" s="290"/>
      <c r="E269" s="300"/>
      <c r="F269" s="294"/>
      <c r="G269" s="294"/>
    </row>
    <row r="270" spans="1:7" ht="26">
      <c r="A270" s="290">
        <v>21</v>
      </c>
      <c r="B270" s="297" t="s">
        <v>660</v>
      </c>
      <c r="C270" s="301" t="s">
        <v>661</v>
      </c>
      <c r="D270" s="290" t="s">
        <v>767</v>
      </c>
      <c r="E270" s="300">
        <v>8</v>
      </c>
      <c r="F270" s="294"/>
      <c r="G270" s="294"/>
    </row>
    <row r="271" spans="1:7">
      <c r="A271" s="290"/>
      <c r="B271" s="295"/>
      <c r="C271" s="296"/>
      <c r="D271" s="290"/>
      <c r="E271" s="300"/>
      <c r="F271" s="294"/>
      <c r="G271" s="294"/>
    </row>
    <row r="272" spans="1:7" ht="26">
      <c r="A272" s="291">
        <v>22</v>
      </c>
      <c r="B272" s="297" t="s">
        <v>718</v>
      </c>
      <c r="C272" s="296" t="s">
        <v>719</v>
      </c>
      <c r="D272" s="290"/>
      <c r="E272" s="300"/>
      <c r="F272" s="294"/>
      <c r="G272" s="294"/>
    </row>
    <row r="273" spans="1:7">
      <c r="A273" s="291"/>
      <c r="B273" s="291"/>
      <c r="C273" s="296"/>
      <c r="E273" s="300"/>
      <c r="F273" s="294"/>
      <c r="G273" s="294"/>
    </row>
    <row r="274" spans="1:7" ht="26">
      <c r="A274" s="291">
        <v>22.1</v>
      </c>
      <c r="B274" s="291"/>
      <c r="C274" s="298" t="s">
        <v>720</v>
      </c>
      <c r="D274" s="290" t="s">
        <v>767</v>
      </c>
      <c r="E274" s="300">
        <v>8</v>
      </c>
      <c r="F274" s="294"/>
      <c r="G274" s="294"/>
    </row>
    <row r="275" spans="1:7">
      <c r="A275" s="290"/>
      <c r="B275" s="291"/>
      <c r="C275" s="296"/>
      <c r="E275" s="293"/>
      <c r="F275" s="294"/>
      <c r="G275" s="294"/>
    </row>
    <row r="276" spans="1:7">
      <c r="A276" s="290">
        <v>23</v>
      </c>
      <c r="B276" s="297" t="s">
        <v>721</v>
      </c>
      <c r="C276" s="326" t="s">
        <v>722</v>
      </c>
      <c r="E276" s="293"/>
      <c r="F276" s="294"/>
      <c r="G276" s="294"/>
    </row>
    <row r="277" spans="1:7">
      <c r="A277" s="290"/>
      <c r="B277" s="291"/>
      <c r="C277" s="296"/>
      <c r="D277" s="327"/>
      <c r="E277" s="293"/>
      <c r="F277" s="294"/>
      <c r="G277" s="294"/>
    </row>
    <row r="278" spans="1:7">
      <c r="A278" s="290">
        <v>23.1</v>
      </c>
      <c r="B278" s="291"/>
      <c r="C278" s="298" t="s">
        <v>723</v>
      </c>
      <c r="D278" s="290" t="s">
        <v>767</v>
      </c>
      <c r="E278" s="293">
        <v>8</v>
      </c>
      <c r="F278" s="294"/>
      <c r="G278" s="294"/>
    </row>
    <row r="279" spans="1:7">
      <c r="A279" s="290"/>
      <c r="B279" s="291"/>
      <c r="C279" s="296"/>
      <c r="D279" s="307"/>
      <c r="E279" s="300"/>
      <c r="F279" s="294"/>
      <c r="G279" s="294"/>
    </row>
    <row r="280" spans="1:7">
      <c r="A280" s="290"/>
      <c r="B280" s="291"/>
      <c r="C280" s="296"/>
      <c r="D280" s="290"/>
      <c r="E280" s="300"/>
      <c r="F280" s="302"/>
      <c r="G280" s="294"/>
    </row>
    <row r="281" spans="1:7" ht="26">
      <c r="A281" s="290">
        <v>24</v>
      </c>
      <c r="B281" s="297" t="s">
        <v>747</v>
      </c>
      <c r="C281" s="298" t="s">
        <v>748</v>
      </c>
      <c r="D281" s="290"/>
      <c r="E281" s="293"/>
      <c r="F281" s="302"/>
      <c r="G281" s="294"/>
    </row>
    <row r="282" spans="1:7">
      <c r="A282" s="290"/>
      <c r="B282" s="291"/>
      <c r="C282" s="296"/>
      <c r="D282" s="290"/>
      <c r="E282" s="300"/>
      <c r="F282" s="302"/>
      <c r="G282" s="294"/>
    </row>
    <row r="283" spans="1:7">
      <c r="A283" s="290">
        <v>24.1</v>
      </c>
      <c r="B283" s="291"/>
      <c r="C283" s="301" t="s">
        <v>749</v>
      </c>
      <c r="D283" s="307" t="s">
        <v>767</v>
      </c>
      <c r="E283" s="300">
        <v>8</v>
      </c>
      <c r="F283" s="302"/>
      <c r="G283" s="294"/>
    </row>
    <row r="284" spans="1:7">
      <c r="A284" s="290"/>
      <c r="B284" s="291"/>
      <c r="C284" s="296"/>
      <c r="D284" s="290"/>
      <c r="E284" s="293"/>
      <c r="F284" s="294"/>
      <c r="G284" s="294"/>
    </row>
    <row r="285" spans="1:7">
      <c r="A285" s="290"/>
      <c r="B285" s="291"/>
      <c r="C285" s="296"/>
      <c r="D285" s="290"/>
      <c r="E285" s="293"/>
      <c r="F285" s="294"/>
      <c r="G285" s="294"/>
    </row>
    <row r="286" spans="1:7">
      <c r="A286" s="525" t="s">
        <v>772</v>
      </c>
      <c r="B286" s="526"/>
      <c r="C286" s="526"/>
      <c r="D286" s="526"/>
      <c r="E286" s="526"/>
      <c r="F286" s="527"/>
      <c r="G286" s="335"/>
    </row>
  </sheetData>
  <mergeCells count="8">
    <mergeCell ref="E5:G5"/>
    <mergeCell ref="A286:F286"/>
    <mergeCell ref="B1:C1"/>
    <mergeCell ref="A4:B4"/>
    <mergeCell ref="A5:A6"/>
    <mergeCell ref="B5:B6"/>
    <mergeCell ref="C5:C6"/>
    <mergeCell ref="D5:D6"/>
  </mergeCells>
  <pageMargins left="0.7" right="0.7" top="0.75" bottom="0.75" header="0.3" footer="0.3"/>
  <pageSetup paperSize="9" scale="78" firstPageNumber="243" orientation="portrait" useFirstPageNumber="1" r:id="rId1"/>
  <headerFooter>
    <oddFooter>&amp;CC.2.1 - &amp;P</oddFooter>
  </headerFooter>
  <rowBreaks count="4" manualBreakCount="4">
    <brk id="64" max="16383" man="1"/>
    <brk id="127" max="16383" man="1"/>
    <brk id="187" max="16383" man="1"/>
    <brk id="24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J222"/>
  <sheetViews>
    <sheetView view="pageBreakPreview" zoomScale="110" zoomScaleNormal="125" zoomScaleSheetLayoutView="110" zoomScalePageLayoutView="106" workbookViewId="0">
      <selection activeCell="C17" sqref="C17"/>
    </sheetView>
  </sheetViews>
  <sheetFormatPr baseColWidth="10" defaultColWidth="9.1640625" defaultRowHeight="13"/>
  <cols>
    <col min="1" max="1" width="8.1640625" style="21" customWidth="1"/>
    <col min="2" max="2" width="14.1640625" style="21" customWidth="1"/>
    <col min="3" max="3" width="56.6640625" style="21" customWidth="1"/>
    <col min="4" max="4" width="11.33203125" style="21" customWidth="1"/>
    <col min="5" max="5" width="12.33203125" style="21" customWidth="1"/>
    <col min="6" max="6" width="13.6640625" style="21" customWidth="1"/>
    <col min="7" max="7" width="15.5" style="21" customWidth="1"/>
    <col min="8" max="8" width="9.1640625" style="21"/>
    <col min="9" max="9" width="11.6640625" style="21" bestFit="1" customWidth="1"/>
    <col min="10" max="16384" width="9.1640625" style="21"/>
  </cols>
  <sheetData>
    <row r="1" spans="1:10">
      <c r="A1" s="15"/>
      <c r="B1" s="15"/>
      <c r="C1" s="15"/>
      <c r="D1" s="15"/>
      <c r="E1" s="15"/>
      <c r="F1" s="20"/>
      <c r="G1" s="20"/>
    </row>
    <row r="2" spans="1:10" ht="26.25" customHeight="1">
      <c r="A2" s="1" t="s">
        <v>0</v>
      </c>
      <c r="B2" s="1" t="s">
        <v>9</v>
      </c>
      <c r="C2" s="2" t="s">
        <v>1</v>
      </c>
      <c r="D2" s="2" t="s">
        <v>10</v>
      </c>
      <c r="E2" s="2" t="s">
        <v>11</v>
      </c>
      <c r="F2" s="2" t="s">
        <v>12</v>
      </c>
      <c r="G2" s="2" t="s">
        <v>13</v>
      </c>
    </row>
    <row r="3" spans="1:10" ht="30" customHeight="1">
      <c r="A3" s="3">
        <v>2</v>
      </c>
      <c r="B3" s="257"/>
      <c r="C3" s="4" t="s">
        <v>801</v>
      </c>
      <c r="D3" s="3"/>
      <c r="E3" s="3"/>
      <c r="F3" s="3"/>
      <c r="G3" s="3"/>
    </row>
    <row r="4" spans="1:10" ht="14.25" customHeight="1">
      <c r="A4" s="411"/>
      <c r="B4" s="264"/>
      <c r="C4" s="412"/>
      <c r="D4" s="411"/>
      <c r="E4" s="411"/>
      <c r="F4" s="411"/>
      <c r="G4" s="411"/>
    </row>
    <row r="5" spans="1:10" ht="44" customHeight="1">
      <c r="A5" s="3"/>
      <c r="B5" s="257"/>
      <c r="C5" s="41" t="s">
        <v>897</v>
      </c>
      <c r="D5" s="3"/>
      <c r="E5" s="3"/>
      <c r="F5" s="3"/>
      <c r="G5" s="3"/>
    </row>
    <row r="6" spans="1:10" ht="24" customHeight="1">
      <c r="A6" s="6">
        <v>2.1</v>
      </c>
      <c r="B6" s="257"/>
      <c r="C6" s="4"/>
      <c r="D6" s="7"/>
      <c r="E6" s="7"/>
      <c r="F6" s="8"/>
      <c r="G6" s="8"/>
    </row>
    <row r="7" spans="1:10" ht="37" customHeight="1">
      <c r="A7" s="9" t="s">
        <v>805</v>
      </c>
      <c r="B7" s="338"/>
      <c r="C7" s="11"/>
      <c r="D7" s="405"/>
      <c r="E7" s="14"/>
      <c r="F7" s="498"/>
      <c r="G7" s="499"/>
    </row>
    <row r="8" spans="1:10" ht="37" customHeight="1">
      <c r="A8" s="9" t="s">
        <v>499</v>
      </c>
      <c r="B8" s="10"/>
      <c r="C8" s="11"/>
      <c r="D8" s="405"/>
      <c r="E8" s="14"/>
      <c r="F8" s="498"/>
      <c r="G8" s="499"/>
    </row>
    <row r="9" spans="1:10" ht="37" customHeight="1">
      <c r="A9" s="9" t="s">
        <v>500</v>
      </c>
      <c r="B9" s="10"/>
      <c r="C9" s="413"/>
      <c r="D9" s="7"/>
      <c r="E9" s="14"/>
      <c r="F9" s="498"/>
      <c r="G9" s="499"/>
    </row>
    <row r="10" spans="1:10" ht="37" customHeight="1">
      <c r="A10" s="9" t="s">
        <v>802</v>
      </c>
      <c r="B10" s="13"/>
      <c r="C10" s="11"/>
      <c r="D10" s="7"/>
      <c r="E10" s="14"/>
      <c r="F10" s="498"/>
      <c r="G10" s="499"/>
      <c r="J10" s="21">
        <f>1.1*9.81*0.09145*190/0.8</f>
        <v>234.37377562500006</v>
      </c>
    </row>
    <row r="11" spans="1:10" ht="37" customHeight="1">
      <c r="A11" s="9" t="s">
        <v>803</v>
      </c>
      <c r="B11" s="13"/>
      <c r="C11" s="11"/>
      <c r="D11" s="7"/>
      <c r="E11" s="14"/>
      <c r="F11" s="498"/>
      <c r="G11" s="499"/>
      <c r="I11" s="178"/>
    </row>
    <row r="12" spans="1:10" ht="37" customHeight="1">
      <c r="A12" s="9" t="s">
        <v>804</v>
      </c>
      <c r="B12" s="13"/>
      <c r="C12" s="54"/>
      <c r="D12" s="55"/>
      <c r="E12" s="50"/>
      <c r="F12" s="500"/>
      <c r="G12" s="499"/>
    </row>
    <row r="13" spans="1:10" ht="37" customHeight="1">
      <c r="A13" s="9" t="s">
        <v>807</v>
      </c>
      <c r="B13" s="13"/>
      <c r="C13" s="19"/>
      <c r="D13" s="7"/>
      <c r="E13" s="14"/>
      <c r="F13" s="500"/>
      <c r="G13" s="499"/>
    </row>
    <row r="14" spans="1:10" ht="27.75" customHeight="1">
      <c r="A14" s="9" t="s">
        <v>808</v>
      </c>
      <c r="B14" s="13"/>
      <c r="C14" s="404"/>
      <c r="D14" s="405"/>
      <c r="E14" s="14"/>
      <c r="F14" s="500"/>
      <c r="G14" s="499"/>
    </row>
    <row r="15" spans="1:10" ht="29.25" customHeight="1">
      <c r="A15" s="9" t="s">
        <v>813</v>
      </c>
      <c r="B15" s="13"/>
      <c r="C15" s="404"/>
      <c r="D15" s="405"/>
      <c r="E15" s="14"/>
      <c r="F15" s="500"/>
      <c r="G15" s="499"/>
    </row>
    <row r="16" spans="1:10" ht="20.25" customHeight="1">
      <c r="A16" s="9"/>
      <c r="B16" s="13"/>
      <c r="C16" s="404"/>
      <c r="D16" s="405"/>
      <c r="E16" s="14"/>
      <c r="F16" s="406"/>
      <c r="G16" s="410"/>
    </row>
    <row r="17" spans="1:7" ht="26.5" customHeight="1">
      <c r="A17" s="43">
        <v>2.2000000000000002</v>
      </c>
      <c r="B17" s="62"/>
      <c r="C17" s="68" t="s">
        <v>806</v>
      </c>
      <c r="D17" s="7"/>
      <c r="E17" s="100"/>
      <c r="F17" s="106"/>
      <c r="G17" s="107"/>
    </row>
    <row r="18" spans="1:7" ht="33" customHeight="1">
      <c r="A18" s="43"/>
      <c r="B18" s="62"/>
      <c r="C18" s="68"/>
      <c r="D18" s="7"/>
      <c r="E18" s="100"/>
      <c r="F18" s="106"/>
      <c r="G18" s="107"/>
    </row>
    <row r="19" spans="1:7" ht="40" customHeight="1">
      <c r="A19" s="9" t="s">
        <v>809</v>
      </c>
      <c r="B19" s="15"/>
      <c r="C19" s="16"/>
      <c r="D19" s="9"/>
      <c r="E19" s="14"/>
      <c r="F19" s="498"/>
      <c r="G19" s="501"/>
    </row>
    <row r="20" spans="1:7" ht="40" customHeight="1">
      <c r="A20" s="9" t="s">
        <v>501</v>
      </c>
      <c r="B20" s="15"/>
      <c r="C20" s="16"/>
      <c r="D20" s="9"/>
      <c r="E20" s="14"/>
      <c r="F20" s="498"/>
      <c r="G20" s="501"/>
    </row>
    <row r="21" spans="1:7" ht="40" customHeight="1">
      <c r="A21" s="9" t="s">
        <v>810</v>
      </c>
      <c r="B21" s="15"/>
      <c r="C21" s="16"/>
      <c r="D21" s="9"/>
      <c r="E21" s="14"/>
      <c r="F21" s="498"/>
      <c r="G21" s="501"/>
    </row>
    <row r="22" spans="1:7" ht="40" customHeight="1">
      <c r="A22" s="9" t="s">
        <v>811</v>
      </c>
      <c r="B22" s="15"/>
      <c r="C22" s="11"/>
      <c r="D22" s="9"/>
      <c r="E22" s="14"/>
      <c r="F22" s="498"/>
      <c r="G22" s="501"/>
    </row>
    <row r="23" spans="1:7" ht="40" customHeight="1">
      <c r="A23" s="9" t="s">
        <v>812</v>
      </c>
      <c r="B23" s="15"/>
      <c r="C23" s="11"/>
      <c r="D23" s="9"/>
      <c r="E23" s="14"/>
      <c r="F23" s="498"/>
      <c r="G23" s="501"/>
    </row>
    <row r="24" spans="1:7" ht="40" customHeight="1">
      <c r="A24" s="9"/>
      <c r="B24" s="15"/>
      <c r="C24" s="415"/>
      <c r="D24" s="9"/>
      <c r="E24" s="14"/>
      <c r="F24" s="498"/>
      <c r="G24" s="501"/>
    </row>
    <row r="25" spans="1:7" ht="40" customHeight="1">
      <c r="A25" s="9"/>
      <c r="B25" s="15"/>
      <c r="C25" s="415"/>
      <c r="D25" s="403"/>
      <c r="E25" s="14"/>
      <c r="F25" s="502"/>
      <c r="G25" s="501"/>
    </row>
    <row r="26" spans="1:7" ht="40" customHeight="1">
      <c r="A26" s="9"/>
      <c r="B26" s="15"/>
      <c r="C26" s="415"/>
      <c r="D26" s="403"/>
      <c r="E26" s="14"/>
      <c r="F26" s="502"/>
      <c r="G26" s="501"/>
    </row>
    <row r="27" spans="1:7" ht="40" customHeight="1">
      <c r="A27" s="9"/>
      <c r="B27" s="15"/>
      <c r="C27" s="415"/>
      <c r="D27" s="403"/>
      <c r="E27" s="14"/>
      <c r="F27" s="502"/>
      <c r="G27" s="501"/>
    </row>
    <row r="28" spans="1:7" ht="20.25" customHeight="1">
      <c r="A28" s="9"/>
      <c r="B28" s="15"/>
      <c r="C28" s="415"/>
      <c r="D28" s="403"/>
      <c r="E28" s="14"/>
      <c r="F28" s="414"/>
      <c r="G28" s="401"/>
    </row>
    <row r="29" spans="1:7" ht="36" customHeight="1">
      <c r="A29" s="532" t="s">
        <v>26</v>
      </c>
      <c r="B29" s="533"/>
      <c r="C29" s="533"/>
      <c r="D29" s="533"/>
      <c r="E29" s="533"/>
      <c r="F29" s="534"/>
      <c r="G29" s="17"/>
    </row>
    <row r="30" spans="1:7" ht="29.25" customHeight="1">
      <c r="A30" s="532" t="s">
        <v>33</v>
      </c>
      <c r="B30" s="533"/>
      <c r="C30" s="533"/>
      <c r="D30" s="533"/>
      <c r="E30" s="533"/>
      <c r="F30" s="534"/>
      <c r="G30" s="17"/>
    </row>
    <row r="31" spans="1:7" ht="27" customHeight="1">
      <c r="A31" s="403"/>
      <c r="B31" s="15"/>
      <c r="C31" s="415"/>
      <c r="D31" s="403"/>
      <c r="E31" s="14"/>
      <c r="F31" s="414"/>
      <c r="G31" s="401"/>
    </row>
    <row r="32" spans="1:7" ht="35.25" customHeight="1">
      <c r="A32" s="6">
        <v>2.2999999999999998</v>
      </c>
      <c r="B32" s="10"/>
      <c r="C32" s="4" t="s">
        <v>814</v>
      </c>
      <c r="D32" s="9"/>
      <c r="E32" s="14"/>
      <c r="F32" s="12"/>
      <c r="G32" s="8"/>
    </row>
    <row r="33" spans="1:7" ht="40" customHeight="1">
      <c r="A33" s="9" t="s">
        <v>502</v>
      </c>
      <c r="B33" s="10"/>
      <c r="C33" s="11"/>
      <c r="D33" s="9"/>
      <c r="E33" s="14"/>
      <c r="F33" s="12"/>
      <c r="G33" s="8"/>
    </row>
    <row r="34" spans="1:7" ht="40" customHeight="1">
      <c r="A34" s="9" t="s">
        <v>503</v>
      </c>
      <c r="B34" s="10"/>
      <c r="C34" s="11"/>
      <c r="D34" s="9"/>
      <c r="E34" s="14"/>
      <c r="F34" s="12"/>
      <c r="G34" s="8"/>
    </row>
    <row r="35" spans="1:7" ht="40" customHeight="1">
      <c r="A35" s="9" t="s">
        <v>504</v>
      </c>
      <c r="B35" s="10"/>
      <c r="C35" s="413"/>
      <c r="D35" s="403"/>
      <c r="E35" s="14"/>
      <c r="F35" s="414"/>
      <c r="G35" s="8"/>
    </row>
    <row r="36" spans="1:7" ht="40" customHeight="1">
      <c r="A36" s="9" t="s">
        <v>509</v>
      </c>
      <c r="B36" s="10"/>
      <c r="C36" s="11"/>
      <c r="D36" s="9"/>
      <c r="E36" s="14"/>
      <c r="F36" s="12"/>
      <c r="G36" s="8"/>
    </row>
    <row r="37" spans="1:7" ht="40" customHeight="1">
      <c r="A37" s="9" t="s">
        <v>815</v>
      </c>
      <c r="B37" s="10"/>
      <c r="C37" s="11"/>
      <c r="D37" s="9"/>
      <c r="E37" s="14"/>
      <c r="F37" s="12"/>
      <c r="G37" s="8"/>
    </row>
    <row r="38" spans="1:7" ht="40" customHeight="1">
      <c r="A38" s="9" t="s">
        <v>816</v>
      </c>
      <c r="B38" s="10"/>
      <c r="C38" s="413"/>
      <c r="D38" s="9"/>
      <c r="E38" s="14"/>
      <c r="F38" s="12"/>
      <c r="G38" s="8"/>
    </row>
    <row r="39" spans="1:7" ht="40" customHeight="1">
      <c r="A39" s="9" t="s">
        <v>817</v>
      </c>
      <c r="B39" s="10"/>
      <c r="C39" s="413"/>
      <c r="D39" s="9"/>
      <c r="E39" s="14"/>
      <c r="F39" s="12"/>
      <c r="G39" s="8"/>
    </row>
    <row r="40" spans="1:7" ht="40" customHeight="1">
      <c r="A40" s="9" t="s">
        <v>818</v>
      </c>
      <c r="B40" s="10"/>
      <c r="C40" s="413"/>
      <c r="D40" s="9"/>
      <c r="E40" s="14"/>
      <c r="F40" s="12"/>
      <c r="G40" s="8"/>
    </row>
    <row r="41" spans="1:7" ht="30.75" customHeight="1">
      <c r="A41" s="9"/>
      <c r="B41" s="10"/>
      <c r="C41" s="413"/>
      <c r="D41" s="7"/>
      <c r="E41" s="14"/>
      <c r="F41" s="12"/>
      <c r="G41" s="8"/>
    </row>
    <row r="42" spans="1:7" ht="34.5" customHeight="1">
      <c r="A42" s="6">
        <v>2.4</v>
      </c>
      <c r="B42" s="15"/>
      <c r="C42" s="4" t="s">
        <v>819</v>
      </c>
      <c r="D42" s="7"/>
      <c r="E42" s="14"/>
      <c r="F42" s="12"/>
      <c r="G42" s="8"/>
    </row>
    <row r="43" spans="1:7" ht="34" customHeight="1">
      <c r="A43" s="9" t="s">
        <v>505</v>
      </c>
      <c r="B43" s="15"/>
      <c r="C43" s="16"/>
      <c r="D43" s="7"/>
      <c r="E43" s="14"/>
      <c r="F43" s="12"/>
      <c r="G43" s="8"/>
    </row>
    <row r="44" spans="1:7" ht="34" customHeight="1">
      <c r="A44" s="9" t="s">
        <v>506</v>
      </c>
      <c r="B44" s="15"/>
      <c r="C44" s="11"/>
      <c r="D44" s="9"/>
      <c r="E44" s="14"/>
      <c r="F44" s="12"/>
      <c r="G44" s="8"/>
    </row>
    <row r="45" spans="1:7" ht="34" customHeight="1">
      <c r="A45" s="9" t="s">
        <v>820</v>
      </c>
      <c r="B45" s="15"/>
      <c r="C45" s="413"/>
      <c r="D45" s="9"/>
      <c r="E45" s="14"/>
      <c r="F45" s="12"/>
      <c r="G45" s="8"/>
    </row>
    <row r="46" spans="1:7" ht="34" customHeight="1">
      <c r="A46" s="9" t="s">
        <v>821</v>
      </c>
      <c r="B46" s="15"/>
      <c r="C46" s="413"/>
      <c r="D46" s="403"/>
      <c r="E46" s="14"/>
      <c r="F46" s="414"/>
      <c r="G46" s="8"/>
    </row>
    <row r="47" spans="1:7" ht="34" customHeight="1">
      <c r="A47" s="9" t="s">
        <v>822</v>
      </c>
      <c r="B47" s="15"/>
      <c r="C47" s="11"/>
      <c r="D47" s="9"/>
      <c r="E47" s="14"/>
      <c r="F47" s="12"/>
      <c r="G47" s="8"/>
    </row>
    <row r="48" spans="1:7" ht="34" customHeight="1">
      <c r="A48" s="9" t="s">
        <v>823</v>
      </c>
      <c r="B48" s="15"/>
      <c r="C48" s="16"/>
      <c r="D48" s="9"/>
      <c r="E48" s="14"/>
      <c r="F48" s="12"/>
      <c r="G48" s="8"/>
    </row>
    <row r="49" spans="1:7" ht="34" customHeight="1">
      <c r="A49" s="9" t="s">
        <v>824</v>
      </c>
      <c r="B49" s="15"/>
      <c r="C49" s="16"/>
      <c r="D49" s="9"/>
      <c r="E49" s="14"/>
      <c r="F49" s="12"/>
      <c r="G49" s="8"/>
    </row>
    <row r="50" spans="1:7" ht="34" customHeight="1">
      <c r="A50" s="9" t="s">
        <v>825</v>
      </c>
      <c r="B50" s="15"/>
      <c r="C50" s="16"/>
      <c r="D50" s="9"/>
      <c r="E50" s="14"/>
      <c r="F50" s="12"/>
      <c r="G50" s="8"/>
    </row>
    <row r="51" spans="1:7" ht="34" customHeight="1">
      <c r="A51" s="9" t="s">
        <v>880</v>
      </c>
      <c r="B51" s="15"/>
      <c r="C51" s="16"/>
      <c r="D51" s="9"/>
      <c r="E51" s="9"/>
      <c r="F51" s="12"/>
      <c r="G51" s="8"/>
    </row>
    <row r="52" spans="1:7" ht="34" customHeight="1">
      <c r="A52" s="403"/>
      <c r="B52" s="15"/>
      <c r="C52" s="415"/>
      <c r="D52" s="403"/>
      <c r="E52" s="15"/>
      <c r="F52" s="414"/>
      <c r="G52" s="401"/>
    </row>
    <row r="53" spans="1:7" ht="29.25" customHeight="1">
      <c r="A53" s="6">
        <v>2.5</v>
      </c>
      <c r="B53" s="10"/>
      <c r="C53" s="18" t="s">
        <v>826</v>
      </c>
      <c r="D53" s="7"/>
      <c r="E53" s="14"/>
      <c r="F53" s="12"/>
      <c r="G53" s="8"/>
    </row>
    <row r="54" spans="1:7" ht="33.75" customHeight="1">
      <c r="A54" s="9" t="s">
        <v>507</v>
      </c>
      <c r="B54" s="15"/>
      <c r="C54" s="16"/>
      <c r="D54" s="9"/>
      <c r="E54" s="14"/>
      <c r="F54" s="12"/>
      <c r="G54" s="8"/>
    </row>
    <row r="55" spans="1:7" ht="48.75" customHeight="1">
      <c r="A55" s="9" t="s">
        <v>508</v>
      </c>
      <c r="B55" s="15"/>
      <c r="C55" s="16"/>
      <c r="D55" s="9"/>
      <c r="E55" s="14"/>
      <c r="F55" s="12"/>
      <c r="G55" s="8"/>
    </row>
    <row r="56" spans="1:7" ht="42" customHeight="1">
      <c r="A56" s="9" t="s">
        <v>827</v>
      </c>
      <c r="B56" s="15"/>
      <c r="C56" s="413"/>
      <c r="D56" s="7"/>
      <c r="E56" s="14"/>
      <c r="F56" s="12"/>
      <c r="G56" s="8"/>
    </row>
    <row r="57" spans="1:7" ht="42" customHeight="1">
      <c r="A57" s="479"/>
      <c r="B57" s="15"/>
      <c r="C57" s="535" t="s">
        <v>879</v>
      </c>
      <c r="D57" s="481"/>
      <c r="E57" s="14"/>
      <c r="F57" s="455"/>
      <c r="G57" s="508"/>
    </row>
    <row r="58" spans="1:7" ht="30.75" customHeight="1">
      <c r="A58" s="185"/>
      <c r="B58" s="15"/>
      <c r="C58" s="536"/>
      <c r="D58" s="185"/>
      <c r="E58" s="14"/>
      <c r="F58" s="186"/>
      <c r="G58" s="187"/>
    </row>
    <row r="59" spans="1:7" ht="33" customHeight="1">
      <c r="A59" s="532" t="s">
        <v>54</v>
      </c>
      <c r="B59" s="533"/>
      <c r="C59" s="533"/>
      <c r="D59" s="533"/>
      <c r="E59" s="533"/>
      <c r="F59" s="534"/>
      <c r="G59" s="17"/>
    </row>
    <row r="60" spans="1:7" ht="29.25" customHeight="1"/>
    <row r="61" spans="1:7" ht="41.25" customHeight="1"/>
    <row r="62" spans="1:7" ht="27" customHeight="1"/>
    <row r="63" spans="1:7" ht="27.75" customHeight="1"/>
    <row r="64" spans="1:7" ht="25.5" customHeight="1"/>
    <row r="65" ht="29.25" customHeight="1"/>
    <row r="66" ht="29.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32.25" customHeight="1"/>
    <row r="107" ht="25.75" customHeight="1"/>
    <row r="108" ht="25.5" customHeight="1"/>
    <row r="109" ht="28.5" customHeight="1"/>
    <row r="110" ht="47.25" customHeight="1"/>
    <row r="111" ht="30" customHeight="1"/>
    <row r="112" ht="30" customHeight="1"/>
    <row r="113" spans="9:10" ht="30.5" customHeight="1"/>
    <row r="114" spans="9:10" ht="40.5" customHeight="1"/>
    <row r="115" spans="9:10" ht="30" customHeight="1"/>
    <row r="116" spans="9:10" ht="33.5" customHeight="1"/>
    <row r="117" spans="9:10" ht="36.75" customHeight="1"/>
    <row r="118" spans="9:10" ht="23.5" customHeight="1"/>
    <row r="119" spans="9:10" ht="28.5" customHeight="1"/>
    <row r="120" spans="9:10" ht="36" customHeight="1"/>
    <row r="121" spans="9:10" ht="27.5" customHeight="1"/>
    <row r="122" spans="9:10" ht="27.5" customHeight="1"/>
    <row r="123" spans="9:10" ht="44" customHeight="1">
      <c r="I123" s="21">
        <f>91.5*2*0.05</f>
        <v>9.15</v>
      </c>
    </row>
    <row r="124" spans="9:10" ht="32.5" customHeight="1"/>
    <row r="125" spans="9:10" ht="33" customHeight="1">
      <c r="J125" s="21">
        <f>(0.04/PI()/1.8)^0.5*1000</f>
        <v>84.104417400672006</v>
      </c>
    </row>
    <row r="126" spans="9:10" ht="31.25" customHeight="1"/>
    <row r="127" spans="9:10" ht="31.25" customHeight="1"/>
    <row r="128" spans="9:10" ht="46.25" customHeight="1"/>
    <row r="129" spans="9:9" ht="31.25" customHeight="1"/>
    <row r="130" spans="9:9" ht="31.25" customHeight="1"/>
    <row r="131" spans="9:9" ht="31.25" customHeight="1"/>
    <row r="132" spans="9:9" ht="53.75" customHeight="1"/>
    <row r="133" spans="9:9" ht="31.25" customHeight="1"/>
    <row r="134" spans="9:9" ht="28.25" customHeight="1">
      <c r="I134" s="21">
        <f>SUM(G123:G134)</f>
        <v>0</v>
      </c>
    </row>
    <row r="135" spans="9:9" ht="31.25" customHeight="1"/>
    <row r="136" spans="9:9" ht="31.25" customHeight="1"/>
    <row r="137" spans="9:9" ht="31.25" customHeight="1"/>
    <row r="138" spans="9:9" ht="58.75" customHeight="1"/>
    <row r="139" spans="9:9" ht="31.25" customHeight="1"/>
    <row r="140" spans="9:9" ht="31.25" customHeight="1"/>
    <row r="141" spans="9:9" ht="31.25" customHeight="1"/>
    <row r="142" spans="9:9" ht="31.25" customHeight="1"/>
    <row r="143" spans="9:9" ht="31.25" customHeight="1"/>
    <row r="144" spans="9:9" ht="31.25" customHeight="1"/>
    <row r="145" ht="31.25" customHeight="1"/>
    <row r="146" ht="31.25" customHeight="1"/>
    <row r="147" ht="31.25" customHeight="1"/>
    <row r="148" ht="33.5" customHeight="1"/>
    <row r="149" ht="33.5" customHeight="1"/>
    <row r="150" ht="26.5" customHeight="1"/>
    <row r="151" ht="27.5" customHeight="1"/>
    <row r="152" ht="33.5" customHeight="1"/>
    <row r="153" ht="27.75" customHeight="1"/>
    <row r="154" ht="33.5" customHeight="1"/>
    <row r="155" ht="27.75" customHeight="1"/>
    <row r="156" ht="27.75" customHeight="1"/>
    <row r="157" ht="27.75" customHeight="1"/>
    <row r="158" ht="27.75" customHeight="1"/>
    <row r="159" ht="27.75" customHeight="1"/>
    <row r="160" ht="27.75" customHeight="1"/>
    <row r="161" ht="27.75" customHeight="1"/>
    <row r="162" ht="27.75" customHeight="1"/>
    <row r="163" ht="27.75" customHeight="1"/>
    <row r="164" ht="27.75" customHeight="1"/>
    <row r="165" ht="27.75" customHeight="1"/>
    <row r="166" ht="27.75" customHeight="1"/>
    <row r="167" ht="27.75" customHeight="1"/>
    <row r="168" ht="27.75" customHeight="1"/>
    <row r="169" ht="27.75" customHeight="1"/>
    <row r="170" ht="27.75" customHeight="1"/>
    <row r="171" ht="27.75" customHeight="1"/>
    <row r="172" ht="27.75" customHeight="1"/>
    <row r="173" ht="27.75" customHeight="1"/>
    <row r="174" ht="27.75" customHeight="1"/>
    <row r="175" ht="27.75" customHeight="1"/>
    <row r="176" ht="22.75" customHeight="1"/>
    <row r="177" ht="22.75" customHeight="1"/>
    <row r="178" ht="22.75" customHeight="1"/>
    <row r="179" ht="22.75" customHeight="1"/>
    <row r="180" ht="22.75" customHeight="1"/>
    <row r="181" ht="22.75" customHeight="1"/>
    <row r="182" ht="22.75" customHeight="1"/>
    <row r="183" ht="22.75" customHeight="1"/>
    <row r="184" ht="22.75" customHeight="1"/>
    <row r="185" ht="22.75" customHeight="1"/>
    <row r="186" ht="22.75" customHeight="1"/>
    <row r="187" ht="22.75" customHeight="1"/>
    <row r="188" ht="22.75" customHeight="1"/>
    <row r="189" ht="22.75" customHeight="1"/>
    <row r="190" ht="22.75" customHeight="1"/>
    <row r="191" ht="22.75" customHeight="1"/>
    <row r="192" ht="22.75" customHeight="1"/>
    <row r="193" ht="22.75" customHeight="1"/>
    <row r="194" ht="22.75" customHeight="1"/>
    <row r="195" ht="22.75" customHeight="1"/>
    <row r="196" ht="22.75" customHeight="1"/>
    <row r="197" ht="22.75" customHeight="1"/>
    <row r="198" ht="22.75" customHeight="1"/>
    <row r="199" ht="22.75" customHeight="1"/>
    <row r="200" ht="22.75" customHeight="1"/>
    <row r="201" ht="22.75" customHeight="1"/>
    <row r="202" ht="22.75" customHeight="1"/>
    <row r="203" ht="22.75" customHeight="1"/>
    <row r="204" ht="22.75" customHeight="1"/>
    <row r="205" ht="22.75" customHeight="1"/>
    <row r="206" ht="22.75" customHeight="1"/>
    <row r="207" ht="22.75" customHeight="1"/>
    <row r="208" ht="22.75" customHeight="1"/>
    <row r="209" ht="22.75" customHeight="1"/>
    <row r="210" ht="22.75" customHeight="1"/>
    <row r="211" ht="25.25" customHeight="1"/>
    <row r="212" ht="25.25" customHeight="1"/>
    <row r="213" ht="25.25" customHeight="1"/>
    <row r="214" ht="25.25" customHeight="1"/>
    <row r="215" ht="25.25" customHeight="1"/>
    <row r="216" ht="25.25" customHeight="1"/>
    <row r="217" ht="25.25" customHeight="1"/>
    <row r="218" ht="30" customHeight="1"/>
    <row r="219" ht="23.25" customHeight="1"/>
    <row r="220" ht="27.75" customHeight="1"/>
    <row r="221" ht="30" customHeight="1"/>
    <row r="222" ht="35.25" customHeight="1"/>
  </sheetData>
  <mergeCells count="4">
    <mergeCell ref="A29:F29"/>
    <mergeCell ref="A30:F30"/>
    <mergeCell ref="A59:F59"/>
    <mergeCell ref="C57:C58"/>
  </mergeCells>
  <pageMargins left="0.70866141732283472" right="0.70866141732283472" top="0.74803149606299213" bottom="0.74803149606299213" header="0.31496062992125984" footer="0.31496062992125984"/>
  <pageSetup paperSize="9" scale="58" firstPageNumber="122" orientation="portrait" useFirstPageNumber="1" r:id="rId1"/>
  <headerFooter>
    <oddHeader>&amp;C&amp;"-,Bold"BURGERSFORT WWTW UPGRADE - INLET WORKS</oddHeader>
    <oddFooter>&amp;L&amp;"Arial,Regular"Bill of Quantities&amp;CPage &amp;P&amp;R&amp;"Arial,Regular"Burgersfort  WWTW</oddFooter>
  </headerFooter>
  <rowBreaks count="4" manualBreakCount="4">
    <brk id="29" max="6" man="1"/>
    <brk id="106" max="16383" man="1"/>
    <brk id="134" max="6" man="1"/>
    <brk id="16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J269"/>
  <sheetViews>
    <sheetView view="pageBreakPreview" zoomScaleNormal="125" zoomScaleSheetLayoutView="100" workbookViewId="0">
      <selection activeCell="I9" sqref="I9"/>
    </sheetView>
  </sheetViews>
  <sheetFormatPr baseColWidth="10" defaultColWidth="9.1640625" defaultRowHeight="13"/>
  <cols>
    <col min="1" max="1" width="8.1640625" style="21" customWidth="1"/>
    <col min="2" max="2" width="11.83203125" style="21" customWidth="1"/>
    <col min="3" max="3" width="62.5" style="21" customWidth="1"/>
    <col min="4" max="4" width="9.5" style="21" customWidth="1"/>
    <col min="5" max="5" width="11" style="21" customWidth="1"/>
    <col min="6" max="6" width="17.1640625" style="21" customWidth="1"/>
    <col min="7" max="7" width="16.5" style="21" customWidth="1"/>
    <col min="8" max="8" width="18.83203125" style="21" customWidth="1"/>
    <col min="9" max="9" width="13" style="21" bestFit="1" customWidth="1"/>
    <col min="10" max="16384" width="9.1640625" style="21"/>
  </cols>
  <sheetData>
    <row r="1" spans="1:10">
      <c r="A1" s="15"/>
      <c r="B1" s="15"/>
      <c r="C1" s="15"/>
      <c r="D1" s="15"/>
      <c r="E1" s="15"/>
      <c r="F1" s="20"/>
      <c r="G1" s="20"/>
    </row>
    <row r="2" spans="1:10" ht="26.25" customHeight="1">
      <c r="A2" s="1" t="s">
        <v>0</v>
      </c>
      <c r="B2" s="1" t="s">
        <v>9</v>
      </c>
      <c r="C2" s="2" t="s">
        <v>1</v>
      </c>
      <c r="D2" s="2" t="s">
        <v>10</v>
      </c>
      <c r="E2" s="2" t="s">
        <v>11</v>
      </c>
      <c r="F2" s="2" t="s">
        <v>12</v>
      </c>
      <c r="G2" s="2" t="s">
        <v>13</v>
      </c>
    </row>
    <row r="3" spans="1:10" ht="34.5" customHeight="1">
      <c r="A3" s="3">
        <v>3</v>
      </c>
      <c r="B3" s="3"/>
      <c r="C3" s="4" t="s">
        <v>828</v>
      </c>
      <c r="D3" s="3"/>
      <c r="E3" s="3"/>
      <c r="F3" s="3"/>
      <c r="G3" s="3"/>
    </row>
    <row r="4" spans="1:10" ht="24" customHeight="1">
      <c r="A4" s="411"/>
      <c r="B4" s="411"/>
      <c r="C4" s="412"/>
      <c r="D4" s="411"/>
      <c r="E4" s="411"/>
      <c r="F4" s="411"/>
      <c r="G4" s="411"/>
    </row>
    <row r="5" spans="1:10" ht="40.5" customHeight="1">
      <c r="A5" s="3"/>
      <c r="B5" s="3"/>
      <c r="C5" s="41" t="s">
        <v>897</v>
      </c>
      <c r="D5" s="3"/>
      <c r="E5" s="3"/>
      <c r="F5" s="3"/>
      <c r="G5" s="3"/>
    </row>
    <row r="6" spans="1:10" ht="30" customHeight="1">
      <c r="A6" s="238"/>
      <c r="B6" s="238"/>
      <c r="C6" s="239"/>
      <c r="D6" s="238"/>
      <c r="E6" s="238"/>
      <c r="F6" s="238"/>
      <c r="G6" s="238"/>
    </row>
    <row r="7" spans="1:10" ht="26.25" customHeight="1">
      <c r="A7" s="6">
        <v>3.1</v>
      </c>
      <c r="B7" s="264"/>
      <c r="C7" s="4" t="s">
        <v>829</v>
      </c>
      <c r="D7" s="7"/>
      <c r="E7" s="7"/>
      <c r="F7" s="8"/>
      <c r="G7" s="8"/>
    </row>
    <row r="8" spans="1:10" ht="40" customHeight="1">
      <c r="A8" s="9" t="s">
        <v>515</v>
      </c>
      <c r="B8" s="264"/>
      <c r="C8" s="11"/>
      <c r="D8" s="7"/>
      <c r="E8" s="14"/>
      <c r="F8" s="498"/>
      <c r="G8" s="501"/>
      <c r="J8" s="21">
        <f>1.1*9.81*0.09145*190/0.8</f>
        <v>234.37377562500006</v>
      </c>
    </row>
    <row r="9" spans="1:10" ht="40" customHeight="1">
      <c r="A9" s="9" t="s">
        <v>516</v>
      </c>
      <c r="B9" s="338"/>
      <c r="C9" s="480" t="s">
        <v>946</v>
      </c>
      <c r="D9" s="481" t="s">
        <v>3</v>
      </c>
      <c r="E9" s="14">
        <v>6</v>
      </c>
      <c r="F9" s="455"/>
      <c r="G9" s="501"/>
      <c r="H9" s="503">
        <f>F9*E9</f>
        <v>0</v>
      </c>
    </row>
    <row r="10" spans="1:10" ht="40" customHeight="1">
      <c r="A10" s="9" t="s">
        <v>517</v>
      </c>
      <c r="B10" s="338"/>
      <c r="C10" s="480" t="s">
        <v>944</v>
      </c>
      <c r="D10" s="481" t="s">
        <v>3</v>
      </c>
      <c r="E10" s="14">
        <v>6</v>
      </c>
      <c r="F10" s="455"/>
      <c r="G10" s="501" t="s">
        <v>99</v>
      </c>
    </row>
    <row r="11" spans="1:10" ht="40" customHeight="1">
      <c r="A11" s="9" t="s">
        <v>518</v>
      </c>
      <c r="B11" s="13"/>
      <c r="C11" s="480" t="s">
        <v>945</v>
      </c>
      <c r="D11" s="481" t="s">
        <v>3</v>
      </c>
      <c r="E11" s="14">
        <v>6</v>
      </c>
      <c r="F11" s="26"/>
      <c r="G11" s="501"/>
      <c r="I11" s="178"/>
    </row>
    <row r="12" spans="1:10" ht="40" customHeight="1">
      <c r="A12" s="9" t="s">
        <v>519</v>
      </c>
      <c r="B12" s="13"/>
      <c r="C12" s="54"/>
      <c r="D12" s="7"/>
      <c r="E12" s="14"/>
      <c r="F12" s="26"/>
      <c r="G12" s="501"/>
      <c r="I12" s="178"/>
    </row>
    <row r="13" spans="1:10" ht="86" customHeight="1">
      <c r="A13" s="9" t="s">
        <v>830</v>
      </c>
      <c r="B13" s="13"/>
      <c r="C13" s="480" t="s">
        <v>955</v>
      </c>
      <c r="D13" s="481" t="s">
        <v>3</v>
      </c>
      <c r="E13" s="14">
        <v>6</v>
      </c>
      <c r="F13" s="455"/>
      <c r="G13" s="501"/>
    </row>
    <row r="14" spans="1:10" ht="40" customHeight="1">
      <c r="A14" s="9" t="s">
        <v>831</v>
      </c>
      <c r="B14" s="13"/>
      <c r="C14" s="488"/>
      <c r="D14" s="7"/>
      <c r="E14" s="14"/>
      <c r="F14" s="483"/>
      <c r="G14" s="485"/>
    </row>
    <row r="15" spans="1:10" ht="40" customHeight="1">
      <c r="A15" s="9" t="s">
        <v>832</v>
      </c>
      <c r="B15" s="264"/>
      <c r="C15" s="54"/>
      <c r="D15" s="7"/>
      <c r="E15" s="14"/>
      <c r="F15" s="26"/>
      <c r="G15" s="8"/>
    </row>
    <row r="16" spans="1:10" ht="40" customHeight="1">
      <c r="A16" s="9" t="s">
        <v>917</v>
      </c>
      <c r="B16" s="338"/>
      <c r="C16" s="419"/>
      <c r="D16" s="405"/>
      <c r="E16" s="100"/>
      <c r="F16" s="418"/>
      <c r="G16" s="8"/>
    </row>
    <row r="17" spans="1:7" ht="40.5" customHeight="1">
      <c r="A17" s="9" t="s">
        <v>918</v>
      </c>
      <c r="B17" s="338"/>
      <c r="C17" s="419"/>
      <c r="D17" s="405"/>
      <c r="E17" s="100"/>
      <c r="F17" s="418"/>
      <c r="G17" s="8"/>
    </row>
    <row r="18" spans="1:7" ht="33.75" customHeight="1">
      <c r="A18" s="9" t="s">
        <v>922</v>
      </c>
      <c r="B18" s="338"/>
      <c r="C18" s="482"/>
      <c r="D18" s="405"/>
      <c r="E18" s="100"/>
      <c r="F18" s="483"/>
      <c r="G18" s="8"/>
    </row>
    <row r="19" spans="1:7" ht="36" customHeight="1">
      <c r="A19" s="9" t="s">
        <v>957</v>
      </c>
      <c r="B19" s="338"/>
      <c r="C19" s="482"/>
      <c r="D19" s="481"/>
      <c r="E19" s="100"/>
      <c r="F19" s="483"/>
      <c r="G19" s="484"/>
    </row>
    <row r="20" spans="1:7" ht="36" customHeight="1">
      <c r="A20" s="9" t="s">
        <v>958</v>
      </c>
      <c r="B20" s="338"/>
      <c r="C20" s="482"/>
      <c r="D20" s="481"/>
      <c r="E20" s="100"/>
      <c r="F20" s="483"/>
      <c r="G20" s="484"/>
    </row>
    <row r="21" spans="1:7" ht="26.25" customHeight="1">
      <c r="A21" s="403"/>
      <c r="B21" s="338"/>
      <c r="C21" s="417"/>
      <c r="D21" s="405"/>
      <c r="E21" s="100"/>
      <c r="F21" s="418"/>
      <c r="G21" s="410"/>
    </row>
    <row r="22" spans="1:7" ht="36.75" customHeight="1">
      <c r="A22" s="6">
        <v>3.2</v>
      </c>
      <c r="B22" s="13"/>
      <c r="C22" s="233" t="s">
        <v>956</v>
      </c>
      <c r="D22" s="234"/>
      <c r="E22" s="235"/>
      <c r="F22" s="236"/>
      <c r="G22" s="237"/>
    </row>
    <row r="23" spans="1:7" ht="40.5" customHeight="1">
      <c r="A23" s="9" t="s">
        <v>439</v>
      </c>
      <c r="B23" s="13"/>
      <c r="C23" s="54"/>
      <c r="D23" s="7"/>
      <c r="E23" s="50"/>
      <c r="F23" s="56"/>
      <c r="G23" s="52"/>
    </row>
    <row r="24" spans="1:7" ht="42.75" customHeight="1">
      <c r="A24" s="9" t="s">
        <v>440</v>
      </c>
      <c r="B24" s="264"/>
      <c r="C24" s="54"/>
      <c r="D24" s="7"/>
      <c r="E24" s="50"/>
      <c r="F24" s="56"/>
      <c r="G24" s="52"/>
    </row>
    <row r="25" spans="1:7" ht="39.75" customHeight="1">
      <c r="A25" s="9" t="s">
        <v>441</v>
      </c>
      <c r="B25" s="62"/>
      <c r="C25" s="54"/>
      <c r="D25" s="7"/>
      <c r="E25" s="50"/>
      <c r="F25" s="56"/>
      <c r="G25" s="52"/>
    </row>
    <row r="26" spans="1:7" ht="42.75" customHeight="1">
      <c r="A26" s="9" t="s">
        <v>919</v>
      </c>
      <c r="B26" s="10"/>
      <c r="C26" s="54"/>
      <c r="D26" s="7"/>
      <c r="E26" s="50"/>
      <c r="F26" s="12"/>
      <c r="G26" s="486"/>
    </row>
    <row r="27" spans="1:7" ht="43.5" customHeight="1">
      <c r="A27" s="9" t="s">
        <v>920</v>
      </c>
      <c r="B27" s="240"/>
      <c r="C27" s="54"/>
      <c r="D27" s="7"/>
      <c r="E27" s="50"/>
      <c r="F27" s="12"/>
      <c r="G27" s="487"/>
    </row>
    <row r="28" spans="1:7" ht="41.25" customHeight="1">
      <c r="A28" s="9" t="s">
        <v>921</v>
      </c>
      <c r="B28" s="240"/>
      <c r="C28" s="54"/>
      <c r="D28" s="7"/>
      <c r="E28" s="50"/>
      <c r="F28" s="12"/>
      <c r="G28" s="486"/>
    </row>
    <row r="29" spans="1:7" ht="41.25" customHeight="1">
      <c r="A29" s="479"/>
      <c r="B29" s="240"/>
      <c r="C29" s="535" t="s">
        <v>879</v>
      </c>
      <c r="D29" s="481"/>
      <c r="E29" s="50"/>
      <c r="F29" s="455"/>
      <c r="G29" s="485"/>
    </row>
    <row r="30" spans="1:7" ht="41.25" customHeight="1">
      <c r="A30" s="479"/>
      <c r="B30" s="240"/>
      <c r="C30" s="536"/>
      <c r="D30" s="481"/>
      <c r="E30" s="50"/>
      <c r="F30" s="455"/>
      <c r="G30" s="485"/>
    </row>
    <row r="31" spans="1:7" ht="28.25" customHeight="1">
      <c r="A31" s="9"/>
      <c r="B31" s="13"/>
      <c r="C31" s="11"/>
      <c r="D31" s="9"/>
      <c r="E31" s="14"/>
      <c r="F31" s="23"/>
      <c r="G31" s="107"/>
    </row>
    <row r="32" spans="1:7" ht="40.5" customHeight="1">
      <c r="A32" s="532" t="s">
        <v>54</v>
      </c>
      <c r="B32" s="533"/>
      <c r="C32" s="533"/>
      <c r="D32" s="533"/>
      <c r="E32" s="533"/>
      <c r="F32" s="534"/>
      <c r="G32" s="17"/>
    </row>
    <row r="33" ht="27.75" customHeight="1"/>
    <row r="34" ht="27" customHeight="1"/>
    <row r="35" ht="31.5" customHeight="1"/>
    <row r="36" ht="30.75" customHeight="1"/>
    <row r="37" ht="78" customHeight="1"/>
    <row r="38" ht="49.5" customHeight="1"/>
    <row r="39" ht="78" customHeight="1"/>
    <row r="40" ht="43.5" customHeight="1"/>
    <row r="41" ht="67.5" customHeight="1"/>
    <row r="42" ht="50.25" customHeight="1"/>
    <row r="43" ht="33.75" customHeight="1"/>
    <row r="44" ht="33.75" customHeight="1"/>
    <row r="45" ht="33.75" customHeight="1"/>
    <row r="46" ht="39.75" customHeight="1"/>
    <row r="47" ht="36" customHeight="1"/>
    <row r="48" ht="52.5" customHeight="1"/>
    <row r="49" ht="41.25" customHeight="1"/>
    <row r="50" ht="54.75" customHeight="1"/>
    <row r="51" ht="34.5" customHeight="1"/>
    <row r="52" ht="34.5" customHeight="1"/>
    <row r="53" ht="34.5" customHeight="1"/>
    <row r="54" ht="34.5" customHeight="1"/>
    <row r="55" ht="45.75" customHeight="1"/>
    <row r="56" ht="41.25" customHeight="1"/>
    <row r="57" ht="39" customHeight="1"/>
    <row r="58" ht="42" customHeight="1"/>
    <row r="59" ht="45.75" customHeight="1"/>
    <row r="60" ht="36" customHeight="1"/>
    <row r="61" ht="36" customHeight="1"/>
    <row r="62" ht="25.5" customHeight="1"/>
    <row r="63" ht="28.5" customHeight="1"/>
    <row r="64" ht="35.25" customHeight="1"/>
    <row r="65" ht="102" customHeight="1"/>
    <row r="66" ht="28.5" customHeight="1"/>
    <row r="67" ht="35.25" customHeight="1"/>
    <row r="68" ht="33.75" customHeight="1"/>
    <row r="69" ht="33.75" customHeight="1"/>
    <row r="70" ht="32.25" customHeight="1"/>
    <row r="71" ht="40.5" customHeight="1"/>
    <row r="72" ht="30" customHeight="1"/>
    <row r="73" ht="38.25" customHeight="1"/>
    <row r="74" ht="36.75" customHeight="1"/>
    <row r="75" ht="23.5" customHeight="1"/>
    <row r="76" ht="28.5" customHeight="1"/>
    <row r="77" ht="36" customHeight="1"/>
    <row r="78" ht="27.5" customHeight="1"/>
    <row r="79" ht="40.5" customHeight="1"/>
    <row r="80" ht="50.25" customHeight="1"/>
    <row r="81" spans="10:10" ht="45" customHeight="1"/>
    <row r="82" spans="10:10" ht="33" customHeight="1">
      <c r="J82" s="21">
        <f>(0.04/PI()/1.8)^0.5*1000</f>
        <v>84.104417400672006</v>
      </c>
    </row>
    <row r="83" spans="10:10" ht="31.25" customHeight="1"/>
    <row r="84" spans="10:10" ht="88.5" customHeight="1"/>
    <row r="85" spans="10:10" ht="30" customHeight="1"/>
    <row r="86" spans="10:10" ht="31.25" customHeight="1"/>
    <row r="87" spans="10:10" ht="31.25" customHeight="1"/>
    <row r="88" spans="10:10" ht="31.25" customHeight="1"/>
    <row r="89" spans="10:10" ht="31.25" customHeight="1"/>
    <row r="90" spans="10:10" ht="31.25" customHeight="1"/>
    <row r="91" spans="10:10" ht="31.25" customHeight="1"/>
    <row r="92" spans="10:10" ht="31.25" customHeight="1"/>
    <row r="93" spans="10:10" ht="31.25" customHeight="1"/>
    <row r="94" spans="10:10" ht="31.25" customHeight="1"/>
    <row r="95" spans="10:10" ht="31.25" customHeight="1"/>
    <row r="96" spans="10:10" ht="31.25" customHeight="1"/>
    <row r="97" ht="37.5" customHeight="1"/>
    <row r="98" ht="36.75" customHeight="1"/>
    <row r="99" ht="33.75" customHeight="1"/>
    <row r="100" ht="33" customHeight="1"/>
    <row r="101" ht="35.25" customHeight="1"/>
    <row r="102" ht="31.25" customHeight="1"/>
    <row r="103" ht="31.25" customHeight="1"/>
    <row r="104" ht="31.25" customHeight="1"/>
    <row r="105" ht="68.25" customHeight="1"/>
    <row r="106" ht="36.75" customHeight="1"/>
    <row r="107" ht="56.25" customHeight="1"/>
    <row r="108" ht="31.25" customHeight="1"/>
    <row r="109" ht="35.25" customHeight="1"/>
    <row r="110" ht="35.25" customHeight="1"/>
    <row r="111" ht="35.25" customHeight="1"/>
    <row r="112" ht="35.25" customHeight="1"/>
    <row r="113" ht="35.25" customHeight="1"/>
    <row r="114" ht="31.25" customHeight="1"/>
    <row r="115" ht="40.5" customHeight="1"/>
    <row r="116" ht="65.25" customHeight="1"/>
    <row r="117" ht="60" customHeight="1"/>
    <row r="118" ht="45" customHeight="1"/>
    <row r="119" ht="52.5" customHeight="1"/>
    <row r="120" ht="53.25" customHeight="1"/>
    <row r="121" ht="51" customHeight="1"/>
    <row r="122" ht="32.25" customHeight="1"/>
    <row r="123" ht="31.25" customHeight="1"/>
    <row r="124" ht="31.25" customHeight="1"/>
    <row r="125" ht="31.25" customHeight="1"/>
    <row r="126" ht="21" customHeight="1"/>
    <row r="127" ht="36" customHeight="1"/>
    <row r="128" ht="36" customHeight="1"/>
    <row r="129" ht="31.25" customHeight="1"/>
    <row r="130" ht="69" customHeight="1"/>
    <row r="131" ht="30.75" customHeight="1"/>
    <row r="132" ht="30.75" customHeight="1"/>
    <row r="133" ht="30.75" customHeight="1"/>
    <row r="134" ht="60" customHeight="1"/>
    <row r="135" ht="30.75" customHeight="1"/>
    <row r="136" ht="30.75" customHeight="1"/>
    <row r="137" ht="30.75" customHeight="1"/>
    <row r="138" ht="34.5" customHeight="1"/>
    <row r="139" ht="30.75" customHeight="1"/>
    <row r="140" ht="99.75" customHeight="1"/>
    <row r="141" ht="105" customHeight="1"/>
    <row r="142" ht="101.25" customHeight="1"/>
    <row r="143" ht="105" customHeight="1"/>
    <row r="144" ht="67.5" customHeight="1"/>
    <row r="145" ht="38.25" customHeight="1"/>
    <row r="146" ht="38.25" customHeight="1"/>
    <row r="147" ht="38.25" customHeight="1"/>
    <row r="148" ht="38.25" customHeight="1"/>
    <row r="149" ht="38.25" customHeight="1"/>
    <row r="150" ht="38.25" customHeight="1"/>
    <row r="151" ht="34.5" customHeight="1"/>
    <row r="152" ht="38.25" customHeight="1"/>
    <row r="153" ht="31.25" customHeight="1"/>
    <row r="154" ht="51" customHeight="1"/>
    <row r="155" ht="39.75" customHeight="1"/>
    <row r="156" ht="31.25" customHeight="1"/>
    <row r="157" ht="31.25" customHeight="1"/>
    <row r="158" ht="49.5" customHeight="1"/>
    <row r="159" ht="33.75" customHeight="1"/>
    <row r="160" ht="38.2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1.25" customHeight="1"/>
    <row r="176" ht="31.25" customHeight="1"/>
    <row r="177" ht="31.25" customHeight="1"/>
    <row r="178" ht="36" customHeight="1"/>
    <row r="179" ht="31.25" customHeight="1"/>
    <row r="180" ht="28.25" customHeight="1"/>
    <row r="181" ht="31.25" customHeight="1"/>
    <row r="182" ht="31.25" customHeight="1"/>
    <row r="183" ht="31.25" customHeight="1"/>
    <row r="184" ht="31.25" customHeight="1"/>
    <row r="185" ht="58.75" customHeight="1"/>
    <row r="186" ht="31.25" customHeight="1"/>
    <row r="187" ht="31.25" customHeight="1"/>
    <row r="188" ht="31.25" customHeight="1"/>
    <row r="189" ht="31.25" customHeight="1"/>
    <row r="190" ht="31.25" customHeight="1"/>
    <row r="191" ht="31.25" customHeight="1"/>
    <row r="192" ht="31.25" customHeight="1"/>
    <row r="193" ht="31.25" customHeight="1"/>
    <row r="194" ht="31.25" customHeight="1"/>
    <row r="195" ht="33.5" customHeight="1"/>
    <row r="196" ht="33.5" customHeight="1"/>
    <row r="197" ht="26.5" customHeight="1"/>
    <row r="198" ht="27.5" customHeight="1"/>
    <row r="199" ht="33.5" customHeight="1"/>
    <row r="200" ht="27.75" customHeight="1"/>
    <row r="201" ht="33.5" customHeight="1"/>
    <row r="202" ht="27.75" customHeight="1"/>
    <row r="203" ht="27.75" customHeight="1"/>
    <row r="204" ht="27.75" customHeight="1"/>
    <row r="205" ht="27.75" customHeight="1"/>
    <row r="206" ht="27.75" customHeight="1"/>
    <row r="207" ht="27.75" customHeight="1"/>
    <row r="208" ht="27.75" customHeight="1"/>
    <row r="209" ht="27.75" customHeight="1"/>
    <row r="210" ht="27.75" customHeight="1"/>
    <row r="211" ht="27.75" customHeight="1"/>
    <row r="212" ht="27.75" customHeight="1"/>
    <row r="213" ht="27.75" customHeight="1"/>
    <row r="214" ht="27.75" customHeight="1"/>
    <row r="215" ht="27.75" customHeight="1"/>
    <row r="216" ht="27.75" customHeight="1"/>
    <row r="217" ht="27.75" customHeight="1"/>
    <row r="218" ht="27.75" customHeight="1"/>
    <row r="219" ht="27.75" customHeight="1"/>
    <row r="220" ht="27.75" customHeight="1"/>
    <row r="221" ht="27.75" customHeight="1"/>
    <row r="222" ht="27.75" customHeight="1"/>
    <row r="223" ht="22.75" customHeight="1"/>
    <row r="224" ht="22.75" customHeight="1"/>
    <row r="225" ht="22.75" customHeight="1"/>
    <row r="226" ht="22.75" customHeight="1"/>
    <row r="227" ht="22.75" customHeight="1"/>
    <row r="228" ht="22.75" customHeight="1"/>
    <row r="229" ht="22.75" customHeight="1"/>
    <row r="230" ht="22.75" customHeight="1"/>
    <row r="231" ht="22.75" customHeight="1"/>
    <row r="232" ht="22.75" customHeight="1"/>
    <row r="233" ht="22.75" customHeight="1"/>
    <row r="234" ht="22.75" customHeight="1"/>
    <row r="235" ht="22.75" customHeight="1"/>
    <row r="236" ht="22.75" customHeight="1"/>
    <row r="237" ht="22.75" customHeight="1"/>
    <row r="238" ht="22.75" customHeight="1"/>
    <row r="239" ht="22.75" customHeight="1"/>
    <row r="240" ht="22.75" customHeight="1"/>
    <row r="241" ht="22.75" customHeight="1"/>
    <row r="242" ht="22.75" customHeight="1"/>
    <row r="243" ht="22.75" customHeight="1"/>
    <row r="244" ht="22.75" customHeight="1"/>
    <row r="245" ht="22.75" customHeight="1"/>
    <row r="246" ht="22.75" customHeight="1"/>
    <row r="247" ht="22.75" customHeight="1"/>
    <row r="248" ht="22.75" customHeight="1"/>
    <row r="249" ht="22.75" customHeight="1"/>
    <row r="250" ht="22.75" customHeight="1"/>
    <row r="251" ht="22.75" customHeight="1"/>
    <row r="252" ht="22.75" customHeight="1"/>
    <row r="253" ht="22.75" customHeight="1"/>
    <row r="254" ht="22.75" customHeight="1"/>
    <row r="255" ht="22.75" customHeight="1"/>
    <row r="256" ht="22.75" customHeight="1"/>
    <row r="257" ht="22.75" customHeight="1"/>
    <row r="258" ht="25.25" customHeight="1"/>
    <row r="259" ht="25.25" customHeight="1"/>
    <row r="260" ht="25.25" customHeight="1"/>
    <row r="261" ht="25.25" customHeight="1"/>
    <row r="262" ht="25.25" customHeight="1"/>
    <row r="263" ht="25.25" customHeight="1"/>
    <row r="264" ht="25.25" customHeight="1"/>
    <row r="265" ht="30" customHeight="1"/>
    <row r="266" ht="23.25" customHeight="1"/>
    <row r="267" ht="27.75" customHeight="1"/>
    <row r="268" ht="30" customHeight="1"/>
    <row r="269" ht="35.25" customHeight="1"/>
  </sheetData>
  <mergeCells count="2">
    <mergeCell ref="A32:F32"/>
    <mergeCell ref="C29:C30"/>
  </mergeCells>
  <phoneticPr fontId="39" type="noConversion"/>
  <pageMargins left="0.70866141732283472" right="0.70866141732283472" top="0.74803149606299213" bottom="0.74803149606299213" header="0.31496062992125984" footer="0.31496062992125984"/>
  <pageSetup paperSize="9" scale="59" firstPageNumber="124" orientation="portrait" useFirstPageNumber="1" r:id="rId1"/>
  <headerFooter>
    <oddHeader>&amp;C&amp;"-,Bold"BURGERSFORT WWTW UPGRADE - BIOLOGICAL WASTEWATER SYSTEM</oddHeader>
    <oddFooter>&amp;L&amp;"Arial,Regular"Bill of Quantities&amp;CPage &amp;P&amp;R&amp;"Arial,Regular"Burgersfort  WWTW</oddFooter>
  </headerFooter>
  <rowBreaks count="6" manualBreakCount="6">
    <brk id="32" max="6" man="1"/>
    <brk id="60" max="16383" man="1"/>
    <brk id="92" max="6" man="1"/>
    <brk id="124" max="6" man="1"/>
    <brk id="181" max="6" man="1"/>
    <brk id="215"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50"/>
  </sheetPr>
  <dimension ref="A1:O220"/>
  <sheetViews>
    <sheetView view="pageBreakPreview" topLeftCell="A10" zoomScaleNormal="125" zoomScaleSheetLayoutView="100" workbookViewId="0">
      <selection activeCell="C24" sqref="C24:C25"/>
    </sheetView>
  </sheetViews>
  <sheetFormatPr baseColWidth="10" defaultColWidth="9.1640625" defaultRowHeight="13"/>
  <cols>
    <col min="1" max="1" width="8.1640625" style="21" customWidth="1"/>
    <col min="2" max="2" width="14.33203125" style="21" customWidth="1"/>
    <col min="3" max="3" width="53.83203125" style="21" customWidth="1"/>
    <col min="4" max="4" width="11.33203125" style="21" customWidth="1"/>
    <col min="5" max="5" width="12.33203125" style="21" customWidth="1"/>
    <col min="6" max="6" width="13.6640625" style="21" customWidth="1"/>
    <col min="7" max="7" width="15.5" style="21" customWidth="1"/>
    <col min="8" max="8" width="9.1640625" style="21"/>
    <col min="9" max="9" width="11.6640625" style="21" hidden="1" customWidth="1"/>
    <col min="10" max="10" width="0" style="21" hidden="1" customWidth="1"/>
    <col min="11" max="11" width="47.83203125" style="21" hidden="1" customWidth="1"/>
    <col min="12" max="12" width="12.1640625" style="21" hidden="1" customWidth="1"/>
    <col min="13" max="13" width="11.6640625" style="21" hidden="1" customWidth="1"/>
    <col min="14" max="18" width="0" style="21" hidden="1" customWidth="1"/>
    <col min="19" max="16384" width="9.1640625" style="21"/>
  </cols>
  <sheetData>
    <row r="1" spans="1:15" ht="34.5" customHeight="1">
      <c r="A1" s="1" t="s">
        <v>0</v>
      </c>
      <c r="B1" s="1" t="s">
        <v>9</v>
      </c>
      <c r="C1" s="2" t="s">
        <v>1</v>
      </c>
      <c r="D1" s="2" t="s">
        <v>10</v>
      </c>
      <c r="E1" s="2" t="s">
        <v>11</v>
      </c>
      <c r="F1" s="2" t="s">
        <v>12</v>
      </c>
      <c r="G1" s="2" t="s">
        <v>13</v>
      </c>
    </row>
    <row r="2" spans="1:15" ht="30" customHeight="1">
      <c r="A2" s="3">
        <v>5</v>
      </c>
      <c r="B2" s="3"/>
      <c r="C2" s="4" t="s">
        <v>833</v>
      </c>
      <c r="D2" s="3"/>
      <c r="E2" s="3"/>
      <c r="F2" s="3"/>
      <c r="G2" s="3"/>
    </row>
    <row r="3" spans="1:15" ht="25.5" customHeight="1">
      <c r="A3" s="3"/>
      <c r="B3" s="3"/>
      <c r="C3" s="41"/>
      <c r="D3" s="3"/>
      <c r="E3" s="3"/>
      <c r="F3" s="3"/>
      <c r="G3" s="3"/>
    </row>
    <row r="4" spans="1:15" ht="42.75" customHeight="1">
      <c r="A4" s="6"/>
      <c r="B4" s="6"/>
      <c r="C4" s="41" t="s">
        <v>897</v>
      </c>
      <c r="D4" s="7"/>
      <c r="E4" s="7"/>
      <c r="F4" s="8"/>
      <c r="G4" s="8"/>
    </row>
    <row r="5" spans="1:15" ht="30" customHeight="1">
      <c r="A5" s="416"/>
      <c r="B5" s="10"/>
      <c r="C5" s="420"/>
      <c r="D5" s="405"/>
      <c r="E5" s="405"/>
      <c r="F5" s="414"/>
      <c r="G5" s="401"/>
    </row>
    <row r="6" spans="1:15" ht="30.75" customHeight="1">
      <c r="A6" s="6">
        <v>5.0999999999999996</v>
      </c>
      <c r="B6" s="10"/>
      <c r="C6" s="41" t="s">
        <v>834</v>
      </c>
      <c r="D6" s="7"/>
      <c r="E6" s="7"/>
      <c r="F6" s="108"/>
      <c r="G6" s="8"/>
    </row>
    <row r="7" spans="1:15" ht="39" customHeight="1">
      <c r="A7" s="9" t="s">
        <v>523</v>
      </c>
      <c r="B7" s="13"/>
      <c r="C7" s="241"/>
      <c r="D7" s="242"/>
      <c r="E7" s="243"/>
      <c r="F7" s="246"/>
      <c r="G7" s="247"/>
      <c r="I7" s="253"/>
      <c r="J7" s="253">
        <f>1.1*9.81*0.09145*190/0.8</f>
        <v>234.37377562500006</v>
      </c>
      <c r="K7" s="253"/>
      <c r="L7" s="253"/>
      <c r="M7" s="253"/>
      <c r="N7" s="253"/>
      <c r="O7" s="253"/>
    </row>
    <row r="8" spans="1:15" ht="39" customHeight="1">
      <c r="A8" s="9" t="s">
        <v>524</v>
      </c>
      <c r="B8" s="13"/>
      <c r="C8" s="244"/>
      <c r="D8" s="242"/>
      <c r="E8" s="243"/>
      <c r="F8" s="246"/>
      <c r="G8" s="247"/>
      <c r="I8" s="254"/>
      <c r="J8" s="253"/>
      <c r="K8" s="253"/>
      <c r="L8" s="253"/>
      <c r="M8" s="253"/>
      <c r="N8" s="253"/>
      <c r="O8" s="253"/>
    </row>
    <row r="9" spans="1:15" ht="39" customHeight="1">
      <c r="A9" s="9" t="s">
        <v>525</v>
      </c>
      <c r="B9" s="13"/>
      <c r="C9" s="244"/>
      <c r="D9" s="242"/>
      <c r="E9" s="245"/>
      <c r="F9" s="248"/>
      <c r="G9" s="247"/>
      <c r="I9" s="253"/>
      <c r="J9" s="253"/>
      <c r="K9" s="253"/>
      <c r="L9" s="253"/>
      <c r="M9" s="253"/>
      <c r="N9" s="253"/>
      <c r="O9" s="253"/>
    </row>
    <row r="10" spans="1:15" ht="29.25" customHeight="1">
      <c r="A10" s="9"/>
      <c r="B10" s="13"/>
      <c r="C10" s="54"/>
      <c r="D10" s="7"/>
      <c r="E10" s="50"/>
      <c r="F10" s="56"/>
      <c r="G10" s="52"/>
      <c r="I10" s="253"/>
      <c r="J10" s="253"/>
      <c r="K10" s="253"/>
      <c r="L10" s="253"/>
      <c r="M10" s="253"/>
      <c r="N10" s="253"/>
      <c r="O10" s="253"/>
    </row>
    <row r="11" spans="1:15" ht="29.25" customHeight="1">
      <c r="A11" s="6">
        <v>5.2</v>
      </c>
      <c r="B11" s="271"/>
      <c r="C11" s="4" t="s">
        <v>835</v>
      </c>
      <c r="D11" s="7"/>
      <c r="E11" s="100"/>
      <c r="F11" s="26"/>
      <c r="G11" s="52"/>
      <c r="I11" s="253"/>
      <c r="J11" s="253"/>
      <c r="K11" s="253"/>
      <c r="L11" s="253"/>
      <c r="M11" s="253"/>
      <c r="N11" s="253"/>
      <c r="O11" s="253"/>
    </row>
    <row r="12" spans="1:15" ht="38" customHeight="1">
      <c r="A12" s="231" t="s">
        <v>547</v>
      </c>
      <c r="B12" s="13"/>
      <c r="C12" s="54"/>
      <c r="D12" s="421"/>
      <c r="E12" s="422"/>
      <c r="F12" s="423"/>
      <c r="G12" s="442"/>
      <c r="I12" s="253"/>
      <c r="J12" s="253"/>
      <c r="K12" s="253"/>
      <c r="L12" s="253"/>
      <c r="M12" s="253"/>
      <c r="N12" s="253"/>
      <c r="O12" s="253"/>
    </row>
    <row r="13" spans="1:15" ht="37.5" customHeight="1">
      <c r="A13" s="231" t="s">
        <v>547</v>
      </c>
      <c r="B13" s="250"/>
      <c r="C13" s="184"/>
      <c r="D13" s="421"/>
      <c r="E13" s="422"/>
      <c r="F13" s="423"/>
      <c r="G13" s="442"/>
      <c r="I13" s="253"/>
      <c r="J13" s="253"/>
      <c r="K13" s="255" t="s">
        <v>537</v>
      </c>
      <c r="L13" s="256" t="s">
        <v>31</v>
      </c>
      <c r="M13" s="256">
        <v>0.75</v>
      </c>
      <c r="N13" s="253"/>
      <c r="O13" s="253"/>
    </row>
    <row r="14" spans="1:15" ht="29.25" customHeight="1">
      <c r="A14" s="424"/>
      <c r="B14" s="425"/>
      <c r="C14" s="413"/>
      <c r="D14" s="421"/>
      <c r="E14" s="422"/>
      <c r="F14" s="423"/>
      <c r="G14" s="249"/>
      <c r="I14" s="253"/>
      <c r="J14" s="253"/>
      <c r="K14" s="426"/>
      <c r="L14" s="427"/>
      <c r="M14" s="427"/>
      <c r="N14" s="253"/>
      <c r="O14" s="253"/>
    </row>
    <row r="15" spans="1:15" ht="29.25" customHeight="1">
      <c r="A15" s="6">
        <v>5.3</v>
      </c>
      <c r="B15" s="231"/>
      <c r="C15" s="4" t="s">
        <v>836</v>
      </c>
      <c r="D15" s="221"/>
      <c r="E15" s="221"/>
      <c r="F15" s="251"/>
      <c r="G15" s="252"/>
      <c r="I15" s="253"/>
      <c r="J15" s="253"/>
      <c r="K15" s="255" t="s">
        <v>538</v>
      </c>
      <c r="L15" s="256" t="s">
        <v>31</v>
      </c>
      <c r="M15" s="256">
        <v>0.1</v>
      </c>
      <c r="N15" s="253"/>
      <c r="O15" s="253"/>
    </row>
    <row r="16" spans="1:15" ht="47" customHeight="1">
      <c r="A16" s="231" t="s">
        <v>554</v>
      </c>
      <c r="B16" s="271"/>
      <c r="C16" s="184"/>
      <c r="D16" s="221"/>
      <c r="E16" s="221"/>
      <c r="F16" s="251"/>
      <c r="G16" s="247"/>
      <c r="I16" s="253"/>
      <c r="J16" s="253"/>
      <c r="K16" s="255" t="s">
        <v>539</v>
      </c>
      <c r="L16" s="256" t="s">
        <v>31</v>
      </c>
      <c r="M16" s="256">
        <v>0.15</v>
      </c>
      <c r="N16" s="253"/>
      <c r="O16" s="253"/>
    </row>
    <row r="17" spans="1:15" ht="47" customHeight="1">
      <c r="A17" s="231" t="s">
        <v>555</v>
      </c>
      <c r="B17" s="250"/>
      <c r="C17" s="184"/>
      <c r="D17" s="221"/>
      <c r="E17" s="221"/>
      <c r="F17" s="251"/>
      <c r="G17" s="247"/>
      <c r="I17" s="253"/>
      <c r="J17" s="253"/>
      <c r="K17" s="255" t="s">
        <v>540</v>
      </c>
      <c r="L17" s="256" t="s">
        <v>2</v>
      </c>
      <c r="M17" s="256">
        <v>3</v>
      </c>
      <c r="N17" s="253"/>
      <c r="O17" s="253"/>
    </row>
    <row r="18" spans="1:15" ht="47" customHeight="1">
      <c r="A18" s="231" t="s">
        <v>556</v>
      </c>
      <c r="B18" s="250"/>
      <c r="C18" s="184"/>
      <c r="D18" s="221"/>
      <c r="E18" s="221"/>
      <c r="F18" s="186"/>
      <c r="G18" s="247"/>
      <c r="I18" s="253"/>
      <c r="J18" s="253"/>
      <c r="K18" s="255" t="s">
        <v>541</v>
      </c>
      <c r="L18" s="256" t="s">
        <v>552</v>
      </c>
      <c r="M18" s="256">
        <v>2000</v>
      </c>
      <c r="N18" s="253"/>
      <c r="O18" s="253"/>
    </row>
    <row r="19" spans="1:15" ht="47" customHeight="1">
      <c r="A19" s="231" t="s">
        <v>557</v>
      </c>
      <c r="B19" s="250"/>
      <c r="C19" s="184"/>
      <c r="D19" s="221"/>
      <c r="E19" s="221"/>
      <c r="F19" s="186"/>
      <c r="G19" s="247"/>
      <c r="I19" s="253"/>
      <c r="J19" s="253"/>
      <c r="K19" s="255" t="s">
        <v>542</v>
      </c>
      <c r="L19" s="256" t="s">
        <v>552</v>
      </c>
      <c r="M19" s="256">
        <v>1650</v>
      </c>
      <c r="N19" s="253"/>
      <c r="O19" s="253"/>
    </row>
    <row r="20" spans="1:15" ht="47" customHeight="1">
      <c r="A20" s="231" t="s">
        <v>838</v>
      </c>
      <c r="B20" s="250"/>
      <c r="C20" s="184"/>
      <c r="D20" s="221"/>
      <c r="E20" s="221"/>
      <c r="F20" s="186"/>
      <c r="G20" s="247"/>
      <c r="I20" s="253"/>
      <c r="J20" s="253"/>
      <c r="K20" s="255" t="s">
        <v>543</v>
      </c>
      <c r="L20" s="256" t="s">
        <v>31</v>
      </c>
      <c r="M20" s="256">
        <v>6</v>
      </c>
      <c r="N20" s="253"/>
      <c r="O20" s="253"/>
    </row>
    <row r="21" spans="1:15" ht="36" customHeight="1">
      <c r="A21" s="231"/>
      <c r="B21" s="250"/>
      <c r="C21" s="184"/>
      <c r="D21" s="221"/>
      <c r="E21" s="221"/>
      <c r="F21" s="186"/>
      <c r="G21" s="252"/>
      <c r="I21" s="253"/>
      <c r="J21" s="253"/>
      <c r="K21" s="255" t="s">
        <v>544</v>
      </c>
      <c r="L21" s="256" t="s">
        <v>31</v>
      </c>
      <c r="M21" s="256">
        <v>5</v>
      </c>
      <c r="N21" s="253"/>
      <c r="O21" s="253"/>
    </row>
    <row r="22" spans="1:15" ht="36" customHeight="1">
      <c r="A22" s="6"/>
      <c r="B22" s="250"/>
      <c r="C22" s="4"/>
      <c r="D22" s="185"/>
      <c r="E22" s="14"/>
      <c r="F22" s="186"/>
      <c r="G22" s="187"/>
      <c r="I22" s="253"/>
      <c r="J22" s="253"/>
      <c r="K22" s="255" t="s">
        <v>545</v>
      </c>
      <c r="L22" s="256" t="s">
        <v>553</v>
      </c>
      <c r="M22" s="256">
        <f>ROUND(M17*M20*M21,0)</f>
        <v>90</v>
      </c>
      <c r="N22" s="253"/>
      <c r="O22" s="253"/>
    </row>
    <row r="23" spans="1:15" ht="33" customHeight="1">
      <c r="A23" s="231"/>
      <c r="B23" s="250"/>
      <c r="C23" s="16"/>
      <c r="D23" s="9"/>
      <c r="E23" s="9"/>
      <c r="F23" s="12"/>
      <c r="G23" s="8"/>
      <c r="I23" s="253"/>
      <c r="J23" s="253"/>
      <c r="K23" s="255" t="s">
        <v>546</v>
      </c>
      <c r="L23" s="256" t="s">
        <v>2</v>
      </c>
      <c r="M23" s="256">
        <f>M17*ROUNDUP(M20/0.18-1,0)</f>
        <v>99</v>
      </c>
      <c r="N23" s="253"/>
      <c r="O23" s="253"/>
    </row>
    <row r="24" spans="1:15" ht="33" customHeight="1">
      <c r="A24" s="231"/>
      <c r="B24" s="250"/>
      <c r="C24" s="535" t="s">
        <v>879</v>
      </c>
      <c r="D24" s="9"/>
      <c r="E24" s="9"/>
      <c r="F24" s="12"/>
      <c r="G24" s="8"/>
      <c r="I24" s="253"/>
      <c r="J24" s="253"/>
      <c r="K24" s="255" t="s">
        <v>548</v>
      </c>
      <c r="L24" s="256" t="s">
        <v>31</v>
      </c>
      <c r="M24" s="256">
        <f>M23*M20</f>
        <v>594</v>
      </c>
      <c r="N24" s="253"/>
      <c r="O24" s="253"/>
    </row>
    <row r="25" spans="1:15" ht="33" customHeight="1">
      <c r="A25" s="231"/>
      <c r="B25" s="250"/>
      <c r="C25" s="536"/>
      <c r="D25" s="9"/>
      <c r="E25" s="9"/>
      <c r="F25" s="12"/>
      <c r="G25" s="8"/>
      <c r="I25" s="253"/>
      <c r="J25" s="253"/>
      <c r="K25" s="255" t="s">
        <v>526</v>
      </c>
      <c r="L25" s="256" t="s">
        <v>549</v>
      </c>
      <c r="M25" s="256">
        <f>M17*M23</f>
        <v>297</v>
      </c>
      <c r="N25" s="253"/>
      <c r="O25" s="253"/>
    </row>
    <row r="26" spans="1:15" ht="36" customHeight="1">
      <c r="A26" s="231"/>
      <c r="B26" s="250"/>
      <c r="C26" s="16"/>
      <c r="D26" s="9"/>
      <c r="E26" s="9"/>
      <c r="F26" s="12"/>
      <c r="G26" s="8"/>
      <c r="I26" s="253"/>
      <c r="J26" s="253"/>
      <c r="K26" s="426"/>
      <c r="L26" s="427"/>
      <c r="M26" s="427"/>
      <c r="N26" s="253"/>
      <c r="O26" s="253"/>
    </row>
    <row r="27" spans="1:15" ht="37.5" customHeight="1">
      <c r="A27" s="532" t="s">
        <v>54</v>
      </c>
      <c r="B27" s="533"/>
      <c r="C27" s="533"/>
      <c r="D27" s="533"/>
      <c r="E27" s="533"/>
      <c r="F27" s="534"/>
      <c r="G27" s="17"/>
      <c r="I27" s="253"/>
      <c r="J27" s="253"/>
      <c r="K27" s="255" t="s">
        <v>527</v>
      </c>
      <c r="L27" s="256" t="s">
        <v>564</v>
      </c>
      <c r="M27" s="256">
        <f>M22*0.25</f>
        <v>22.5</v>
      </c>
      <c r="N27" s="253"/>
      <c r="O27" s="253"/>
    </row>
    <row r="28" spans="1:15" ht="48.75" customHeight="1">
      <c r="K28" s="21" t="s">
        <v>528</v>
      </c>
      <c r="L28" s="21" t="s">
        <v>520</v>
      </c>
      <c r="M28" s="21">
        <f>M17</f>
        <v>3</v>
      </c>
    </row>
    <row r="29" spans="1:15" ht="39.75" customHeight="1">
      <c r="K29" s="21" t="s">
        <v>529</v>
      </c>
      <c r="L29" s="21" t="s">
        <v>530</v>
      </c>
      <c r="M29" s="21">
        <f>180*M27/1000</f>
        <v>4.05</v>
      </c>
    </row>
    <row r="30" spans="1:15" ht="29.25" customHeight="1">
      <c r="K30" s="21" t="s">
        <v>550</v>
      </c>
      <c r="L30" s="21" t="s">
        <v>2</v>
      </c>
      <c r="M30" s="21">
        <f>ROUNDUP(M22/0.18^2,0)</f>
        <v>2778</v>
      </c>
    </row>
    <row r="31" spans="1:15" ht="29.25" customHeight="1">
      <c r="K31" s="21" t="s">
        <v>531</v>
      </c>
      <c r="L31" s="21" t="s">
        <v>2</v>
      </c>
      <c r="M31" s="21">
        <f>M30</f>
        <v>2778</v>
      </c>
    </row>
    <row r="32" spans="1:15" ht="29.25" customHeight="1">
      <c r="K32" s="21" t="s">
        <v>532</v>
      </c>
      <c r="L32" s="21" t="s">
        <v>551</v>
      </c>
      <c r="M32" s="21">
        <v>1</v>
      </c>
    </row>
    <row r="33" spans="11:13" ht="29.25" customHeight="1">
      <c r="K33" s="21" t="s">
        <v>533</v>
      </c>
      <c r="L33" s="21" t="s">
        <v>67</v>
      </c>
      <c r="M33" s="21">
        <v>1</v>
      </c>
    </row>
    <row r="34" spans="11:13" ht="29.25" customHeight="1">
      <c r="K34" s="21" t="s">
        <v>534</v>
      </c>
      <c r="L34" s="21" t="s">
        <v>565</v>
      </c>
      <c r="M34" s="21">
        <f>ROUND(M22*0.15,2)</f>
        <v>13.5</v>
      </c>
    </row>
    <row r="35" spans="11:13" ht="39" customHeight="1">
      <c r="K35" s="21" t="s">
        <v>535</v>
      </c>
      <c r="L35" s="21" t="s">
        <v>565</v>
      </c>
      <c r="M35" s="21">
        <f>M22*0.1</f>
        <v>9</v>
      </c>
    </row>
    <row r="36" spans="11:13" ht="29.25" customHeight="1">
      <c r="K36" s="21" t="s">
        <v>536</v>
      </c>
      <c r="L36" s="21" t="s">
        <v>565</v>
      </c>
      <c r="M36" s="21">
        <f>M22*0.75</f>
        <v>67.5</v>
      </c>
    </row>
    <row r="37" spans="11:13" ht="29.25" customHeight="1"/>
    <row r="38" spans="11:13" ht="29.25" customHeight="1"/>
    <row r="39" spans="11:13" ht="29.25" customHeight="1"/>
    <row r="40" spans="11:13" ht="29.25" customHeight="1"/>
    <row r="41" spans="11:13" ht="29.25" customHeight="1"/>
    <row r="42" spans="11:13" ht="29.25" customHeight="1"/>
    <row r="43" spans="11:13" ht="29.25" customHeight="1"/>
    <row r="44" spans="11:13" ht="29.25" customHeight="1"/>
    <row r="45" spans="11:13" ht="29.25" customHeight="1"/>
    <row r="46" spans="11:13" ht="29.25" customHeight="1"/>
    <row r="47" spans="11:13" ht="29.25" customHeight="1"/>
    <row r="48" spans="11:13" ht="29.25" customHeight="1"/>
    <row r="49" ht="29.25" customHeight="1"/>
    <row r="50" ht="29.25" customHeight="1"/>
    <row r="51" ht="29.25" customHeight="1"/>
    <row r="52" ht="29.25" customHeight="1"/>
    <row r="53" ht="29.25" customHeight="1"/>
    <row r="54" ht="29.25" customHeight="1"/>
    <row r="55" ht="29.25" customHeight="1"/>
    <row r="56" ht="29.25" customHeight="1"/>
    <row r="57" ht="29.25" customHeight="1"/>
    <row r="58" ht="29.25" customHeight="1"/>
    <row r="59" ht="29.25" customHeight="1"/>
    <row r="60" ht="29.25" customHeight="1"/>
    <row r="61" ht="29.25" customHeight="1"/>
    <row r="62" ht="29.25" customHeight="1"/>
    <row r="63" ht="29.25" customHeight="1"/>
    <row r="64" ht="29.25" customHeight="1"/>
    <row r="65" spans="9:15" ht="29.25" customHeight="1"/>
    <row r="66" spans="9:15" ht="29.25" customHeight="1"/>
    <row r="67" spans="9:15" ht="29.25" customHeight="1"/>
    <row r="68" spans="9:15" ht="29.25" customHeight="1"/>
    <row r="69" spans="9:15" ht="29.25" customHeight="1"/>
    <row r="70" spans="9:15" ht="29.25" customHeight="1"/>
    <row r="71" spans="9:15" ht="29.25" customHeight="1"/>
    <row r="72" spans="9:15" ht="27.75" customHeight="1"/>
    <row r="73" spans="9:15" ht="27" customHeight="1"/>
    <row r="74" spans="9:15" ht="34.5" customHeight="1">
      <c r="I74" s="253"/>
      <c r="J74" s="253"/>
      <c r="K74" s="253"/>
      <c r="L74" s="253"/>
      <c r="M74" s="253"/>
      <c r="N74" s="253"/>
      <c r="O74" s="253"/>
    </row>
    <row r="75" spans="9:15" ht="34.5" customHeight="1">
      <c r="I75" s="253"/>
      <c r="J75" s="253"/>
      <c r="K75" s="253"/>
      <c r="L75" s="253"/>
      <c r="M75" s="253"/>
      <c r="N75" s="253"/>
      <c r="O75" s="253"/>
    </row>
    <row r="76" spans="9:15" ht="34.5" customHeight="1">
      <c r="I76" s="253"/>
      <c r="J76" s="253"/>
      <c r="K76" s="253"/>
      <c r="L76" s="253"/>
      <c r="M76" s="253"/>
      <c r="N76" s="253"/>
      <c r="O76" s="253"/>
    </row>
    <row r="77" spans="9:15" ht="34.5" customHeight="1">
      <c r="I77" s="253"/>
      <c r="J77" s="253"/>
      <c r="K77" s="253"/>
      <c r="L77" s="253"/>
      <c r="M77" s="253"/>
      <c r="N77" s="253"/>
      <c r="O77" s="253"/>
    </row>
    <row r="78" spans="9:15" ht="34.5" customHeight="1">
      <c r="I78" s="253"/>
      <c r="J78" s="253"/>
      <c r="K78" s="253"/>
      <c r="L78" s="253"/>
      <c r="M78" s="253"/>
      <c r="N78" s="253"/>
      <c r="O78" s="253"/>
    </row>
    <row r="79" spans="9:15" ht="34.5" customHeight="1">
      <c r="I79" s="253"/>
      <c r="J79" s="253"/>
      <c r="K79" s="253"/>
      <c r="L79" s="253"/>
      <c r="M79" s="253"/>
      <c r="N79" s="253"/>
      <c r="O79" s="253"/>
    </row>
    <row r="80" spans="9:15" ht="34.5" customHeight="1">
      <c r="I80" s="253"/>
      <c r="J80" s="253"/>
      <c r="K80" s="253"/>
      <c r="L80" s="253"/>
      <c r="M80" s="253"/>
      <c r="N80" s="253"/>
      <c r="O80" s="253"/>
    </row>
    <row r="81" spans="9:15" ht="34.5" customHeight="1">
      <c r="I81" s="253"/>
      <c r="J81" s="253"/>
      <c r="K81" s="253"/>
      <c r="L81" s="253"/>
      <c r="M81" s="253"/>
      <c r="N81" s="253"/>
      <c r="O81" s="253"/>
    </row>
    <row r="82" spans="9:15" ht="34.5" customHeight="1"/>
    <row r="83" spans="9:15" ht="34.5" customHeight="1"/>
    <row r="84" spans="9:15" ht="34.5" customHeight="1"/>
    <row r="85" spans="9:15" ht="34.5" customHeight="1"/>
    <row r="86" spans="9:15" ht="34.5" customHeight="1"/>
    <row r="87" spans="9:15" ht="34.5" customHeight="1"/>
    <row r="88" spans="9:15" ht="34.5" customHeight="1"/>
    <row r="89" spans="9:15" ht="34.5" customHeight="1"/>
    <row r="90" spans="9:15" ht="34.5" customHeight="1"/>
    <row r="91" spans="9:15" ht="34.5" customHeight="1"/>
    <row r="92" spans="9:15" ht="34.5" customHeight="1"/>
    <row r="93" spans="9:15" ht="34.5" customHeight="1"/>
    <row r="94" spans="9:15" ht="34.5" customHeight="1"/>
    <row r="95" spans="9:15" ht="34.5" customHeight="1"/>
    <row r="96" spans="9:15" ht="34.5" customHeight="1"/>
    <row r="97" ht="34.5" customHeight="1"/>
    <row r="98" ht="34.5" customHeight="1"/>
    <row r="99" ht="34.5" customHeight="1"/>
    <row r="100" ht="25.75" customHeight="1"/>
    <row r="101" ht="25.75" customHeight="1"/>
    <row r="102" ht="25.5" customHeight="1"/>
    <row r="103" ht="28.5" customHeight="1"/>
    <row r="104" ht="28.5" customHeight="1"/>
    <row r="105" ht="28.5" customHeight="1"/>
    <row r="106" ht="28.5" customHeight="1"/>
    <row r="107" ht="47.25" customHeight="1"/>
    <row r="108" ht="30" customHeight="1"/>
    <row r="109" ht="30" customHeight="1"/>
    <row r="110" ht="30.5" customHeight="1"/>
    <row r="111" ht="40.5" customHeight="1"/>
    <row r="112" ht="30" customHeight="1"/>
    <row r="113" spans="9:10" ht="33.5" customHeight="1"/>
    <row r="114" spans="9:10" ht="36.75" customHeight="1"/>
    <row r="115" spans="9:10" ht="23.5" customHeight="1"/>
    <row r="116" spans="9:10" ht="28.5" customHeight="1"/>
    <row r="117" spans="9:10" ht="36" customHeight="1"/>
    <row r="118" spans="9:10" ht="27.5" customHeight="1"/>
    <row r="119" spans="9:10" ht="27.5" customHeight="1"/>
    <row r="120" spans="9:10" ht="44" customHeight="1">
      <c r="I120" s="21">
        <f>91.5*2*0.05</f>
        <v>9.15</v>
      </c>
    </row>
    <row r="121" spans="9:10" ht="32.5" customHeight="1"/>
    <row r="122" spans="9:10" ht="33" customHeight="1">
      <c r="J122" s="21">
        <f>(0.04/PI()/1.8)^0.5*1000</f>
        <v>84.104417400672006</v>
      </c>
    </row>
    <row r="123" spans="9:10" ht="31.25" customHeight="1">
      <c r="I123" s="178"/>
    </row>
    <row r="124" spans="9:10" ht="31.25" customHeight="1">
      <c r="I124" s="178"/>
    </row>
    <row r="125" spans="9:10" ht="46.25" customHeight="1"/>
    <row r="126" spans="9:10" ht="31.25" customHeight="1"/>
    <row r="127" spans="9:10" ht="31.25" customHeight="1"/>
    <row r="128" spans="9:10" ht="31.25" customHeight="1"/>
    <row r="129" spans="9:9" ht="53.75" customHeight="1"/>
    <row r="130" spans="9:9" ht="31.25" customHeight="1"/>
    <row r="131" spans="9:9" ht="28.25" customHeight="1">
      <c r="I131" s="178">
        <f>SUM(G120:G131)</f>
        <v>0</v>
      </c>
    </row>
    <row r="132" spans="9:9" ht="31.25" customHeight="1"/>
    <row r="133" spans="9:9" ht="31.25" customHeight="1"/>
    <row r="134" spans="9:9" ht="31.25" customHeight="1"/>
    <row r="135" spans="9:9" ht="31.25" customHeight="1"/>
    <row r="136" spans="9:9" ht="58.75" customHeight="1"/>
    <row r="137" spans="9:9" ht="31.25" customHeight="1"/>
    <row r="138" spans="9:9" ht="31.25" customHeight="1"/>
    <row r="139" spans="9:9" ht="31.25" customHeight="1"/>
    <row r="140" spans="9:9" ht="31.25" customHeight="1"/>
    <row r="141" spans="9:9" ht="31.25" customHeight="1"/>
    <row r="142" spans="9:9" ht="31.25" customHeight="1"/>
    <row r="143" spans="9:9" ht="31.25" customHeight="1"/>
    <row r="144" spans="9:9" ht="31.25" customHeight="1"/>
    <row r="145" ht="31.25" customHeight="1"/>
    <row r="146" ht="33.5" customHeight="1"/>
    <row r="147" ht="33.5" customHeight="1"/>
    <row r="148" ht="26.5" customHeight="1"/>
    <row r="149" ht="27.5" customHeight="1"/>
    <row r="150" ht="33.5" customHeight="1"/>
    <row r="151" ht="27.75" customHeight="1"/>
    <row r="152" ht="33.5" customHeight="1"/>
    <row r="153" ht="27.75" customHeight="1"/>
    <row r="154" ht="27.75" customHeight="1"/>
    <row r="155" ht="27.75" customHeight="1"/>
    <row r="156" ht="27.75" customHeight="1"/>
    <row r="157" ht="27.75" customHeight="1"/>
    <row r="158" ht="27.75" customHeight="1"/>
    <row r="159" ht="27.75" customHeight="1"/>
    <row r="160" ht="27.75" customHeight="1"/>
    <row r="161" ht="27.75" customHeight="1"/>
    <row r="162" ht="27.75" customHeight="1"/>
    <row r="163" ht="27.75" customHeight="1"/>
    <row r="164" ht="27.75" customHeight="1"/>
    <row r="165" ht="27.75" customHeight="1"/>
    <row r="166" ht="27.75" customHeight="1"/>
    <row r="167" ht="27.75" customHeight="1"/>
    <row r="168" ht="27.75" customHeight="1"/>
    <row r="169" ht="27.75" customHeight="1"/>
    <row r="170" ht="27.75" customHeight="1"/>
    <row r="171" ht="27.75" customHeight="1"/>
    <row r="172" ht="27.75" customHeight="1"/>
    <row r="173" ht="27.75" customHeight="1"/>
    <row r="174" ht="22.75" customHeight="1"/>
    <row r="175" ht="22.75" customHeight="1"/>
    <row r="176" ht="22.75" customHeight="1"/>
    <row r="177" ht="22.75" customHeight="1"/>
    <row r="178" ht="22.75" customHeight="1"/>
    <row r="179" ht="22.75" customHeight="1"/>
    <row r="180" ht="22.75" customHeight="1"/>
    <row r="181" ht="22.75" customHeight="1"/>
    <row r="182" ht="22.75" customHeight="1"/>
    <row r="183" ht="22.75" customHeight="1"/>
    <row r="184" ht="22.75" customHeight="1"/>
    <row r="185" ht="22.75" customHeight="1"/>
    <row r="186" ht="22.75" customHeight="1"/>
    <row r="187" ht="22.75" customHeight="1"/>
    <row r="188" ht="22.75" customHeight="1"/>
    <row r="189" ht="22.75" customHeight="1"/>
    <row r="190" ht="22.75" customHeight="1"/>
    <row r="191" ht="22.75" customHeight="1"/>
    <row r="192" ht="22.75" customHeight="1"/>
    <row r="193" ht="22.75" customHeight="1"/>
    <row r="194" ht="22.75" customHeight="1"/>
    <row r="195" ht="22.75" customHeight="1"/>
    <row r="196" ht="22.75" customHeight="1"/>
    <row r="197" ht="22.75" customHeight="1"/>
    <row r="198" ht="22.75" customHeight="1"/>
    <row r="199" ht="22.75" customHeight="1"/>
    <row r="200" ht="22.75" customHeight="1"/>
    <row r="201" ht="22.75" customHeight="1"/>
    <row r="202" ht="22.75" customHeight="1"/>
    <row r="203" ht="22.75" customHeight="1"/>
    <row r="204" ht="22.75" customHeight="1"/>
    <row r="205" ht="22.75" customHeight="1"/>
    <row r="206" ht="22.75" customHeight="1"/>
    <row r="207" ht="22.75" customHeight="1"/>
    <row r="208" ht="22.75" customHeight="1"/>
    <row r="209" ht="25.25" customHeight="1"/>
    <row r="210" ht="25.25" customHeight="1"/>
    <row r="211" ht="25.25" customHeight="1"/>
    <row r="212" ht="25.25" customHeight="1"/>
    <row r="213" ht="25.25" customHeight="1"/>
    <row r="214" ht="25.25" customHeight="1"/>
    <row r="215" ht="25.25" customHeight="1"/>
    <row r="216" ht="30" customHeight="1"/>
    <row r="217" ht="23.25" customHeight="1"/>
    <row r="218" ht="27.75" customHeight="1"/>
    <row r="219" ht="30" customHeight="1"/>
    <row r="220" ht="35.25" customHeight="1"/>
  </sheetData>
  <mergeCells count="2">
    <mergeCell ref="A27:F27"/>
    <mergeCell ref="C24:C25"/>
  </mergeCells>
  <pageMargins left="0.70866141732283472" right="0.70866141732283472" top="0.74803149606299213" bottom="0.74803149606299213" header="0.31496062992125984" footer="0.31496062992125984"/>
  <pageSetup paperSize="9" scale="59" firstPageNumber="125" orientation="portrait" useFirstPageNumber="1" r:id="rId1"/>
  <headerFooter>
    <oddHeader xml:space="preserve">&amp;C&amp;"-,Bold"BURGERSFORT WWTW UPGRADE - BLOWER CONTAINERS 
</oddHeader>
    <oddFooter>&amp;LBill of Quantities&amp;CPage &amp;P&amp;RBurgersfort  WWTW</oddFooter>
  </headerFooter>
  <rowBreaks count="4" manualBreakCount="4">
    <brk id="71" max="6" man="1"/>
    <brk id="100" max="16383" man="1"/>
    <brk id="132" max="6" man="1"/>
    <brk id="166"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B050"/>
  </sheetPr>
  <dimension ref="A1:J186"/>
  <sheetViews>
    <sheetView view="pageBreakPreview" zoomScale="106" zoomScaleNormal="125" zoomScaleSheetLayoutView="106" workbookViewId="0">
      <selection activeCell="C6" sqref="C6"/>
    </sheetView>
  </sheetViews>
  <sheetFormatPr baseColWidth="10" defaultColWidth="9.1640625" defaultRowHeight="13"/>
  <cols>
    <col min="1" max="1" width="8.1640625" style="21" customWidth="1"/>
    <col min="2" max="2" width="12.5" style="21" customWidth="1"/>
    <col min="3" max="3" width="57.6640625" style="21" customWidth="1"/>
    <col min="4" max="5" width="10.5" style="21" customWidth="1"/>
    <col min="6" max="6" width="13.6640625" style="21" customWidth="1"/>
    <col min="7" max="7" width="16.83203125" style="21" customWidth="1"/>
    <col min="8" max="8" width="9.1640625" style="21"/>
    <col min="9" max="9" width="11.6640625" style="21" bestFit="1" customWidth="1"/>
    <col min="10" max="16384" width="9.1640625" style="21"/>
  </cols>
  <sheetData>
    <row r="1" spans="1:10" ht="26.25" customHeight="1">
      <c r="A1" s="1" t="s">
        <v>0</v>
      </c>
      <c r="B1" s="1" t="s">
        <v>9</v>
      </c>
      <c r="C1" s="2" t="s">
        <v>1</v>
      </c>
      <c r="D1" s="2" t="s">
        <v>10</v>
      </c>
      <c r="E1" s="2" t="s">
        <v>11</v>
      </c>
      <c r="F1" s="2" t="s">
        <v>12</v>
      </c>
      <c r="G1" s="2" t="s">
        <v>13</v>
      </c>
    </row>
    <row r="2" spans="1:10" ht="30" customHeight="1">
      <c r="A2" s="3">
        <v>6</v>
      </c>
      <c r="B2" s="257"/>
      <c r="C2" s="4" t="s">
        <v>839</v>
      </c>
      <c r="D2" s="3"/>
      <c r="E2" s="3"/>
      <c r="F2" s="3"/>
      <c r="G2" s="3"/>
    </row>
    <row r="3" spans="1:10" ht="30" customHeight="1">
      <c r="A3" s="3"/>
      <c r="B3" s="257"/>
      <c r="C3" s="41"/>
      <c r="D3" s="3"/>
      <c r="E3" s="3"/>
      <c r="F3" s="3"/>
      <c r="G3" s="3"/>
    </row>
    <row r="4" spans="1:10" ht="42" customHeight="1">
      <c r="A4" s="6"/>
      <c r="B4" s="257"/>
      <c r="C4" s="4" t="s">
        <v>897</v>
      </c>
      <c r="D4" s="7"/>
      <c r="E4" s="7"/>
      <c r="F4" s="8"/>
      <c r="G4" s="8"/>
    </row>
    <row r="5" spans="1:10" ht="26.25" customHeight="1">
      <c r="A5" s="416"/>
      <c r="B5" s="338"/>
      <c r="C5" s="412"/>
      <c r="D5" s="405"/>
      <c r="E5" s="405"/>
      <c r="F5" s="414"/>
      <c r="G5" s="401"/>
    </row>
    <row r="6" spans="1:10" ht="30.75" customHeight="1">
      <c r="A6" s="6">
        <v>6.1</v>
      </c>
      <c r="B6" s="10"/>
      <c r="C6" s="41" t="s">
        <v>959</v>
      </c>
      <c r="D6" s="7"/>
      <c r="E6" s="7"/>
      <c r="F6" s="108"/>
      <c r="G6" s="8"/>
    </row>
    <row r="7" spans="1:10" ht="38" customHeight="1">
      <c r="A7" s="9" t="s">
        <v>559</v>
      </c>
      <c r="B7" s="13"/>
      <c r="C7" s="11"/>
      <c r="D7" s="242"/>
      <c r="E7" s="243"/>
      <c r="F7" s="246"/>
      <c r="G7" s="247"/>
      <c r="J7" s="21">
        <f>1.1*9.81*0.09145*190/0.8</f>
        <v>234.37377562500006</v>
      </c>
    </row>
    <row r="8" spans="1:10" ht="32" customHeight="1">
      <c r="A8" s="9"/>
      <c r="B8" s="13"/>
      <c r="C8" s="54"/>
      <c r="D8" s="7"/>
      <c r="E8" s="14"/>
      <c r="F8" s="26"/>
      <c r="G8" s="8"/>
      <c r="I8" s="178"/>
    </row>
    <row r="9" spans="1:10" ht="31.5" customHeight="1">
      <c r="A9" s="6">
        <v>6.2</v>
      </c>
      <c r="B9" s="13"/>
      <c r="C9" s="41" t="s">
        <v>840</v>
      </c>
      <c r="D9" s="7"/>
      <c r="E9" s="50"/>
      <c r="F9" s="56"/>
      <c r="G9" s="52"/>
    </row>
    <row r="10" spans="1:10" ht="31.5" customHeight="1">
      <c r="A10" s="9" t="s">
        <v>560</v>
      </c>
      <c r="B10" s="13"/>
      <c r="C10" s="11"/>
      <c r="D10" s="242"/>
      <c r="E10" s="243"/>
      <c r="F10" s="246"/>
      <c r="G10" s="247"/>
    </row>
    <row r="11" spans="1:10" ht="30.75" customHeight="1">
      <c r="A11" s="9" t="s">
        <v>561</v>
      </c>
      <c r="B11" s="13"/>
      <c r="C11" s="19"/>
      <c r="D11" s="7"/>
      <c r="E11" s="100"/>
      <c r="F11" s="26"/>
      <c r="G11" s="247"/>
    </row>
    <row r="12" spans="1:10" ht="42.75" customHeight="1">
      <c r="A12" s="9" t="s">
        <v>841</v>
      </c>
      <c r="B12" s="13"/>
      <c r="C12" s="54"/>
      <c r="D12" s="242"/>
      <c r="E12" s="243"/>
      <c r="F12" s="246"/>
      <c r="G12" s="247"/>
    </row>
    <row r="13" spans="1:10" ht="27" customHeight="1">
      <c r="A13" s="403"/>
      <c r="B13" s="13"/>
      <c r="C13" s="407"/>
      <c r="D13" s="408"/>
      <c r="E13" s="50"/>
      <c r="F13" s="409"/>
      <c r="G13" s="410"/>
    </row>
    <row r="14" spans="1:10" ht="26.5" customHeight="1">
      <c r="A14" s="43">
        <v>6.3</v>
      </c>
      <c r="B14" s="62"/>
      <c r="C14" s="68" t="s">
        <v>836</v>
      </c>
      <c r="D14" s="7"/>
      <c r="E14" s="100"/>
      <c r="F14" s="106"/>
      <c r="G14" s="107"/>
    </row>
    <row r="15" spans="1:10" ht="40" customHeight="1">
      <c r="A15" s="9" t="s">
        <v>562</v>
      </c>
      <c r="B15" s="62"/>
      <c r="C15" s="16"/>
      <c r="D15" s="242"/>
      <c r="E15" s="243"/>
      <c r="F15" s="246"/>
      <c r="G15" s="247"/>
    </row>
    <row r="16" spans="1:10" ht="40" customHeight="1">
      <c r="A16" s="9" t="s">
        <v>845</v>
      </c>
      <c r="B16" s="62"/>
      <c r="C16" s="415"/>
      <c r="D16" s="242"/>
      <c r="E16" s="243"/>
      <c r="F16" s="246"/>
      <c r="G16" s="247"/>
    </row>
    <row r="17" spans="1:9" ht="40" customHeight="1">
      <c r="A17" s="9" t="s">
        <v>843</v>
      </c>
      <c r="B17" s="62"/>
      <c r="C17" s="16"/>
      <c r="D17" s="242"/>
      <c r="E17" s="243"/>
      <c r="F17" s="246"/>
      <c r="G17" s="247"/>
    </row>
    <row r="18" spans="1:9" ht="40" customHeight="1">
      <c r="A18" s="9" t="s">
        <v>846</v>
      </c>
      <c r="B18" s="62"/>
      <c r="C18" s="415"/>
      <c r="D18" s="242"/>
      <c r="E18" s="243"/>
      <c r="F18" s="246"/>
      <c r="G18" s="247"/>
    </row>
    <row r="19" spans="1:9" ht="40" customHeight="1">
      <c r="A19" s="9" t="s">
        <v>847</v>
      </c>
      <c r="B19" s="62"/>
      <c r="C19" s="415"/>
      <c r="D19" s="242"/>
      <c r="E19" s="243"/>
      <c r="F19" s="246"/>
      <c r="G19" s="247"/>
    </row>
    <row r="20" spans="1:9" ht="40" customHeight="1">
      <c r="A20" s="9" t="s">
        <v>848</v>
      </c>
      <c r="B20" s="62"/>
      <c r="C20" s="415"/>
      <c r="D20" s="242"/>
      <c r="E20" s="243"/>
      <c r="F20" s="246"/>
      <c r="G20" s="247"/>
    </row>
    <row r="21" spans="1:9" ht="40" customHeight="1">
      <c r="A21" s="9" t="s">
        <v>849</v>
      </c>
      <c r="B21" s="62"/>
      <c r="C21" s="415"/>
      <c r="D21" s="242"/>
      <c r="E21" s="243"/>
      <c r="F21" s="246"/>
      <c r="G21" s="247"/>
    </row>
    <row r="22" spans="1:9" ht="40" customHeight="1">
      <c r="A22" s="9" t="s">
        <v>850</v>
      </c>
      <c r="B22" s="15"/>
      <c r="C22" s="16"/>
      <c r="D22" s="9"/>
      <c r="E22" s="14"/>
      <c r="F22" s="12"/>
      <c r="G22" s="247"/>
      <c r="I22" s="21">
        <f>4*(330/3600)/PI()/0.35^2</f>
        <v>0.95276428517597211</v>
      </c>
    </row>
    <row r="23" spans="1:9" ht="40" customHeight="1">
      <c r="A23" s="9" t="s">
        <v>851</v>
      </c>
      <c r="B23" s="15"/>
      <c r="C23" s="415"/>
      <c r="D23" s="9"/>
      <c r="E23" s="14"/>
      <c r="F23" s="12"/>
      <c r="G23" s="247"/>
    </row>
    <row r="24" spans="1:9" ht="40" customHeight="1">
      <c r="A24" s="9" t="s">
        <v>852</v>
      </c>
      <c r="B24" s="15"/>
      <c r="C24" s="16"/>
      <c r="D24" s="9"/>
      <c r="E24" s="14"/>
      <c r="F24" s="12"/>
      <c r="G24" s="247"/>
    </row>
    <row r="25" spans="1:9" ht="40" customHeight="1">
      <c r="A25" s="9" t="s">
        <v>853</v>
      </c>
      <c r="B25" s="15"/>
      <c r="C25" s="415"/>
      <c r="D25" s="9"/>
      <c r="E25" s="14"/>
      <c r="F25" s="12"/>
      <c r="G25" s="247"/>
    </row>
    <row r="26" spans="1:9" ht="28.5" customHeight="1">
      <c r="A26" s="403"/>
      <c r="B26" s="15"/>
      <c r="C26" s="415"/>
      <c r="D26" s="403"/>
      <c r="E26" s="14"/>
      <c r="F26" s="414"/>
      <c r="G26" s="401"/>
    </row>
    <row r="27" spans="1:9" ht="30.5" customHeight="1">
      <c r="A27" s="6">
        <v>6.4</v>
      </c>
      <c r="B27" s="10"/>
      <c r="C27" s="4" t="s">
        <v>842</v>
      </c>
      <c r="D27" s="9"/>
      <c r="E27" s="14"/>
      <c r="F27" s="12"/>
      <c r="G27" s="8"/>
    </row>
    <row r="28" spans="1:9" ht="42" customHeight="1">
      <c r="A28" s="9" t="s">
        <v>563</v>
      </c>
      <c r="B28" s="10"/>
      <c r="C28" s="11"/>
      <c r="D28" s="9"/>
      <c r="E28" s="14"/>
      <c r="F28" s="12"/>
      <c r="G28" s="8"/>
    </row>
    <row r="29" spans="1:9" ht="42" customHeight="1">
      <c r="A29" s="9" t="s">
        <v>854</v>
      </c>
      <c r="B29" s="10"/>
      <c r="C29" s="11"/>
      <c r="D29" s="9"/>
      <c r="E29" s="14"/>
      <c r="F29" s="12"/>
      <c r="G29" s="8"/>
    </row>
    <row r="30" spans="1:9" ht="42" customHeight="1">
      <c r="A30" s="6">
        <v>6.5</v>
      </c>
      <c r="B30" s="10"/>
      <c r="C30" s="4" t="s">
        <v>844</v>
      </c>
      <c r="D30" s="403"/>
      <c r="E30" s="14"/>
      <c r="F30" s="414"/>
      <c r="G30" s="401"/>
    </row>
    <row r="31" spans="1:9" ht="42" customHeight="1">
      <c r="A31" s="403" t="s">
        <v>855</v>
      </c>
      <c r="B31" s="10"/>
      <c r="C31" s="413"/>
      <c r="D31" s="242"/>
      <c r="E31" s="243"/>
      <c r="F31" s="246"/>
      <c r="G31" s="247"/>
    </row>
    <row r="32" spans="1:9" ht="42" customHeight="1">
      <c r="A32" s="403" t="s">
        <v>943</v>
      </c>
      <c r="B32" s="10"/>
      <c r="C32" s="480"/>
      <c r="D32" s="504"/>
      <c r="E32" s="505"/>
      <c r="F32" s="506"/>
      <c r="G32" s="507"/>
    </row>
    <row r="33" spans="1:7" ht="42" customHeight="1">
      <c r="A33" s="9"/>
      <c r="B33" s="15"/>
      <c r="C33" s="535" t="s">
        <v>879</v>
      </c>
      <c r="D33" s="9"/>
      <c r="E33" s="14"/>
      <c r="F33" s="12"/>
      <c r="G33" s="247"/>
    </row>
    <row r="34" spans="1:7" ht="42" customHeight="1">
      <c r="A34" s="9"/>
      <c r="B34" s="15"/>
      <c r="C34" s="536"/>
      <c r="D34" s="9"/>
      <c r="E34" s="14"/>
      <c r="F34" s="12"/>
      <c r="G34" s="247"/>
    </row>
    <row r="35" spans="1:7" ht="30.75" customHeight="1">
      <c r="A35" s="532" t="s">
        <v>26</v>
      </c>
      <c r="B35" s="533"/>
      <c r="C35" s="533"/>
      <c r="D35" s="533"/>
      <c r="E35" s="533"/>
      <c r="F35" s="534"/>
      <c r="G35" s="17"/>
    </row>
    <row r="36" spans="1:7" ht="27.75" customHeight="1"/>
    <row r="37" spans="1:7" ht="27" customHeight="1"/>
    <row r="38" spans="1:7" ht="46.5" customHeight="1"/>
    <row r="39" spans="1:7" ht="53.5" customHeight="1"/>
    <row r="40" spans="1:7" ht="41.25" customHeight="1"/>
    <row r="41" spans="1:7" ht="41.25" customHeight="1"/>
    <row r="42" spans="1:7" ht="41.25" customHeight="1"/>
    <row r="43" spans="1:7" ht="41.25" customHeight="1"/>
    <row r="44" spans="1:7" ht="27" customHeight="1"/>
    <row r="45" spans="1:7" ht="30" customHeight="1"/>
    <row r="46" spans="1:7" ht="53.25" customHeight="1"/>
    <row r="47" spans="1:7" ht="50.25" customHeight="1"/>
    <row r="48" spans="1:7" ht="35.25" customHeight="1"/>
    <row r="49" ht="33.75" customHeight="1"/>
    <row r="50" ht="91.5" customHeight="1"/>
    <row r="51" ht="32.25" customHeight="1"/>
    <row r="52" ht="30.75" customHeight="1"/>
    <row r="53" ht="42" customHeight="1"/>
    <row r="54" ht="30.75" customHeight="1"/>
    <row r="55" ht="30.75" customHeight="1"/>
    <row r="56" ht="30.75" customHeight="1"/>
    <row r="57" ht="30.75" customHeight="1"/>
    <row r="58" ht="30.75" customHeight="1"/>
    <row r="59" ht="30.75" customHeight="1"/>
    <row r="60" ht="30.75" customHeight="1"/>
    <row r="61" ht="30.75" customHeight="1"/>
    <row r="62" ht="30.75" customHeight="1"/>
    <row r="63" ht="30.75" customHeight="1"/>
    <row r="64" ht="30.75" customHeight="1"/>
    <row r="65" ht="30.75" customHeight="1"/>
    <row r="66" ht="25.75" customHeight="1"/>
    <row r="67" ht="25.75" customHeight="1"/>
    <row r="68" ht="25.5" customHeight="1"/>
    <row r="69" ht="28.5" customHeight="1"/>
    <row r="70" ht="45" customHeight="1"/>
    <row r="71" ht="36.75" customHeight="1"/>
    <row r="72" ht="42.75" customHeight="1"/>
    <row r="73" ht="47.25" customHeight="1"/>
    <row r="74" ht="41.25" customHeight="1"/>
    <row r="75" ht="30" customHeight="1"/>
    <row r="76" ht="30.5" customHeight="1"/>
    <row r="77" ht="40.5" customHeight="1"/>
    <row r="78" ht="30" customHeight="1"/>
    <row r="79" ht="33.5" customHeight="1"/>
    <row r="80" ht="36.75" customHeight="1"/>
    <row r="81" spans="9:10" ht="23.5" customHeight="1"/>
    <row r="82" spans="9:10" ht="28.5" customHeight="1"/>
    <row r="83" spans="9:10" ht="36" customHeight="1"/>
    <row r="84" spans="9:10" ht="27.5" customHeight="1"/>
    <row r="85" spans="9:10" ht="27.5" customHeight="1"/>
    <row r="86" spans="9:10" ht="44" customHeight="1">
      <c r="I86" s="21">
        <f>91.5*2*0.05</f>
        <v>9.15</v>
      </c>
    </row>
    <row r="87" spans="9:10" ht="32.5" customHeight="1"/>
    <row r="88" spans="9:10" ht="33" customHeight="1">
      <c r="J88" s="21">
        <f>(0.04/PI()/1.8)^0.5*1000</f>
        <v>84.104417400672006</v>
      </c>
    </row>
    <row r="89" spans="9:10" ht="31.25" customHeight="1">
      <c r="I89" s="178"/>
    </row>
    <row r="90" spans="9:10" ht="31.25" customHeight="1">
      <c r="I90" s="178"/>
    </row>
    <row r="91" spans="9:10" ht="46.25" customHeight="1"/>
    <row r="92" spans="9:10" ht="31.25" customHeight="1"/>
    <row r="93" spans="9:10" ht="31.25" customHeight="1"/>
    <row r="94" spans="9:10" ht="31.25" customHeight="1"/>
    <row r="95" spans="9:10" ht="53.75" customHeight="1"/>
    <row r="96" spans="9:10" ht="31.25" customHeight="1"/>
    <row r="97" spans="9:9" ht="28.25" customHeight="1">
      <c r="I97" s="178">
        <f>SUM(G86:G97)</f>
        <v>0</v>
      </c>
    </row>
    <row r="98" spans="9:9" ht="31.25" customHeight="1"/>
    <row r="99" spans="9:9" ht="31.25" customHeight="1"/>
    <row r="100" spans="9:9" ht="31.25" customHeight="1"/>
    <row r="101" spans="9:9" ht="31.25" customHeight="1"/>
    <row r="102" spans="9:9" ht="58.75" customHeight="1"/>
    <row r="103" spans="9:9" ht="31.25" customHeight="1"/>
    <row r="104" spans="9:9" ht="31.25" customHeight="1"/>
    <row r="105" spans="9:9" ht="31.25" customHeight="1"/>
    <row r="106" spans="9:9" ht="31.25" customHeight="1"/>
    <row r="107" spans="9:9" ht="31.25" customHeight="1"/>
    <row r="108" spans="9:9" ht="31.25" customHeight="1"/>
    <row r="109" spans="9:9" ht="31.25" customHeight="1"/>
    <row r="110" spans="9:9" ht="31.25" customHeight="1"/>
    <row r="111" spans="9:9" ht="31.25" customHeight="1"/>
    <row r="112" spans="9:9" ht="33.5" customHeight="1"/>
    <row r="113" ht="33.5" customHeight="1"/>
    <row r="114" ht="26.5" customHeight="1"/>
    <row r="115" ht="27.5" customHeight="1"/>
    <row r="116" ht="33.5" customHeight="1"/>
    <row r="117" ht="27.75" customHeight="1"/>
    <row r="118" ht="33.5" customHeight="1"/>
    <row r="119" ht="27.75" customHeight="1"/>
    <row r="120" ht="27.75" customHeight="1"/>
    <row r="121" ht="27.75" customHeight="1"/>
    <row r="122" ht="27.75" customHeight="1"/>
    <row r="123" ht="27.75" customHeight="1"/>
    <row r="124" ht="27.75" customHeight="1"/>
    <row r="125" ht="27.75" customHeight="1"/>
    <row r="126" ht="27.75" customHeight="1"/>
    <row r="127" ht="27.75" customHeight="1"/>
    <row r="128" ht="27.75" customHeight="1"/>
    <row r="129" ht="27.75" customHeight="1"/>
    <row r="130" ht="27.75" customHeight="1"/>
    <row r="131" ht="27.75" customHeight="1"/>
    <row r="132" ht="27.75" customHeight="1"/>
    <row r="133" ht="27.75" customHeight="1"/>
    <row r="134" ht="27.75" customHeight="1"/>
    <row r="135" ht="27.75" customHeight="1"/>
    <row r="136" ht="27.75" customHeight="1"/>
    <row r="137" ht="27.75" customHeight="1"/>
    <row r="138" ht="27.75" customHeight="1"/>
    <row r="139" ht="27.75" customHeight="1"/>
    <row r="140" ht="22.75" customHeight="1"/>
    <row r="141" ht="22.75" customHeight="1"/>
    <row r="142" ht="22.75" customHeight="1"/>
    <row r="143" ht="22.75" customHeight="1"/>
    <row r="144" ht="22.75" customHeight="1"/>
    <row r="145" ht="22.75" customHeight="1"/>
    <row r="146" ht="22.75" customHeight="1"/>
    <row r="147" ht="22.75" customHeight="1"/>
    <row r="148" ht="22.75" customHeight="1"/>
    <row r="149" ht="22.75" customHeight="1"/>
    <row r="150" ht="22.75" customHeight="1"/>
    <row r="151" ht="22.75" customHeight="1"/>
    <row r="152" ht="22.75" customHeight="1"/>
    <row r="153" ht="22.75" customHeight="1"/>
    <row r="154" ht="22.75" customHeight="1"/>
    <row r="155" ht="22.75" customHeight="1"/>
    <row r="156" ht="22.75" customHeight="1"/>
    <row r="157" ht="22.75" customHeight="1"/>
    <row r="158" ht="22.75" customHeight="1"/>
    <row r="159" ht="22.75" customHeight="1"/>
    <row r="160" ht="22.75" customHeight="1"/>
    <row r="161" ht="22.75" customHeight="1"/>
    <row r="162" ht="22.75" customHeight="1"/>
    <row r="163" ht="22.75" customHeight="1"/>
    <row r="164" ht="22.75" customHeight="1"/>
    <row r="165" ht="22.75" customHeight="1"/>
    <row r="166" ht="22.75" customHeight="1"/>
    <row r="167" ht="22.75" customHeight="1"/>
    <row r="168" ht="22.75" customHeight="1"/>
    <row r="169" ht="22.75" customHeight="1"/>
    <row r="170" ht="22.75" customHeight="1"/>
    <row r="171" ht="22.75" customHeight="1"/>
    <row r="172" ht="22.75" customHeight="1"/>
    <row r="173" ht="22.75" customHeight="1"/>
    <row r="174" ht="22.75" customHeight="1"/>
    <row r="175" ht="25.25" customHeight="1"/>
    <row r="176" ht="25.25" customHeight="1"/>
    <row r="177" ht="25.25" customHeight="1"/>
    <row r="178" ht="25.25" customHeight="1"/>
    <row r="179" ht="25.25" customHeight="1"/>
    <row r="180" ht="25.25" customHeight="1"/>
    <row r="181" ht="25.25" customHeight="1"/>
    <row r="182" ht="30" customHeight="1"/>
    <row r="183" ht="23.25" customHeight="1"/>
    <row r="184" ht="27.75" customHeight="1"/>
    <row r="185" ht="30" customHeight="1"/>
    <row r="186" ht="35.25" customHeight="1"/>
  </sheetData>
  <mergeCells count="2">
    <mergeCell ref="A35:F35"/>
    <mergeCell ref="C33:C34"/>
  </mergeCells>
  <phoneticPr fontId="39" type="noConversion"/>
  <pageMargins left="0.70866141732283472" right="0.70866141732283472" top="0.74803149606299213" bottom="0.74803149606299213" header="0.31496062992125984" footer="0.31496062992125984"/>
  <pageSetup paperSize="9" scale="59" firstPageNumber="126" orientation="portrait" useFirstPageNumber="1" r:id="rId1"/>
  <headerFooter>
    <oddHeader>&amp;C&amp;"-,Bold"BURGERSFORT WWTW UPGRADE - CLARIFIERS</oddHeader>
    <oddFooter>&amp;LBill of Quantities&amp;CPage &amp;P&amp;RBurgersfort  WWTW</oddFooter>
  </headerFooter>
  <rowBreaks count="4" manualBreakCount="4">
    <brk id="35" max="6" man="1"/>
    <brk id="66" max="16383" man="1"/>
    <brk id="98" max="6" man="1"/>
    <brk id="132"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50"/>
  </sheetPr>
  <dimension ref="A1:I557"/>
  <sheetViews>
    <sheetView view="pageBreakPreview" zoomScaleNormal="125" zoomScaleSheetLayoutView="100" workbookViewId="0">
      <selection activeCell="C24" sqref="C24:C25"/>
    </sheetView>
  </sheetViews>
  <sheetFormatPr baseColWidth="10" defaultColWidth="9.1640625" defaultRowHeight="13"/>
  <cols>
    <col min="1" max="1" width="8.1640625" style="21" customWidth="1"/>
    <col min="2" max="2" width="9.5" style="21" customWidth="1"/>
    <col min="3" max="3" width="61.6640625" style="21" customWidth="1"/>
    <col min="4" max="4" width="11.33203125" style="21" customWidth="1"/>
    <col min="5" max="5" width="12.33203125" style="21" customWidth="1"/>
    <col min="6" max="6" width="13.6640625" style="21" customWidth="1"/>
    <col min="7" max="7" width="15.5" style="21" customWidth="1"/>
    <col min="8" max="8" width="9.1640625" style="21"/>
    <col min="9" max="9" width="12.6640625" style="21" bestFit="1" customWidth="1"/>
    <col min="10" max="16384" width="9.1640625" style="21"/>
  </cols>
  <sheetData>
    <row r="1" spans="1:9">
      <c r="A1" s="15"/>
      <c r="B1" s="15"/>
      <c r="C1" s="15"/>
      <c r="D1" s="15"/>
      <c r="E1" s="15"/>
      <c r="F1" s="20"/>
      <c r="G1" s="20"/>
    </row>
    <row r="2" spans="1:9" ht="26.25" customHeight="1">
      <c r="A2" s="1" t="s">
        <v>0</v>
      </c>
      <c r="B2" s="1" t="s">
        <v>9</v>
      </c>
      <c r="C2" s="2" t="s">
        <v>1</v>
      </c>
      <c r="D2" s="2" t="s">
        <v>10</v>
      </c>
      <c r="E2" s="2" t="s">
        <v>11</v>
      </c>
      <c r="F2" s="2" t="s">
        <v>12</v>
      </c>
      <c r="G2" s="2" t="s">
        <v>13</v>
      </c>
    </row>
    <row r="3" spans="1:9" ht="42" customHeight="1">
      <c r="A3" s="3">
        <v>7</v>
      </c>
      <c r="B3" s="3"/>
      <c r="C3" s="4" t="s">
        <v>856</v>
      </c>
      <c r="D3" s="3"/>
      <c r="E3" s="3"/>
      <c r="F3" s="3"/>
      <c r="G3" s="3"/>
    </row>
    <row r="4" spans="1:9" ht="45.75" customHeight="1">
      <c r="A4" s="3"/>
      <c r="B4" s="3"/>
      <c r="C4" s="4" t="s">
        <v>897</v>
      </c>
      <c r="D4" s="3"/>
      <c r="E4" s="3"/>
      <c r="F4" s="3"/>
      <c r="G4" s="3"/>
    </row>
    <row r="5" spans="1:9" ht="30" customHeight="1">
      <c r="A5" s="6"/>
      <c r="B5" s="6"/>
      <c r="C5" s="4"/>
      <c r="D5" s="7"/>
      <c r="E5" s="7"/>
      <c r="F5" s="8"/>
      <c r="G5" s="8"/>
    </row>
    <row r="6" spans="1:9" ht="31.5" customHeight="1">
      <c r="A6" s="270">
        <v>7.1</v>
      </c>
      <c r="B6" s="10"/>
      <c r="C6" s="41" t="s">
        <v>857</v>
      </c>
      <c r="D6" s="7"/>
      <c r="E6" s="7"/>
      <c r="F6" s="108"/>
      <c r="G6" s="8"/>
    </row>
    <row r="7" spans="1:9" ht="46" customHeight="1">
      <c r="A7" s="269" t="s">
        <v>574</v>
      </c>
      <c r="B7" s="260"/>
      <c r="C7" s="11"/>
      <c r="D7" s="267"/>
      <c r="E7" s="267"/>
      <c r="F7" s="12"/>
      <c r="G7" s="8"/>
      <c r="I7" s="178"/>
    </row>
    <row r="8" spans="1:9" ht="46" customHeight="1">
      <c r="A8" s="269" t="s">
        <v>575</v>
      </c>
      <c r="B8" s="260"/>
      <c r="C8" s="11"/>
      <c r="D8" s="267"/>
      <c r="E8" s="267"/>
      <c r="F8" s="12"/>
      <c r="G8" s="8"/>
    </row>
    <row r="9" spans="1:9" ht="46" customHeight="1">
      <c r="A9" s="269" t="s">
        <v>576</v>
      </c>
      <c r="B9" s="260"/>
      <c r="C9" s="11"/>
      <c r="D9" s="267"/>
      <c r="E9" s="267"/>
      <c r="F9" s="12"/>
      <c r="G9" s="8"/>
    </row>
    <row r="10" spans="1:9" ht="46" customHeight="1">
      <c r="A10" s="269" t="s">
        <v>577</v>
      </c>
      <c r="B10" s="260"/>
      <c r="C10" s="11"/>
      <c r="D10" s="267"/>
      <c r="E10" s="267"/>
      <c r="F10" s="414"/>
      <c r="G10" s="8"/>
    </row>
    <row r="11" spans="1:9" ht="99" customHeight="1">
      <c r="A11" s="269" t="s">
        <v>578</v>
      </c>
      <c r="B11" s="428" t="s">
        <v>858</v>
      </c>
      <c r="C11" s="429" t="s">
        <v>898</v>
      </c>
      <c r="D11" s="267"/>
      <c r="E11" s="267"/>
      <c r="F11" s="12"/>
      <c r="G11" s="8"/>
    </row>
    <row r="12" spans="1:9" ht="29.25" customHeight="1">
      <c r="A12" s="269"/>
      <c r="B12" s="260"/>
      <c r="C12" s="266"/>
      <c r="D12" s="267"/>
      <c r="E12" s="267"/>
      <c r="F12" s="12"/>
      <c r="G12" s="8"/>
      <c r="I12" s="21">
        <f>4*(330/3600)/PI()/0.35^2</f>
        <v>0.95276428517597211</v>
      </c>
    </row>
    <row r="13" spans="1:9" ht="30" customHeight="1">
      <c r="A13" s="270">
        <v>7.2</v>
      </c>
      <c r="B13" s="260"/>
      <c r="C13" s="41" t="s">
        <v>859</v>
      </c>
      <c r="D13" s="267"/>
      <c r="E13" s="267"/>
      <c r="F13" s="12"/>
      <c r="G13" s="8"/>
    </row>
    <row r="14" spans="1:9" ht="57" customHeight="1">
      <c r="A14" s="269" t="s">
        <v>579</v>
      </c>
      <c r="B14" s="260"/>
      <c r="C14" s="266"/>
      <c r="D14" s="267"/>
      <c r="E14" s="267"/>
      <c r="F14" s="12"/>
      <c r="G14" s="8"/>
    </row>
    <row r="15" spans="1:9" ht="28.25" customHeight="1">
      <c r="A15" s="269"/>
      <c r="B15" s="260"/>
      <c r="C15" s="266"/>
      <c r="D15" s="267"/>
      <c r="E15" s="267"/>
      <c r="F15" s="12"/>
      <c r="G15" s="8"/>
    </row>
    <row r="16" spans="1:9" ht="35.25" customHeight="1">
      <c r="A16" s="270">
        <v>7.3</v>
      </c>
      <c r="B16" s="260"/>
      <c r="C16" s="41" t="s">
        <v>860</v>
      </c>
      <c r="D16" s="267"/>
      <c r="E16" s="267"/>
      <c r="F16" s="12"/>
      <c r="G16" s="8"/>
    </row>
    <row r="17" spans="1:7" ht="32.25" customHeight="1">
      <c r="A17" s="269" t="s">
        <v>580</v>
      </c>
      <c r="B17" s="260"/>
      <c r="C17" s="266"/>
      <c r="D17" s="267"/>
      <c r="E17" s="267"/>
      <c r="F17" s="12"/>
      <c r="G17" s="8"/>
    </row>
    <row r="18" spans="1:7" ht="28.25" customHeight="1">
      <c r="A18" s="269" t="s">
        <v>581</v>
      </c>
      <c r="B18" s="260"/>
      <c r="C18" s="266"/>
      <c r="D18" s="267"/>
      <c r="E18" s="267"/>
      <c r="F18" s="12"/>
      <c r="G18" s="8"/>
    </row>
    <row r="19" spans="1:7" ht="28.25" customHeight="1">
      <c r="A19" s="269"/>
      <c r="B19" s="260"/>
      <c r="C19" s="266"/>
      <c r="D19" s="267"/>
      <c r="E19" s="267"/>
      <c r="F19" s="12"/>
      <c r="G19" s="8"/>
    </row>
    <row r="20" spans="1:7" ht="40.5" customHeight="1">
      <c r="A20" s="269"/>
      <c r="B20" s="260"/>
      <c r="C20" s="11"/>
      <c r="D20" s="267"/>
      <c r="E20" s="267"/>
      <c r="F20" s="12"/>
      <c r="G20" s="8"/>
    </row>
    <row r="21" spans="1:7" ht="28.25" customHeight="1">
      <c r="A21" s="258"/>
      <c r="B21" s="260"/>
      <c r="C21" s="261"/>
      <c r="D21" s="262"/>
      <c r="E21" s="262"/>
      <c r="F21" s="263"/>
      <c r="G21" s="259"/>
    </row>
    <row r="22" spans="1:7" ht="28.25" customHeight="1">
      <c r="A22" s="270"/>
      <c r="B22" s="257"/>
      <c r="C22" s="4"/>
      <c r="D22" s="262"/>
      <c r="E22" s="262"/>
      <c r="F22" s="263"/>
      <c r="G22" s="259"/>
    </row>
    <row r="23" spans="1:7" ht="28.25" customHeight="1">
      <c r="A23" s="269"/>
      <c r="B23" s="260"/>
      <c r="C23" s="265"/>
      <c r="D23" s="268"/>
      <c r="E23" s="262"/>
      <c r="F23" s="263"/>
      <c r="G23" s="259"/>
    </row>
    <row r="24" spans="1:7" ht="28.25" customHeight="1">
      <c r="A24" s="269"/>
      <c r="B24" s="260"/>
      <c r="C24" s="535" t="s">
        <v>879</v>
      </c>
      <c r="D24" s="267"/>
      <c r="E24" s="267"/>
      <c r="F24" s="12"/>
      <c r="G24" s="8"/>
    </row>
    <row r="25" spans="1:7" ht="28.25" customHeight="1">
      <c r="A25" s="269"/>
      <c r="B25" s="260"/>
      <c r="C25" s="536"/>
      <c r="D25" s="267"/>
      <c r="E25" s="267"/>
      <c r="F25" s="12"/>
      <c r="G25" s="8"/>
    </row>
    <row r="26" spans="1:7" ht="28.25" customHeight="1">
      <c r="A26" s="258"/>
      <c r="B26" s="260"/>
      <c r="C26" s="261"/>
      <c r="D26" s="262"/>
      <c r="E26" s="262"/>
      <c r="F26" s="263"/>
      <c r="G26" s="259"/>
    </row>
    <row r="27" spans="1:7" ht="28.25" customHeight="1">
      <c r="A27" s="532" t="s">
        <v>26</v>
      </c>
      <c r="B27" s="533"/>
      <c r="C27" s="533"/>
      <c r="D27" s="533"/>
      <c r="E27" s="533"/>
      <c r="F27" s="534"/>
      <c r="G27" s="17"/>
    </row>
    <row r="28" spans="1:7" ht="28.25" customHeight="1"/>
    <row r="29" spans="1:7" ht="27.75" customHeight="1"/>
    <row r="30" spans="1:7" ht="29.25" customHeight="1"/>
    <row r="31" spans="1:7" ht="29.25" customHeight="1"/>
    <row r="32" spans="1:7" ht="29.25" customHeight="1"/>
    <row r="33" ht="29.25" customHeight="1"/>
    <row r="34" ht="33" customHeight="1"/>
    <row r="35" ht="32.25" customHeight="1"/>
    <row r="36" ht="28.5" customHeight="1"/>
    <row r="37" ht="28.5" customHeight="1"/>
    <row r="38" ht="28.5" customHeight="1"/>
    <row r="39" ht="28.5" customHeight="1"/>
    <row r="40" ht="34.5" customHeight="1"/>
    <row r="41" ht="34.5" customHeight="1"/>
    <row r="42" ht="28.5" customHeight="1"/>
    <row r="43" ht="28.5" customHeight="1"/>
    <row r="44" ht="28.5" customHeight="1"/>
    <row r="45" ht="28.5" customHeight="1"/>
    <row r="46" ht="28.5" customHeight="1"/>
    <row r="47" ht="28.5" customHeight="1"/>
    <row r="48" ht="28.5" customHeight="1"/>
    <row r="49" ht="34.5" customHeight="1"/>
    <row r="50" ht="28.5" customHeight="1"/>
    <row r="51" ht="28.5" customHeight="1"/>
    <row r="52" ht="36" customHeight="1"/>
    <row r="53" ht="29.5" customHeight="1"/>
    <row r="54" ht="25.25" customHeight="1"/>
    <row r="55" ht="25.75" customHeight="1"/>
    <row r="56" ht="25.75" customHeight="1"/>
    <row r="57" ht="25.5" customHeight="1"/>
    <row r="58" ht="28.5" customHeight="1"/>
    <row r="59" ht="28.5" customHeight="1"/>
    <row r="60" ht="28.5" customHeight="1"/>
    <row r="61" ht="28.5" customHeight="1"/>
    <row r="62" ht="23.25"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5.25"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7.5" customHeight="1"/>
    <row r="102" ht="37.5" customHeight="1"/>
    <row r="103" ht="37.5" customHeight="1"/>
    <row r="104" ht="37.5" customHeight="1"/>
    <row r="105" ht="30" customHeight="1"/>
    <row r="106" ht="30" customHeight="1"/>
    <row r="107" ht="30" customHeight="1"/>
    <row r="108" ht="36" customHeight="1"/>
    <row r="109" ht="30" customHeight="1"/>
    <row r="110" ht="30" customHeight="1"/>
    <row r="111" ht="30" customHeight="1"/>
    <row r="112" ht="30.5" customHeight="1"/>
    <row r="113" ht="34.5" customHeight="1"/>
    <row r="114" ht="31.5" customHeight="1"/>
    <row r="115" ht="33.5" customHeight="1"/>
    <row r="116" ht="36.75" customHeight="1"/>
    <row r="117" ht="23.5" customHeight="1"/>
    <row r="118" ht="34.5" customHeight="1"/>
    <row r="119" ht="29.25" customHeight="1"/>
    <row r="120" ht="38.25" customHeight="1"/>
    <row r="121" ht="36" customHeight="1"/>
    <row r="122" ht="36" customHeight="1"/>
    <row r="123" ht="36" customHeight="1"/>
    <row r="124" ht="36" customHeight="1"/>
    <row r="125" ht="36" customHeight="1"/>
    <row r="126" ht="45" customHeight="1"/>
    <row r="127" ht="36" customHeight="1"/>
    <row r="128" ht="36" customHeight="1"/>
    <row r="129" ht="36" customHeight="1"/>
    <row r="130" ht="36" customHeight="1"/>
    <row r="131" ht="36" customHeight="1"/>
    <row r="132" ht="36" customHeight="1"/>
    <row r="133" ht="36" customHeight="1"/>
    <row r="134" ht="36" customHeight="1"/>
    <row r="135" ht="36" customHeight="1"/>
    <row r="136" ht="36" customHeight="1"/>
    <row r="137" ht="36" customHeight="1"/>
    <row r="138" ht="36" customHeight="1"/>
    <row r="139" ht="36" customHeight="1"/>
    <row r="140" ht="36" customHeight="1"/>
    <row r="141" ht="36" customHeight="1"/>
    <row r="142" ht="36" customHeight="1"/>
    <row r="143" ht="36" customHeight="1"/>
    <row r="144" ht="36" customHeight="1"/>
    <row r="145" ht="36" customHeight="1"/>
    <row r="146" ht="36" customHeight="1"/>
    <row r="147" ht="36" customHeight="1"/>
    <row r="148" ht="36" customHeight="1"/>
    <row r="149" ht="36" customHeight="1"/>
    <row r="150" ht="36" customHeight="1"/>
    <row r="151" ht="36" customHeight="1"/>
    <row r="152" ht="36" customHeight="1"/>
    <row r="153" ht="36" customHeight="1"/>
    <row r="154" ht="36" customHeight="1"/>
    <row r="155" ht="36" customHeight="1"/>
    <row r="156" ht="36" customHeight="1"/>
    <row r="157" ht="36" customHeight="1"/>
    <row r="158" ht="36" customHeight="1"/>
    <row r="159" ht="36" customHeight="1"/>
    <row r="160" ht="36" customHeight="1"/>
    <row r="161" ht="36" customHeight="1"/>
    <row r="162" ht="36" customHeight="1"/>
    <row r="163" ht="36" customHeight="1"/>
    <row r="164" ht="27" customHeight="1"/>
    <row r="165" ht="29.25" customHeight="1"/>
    <row r="166" ht="36" customHeight="1"/>
    <row r="167" ht="36" customHeight="1"/>
    <row r="168" ht="36" customHeight="1"/>
    <row r="169" ht="36" customHeight="1"/>
    <row r="170" ht="36" customHeight="1"/>
    <row r="171" ht="36" customHeight="1"/>
    <row r="172" ht="36" customHeight="1"/>
    <row r="173" ht="36" customHeight="1"/>
    <row r="174" ht="36" customHeight="1"/>
    <row r="175" ht="36" customHeight="1"/>
    <row r="176" ht="27.5" customHeight="1"/>
    <row r="177" ht="34.5" customHeight="1"/>
    <row r="178" ht="39" customHeight="1"/>
    <row r="179" ht="32.5" customHeight="1"/>
    <row r="180" ht="33" customHeight="1"/>
    <row r="181" ht="31.25" customHeight="1"/>
    <row r="182" ht="31.25" customHeight="1"/>
    <row r="183" ht="33.75" customHeight="1"/>
    <row r="184" ht="31.25" customHeight="1"/>
    <row r="185" ht="31.25" customHeight="1"/>
    <row r="186" ht="31.25" customHeight="1"/>
    <row r="187" ht="31.25" customHeight="1"/>
    <row r="188" ht="31.25" customHeight="1"/>
    <row r="189" ht="40.5" customHeight="1"/>
    <row r="190" ht="31.25" customHeight="1"/>
    <row r="191" ht="31.25" customHeight="1"/>
    <row r="192" ht="37.5" customHeight="1"/>
    <row r="193" ht="31.25" customHeight="1"/>
    <row r="194" ht="31.25" customHeight="1"/>
    <row r="195" ht="31.25" customHeight="1"/>
    <row r="196" ht="31.25" customHeight="1"/>
    <row r="197" ht="39.75" customHeight="1"/>
    <row r="198" ht="31.25" customHeight="1"/>
    <row r="199" ht="31.25" customHeight="1"/>
    <row r="200" ht="31.25" customHeight="1"/>
    <row r="201" ht="31.25" customHeight="1"/>
    <row r="202" ht="31.25" customHeight="1"/>
    <row r="203" ht="31.25" customHeight="1"/>
    <row r="204" ht="31.25" customHeight="1"/>
    <row r="205" ht="34.5" customHeight="1"/>
    <row r="206" ht="31.25" customHeight="1"/>
    <row r="207" ht="31.25" customHeight="1"/>
    <row r="208" ht="31.25" customHeight="1"/>
    <row r="209" ht="31.25" customHeight="1"/>
    <row r="210" ht="31.25" customHeight="1"/>
    <row r="211" ht="31.25" customHeight="1"/>
    <row r="212" ht="31.25" customHeight="1"/>
    <row r="213" ht="31.25" customHeight="1"/>
    <row r="214" ht="31.25" customHeight="1"/>
    <row r="215" ht="31.25" customHeight="1"/>
    <row r="216" ht="31.25" customHeight="1"/>
    <row r="217" ht="31.25" customHeight="1"/>
    <row r="218" ht="31.25" customHeight="1"/>
    <row r="219" ht="31.25" customHeight="1"/>
    <row r="220" ht="31.25" customHeight="1"/>
    <row r="221" ht="31.25" customHeight="1"/>
    <row r="222" ht="31.25" customHeight="1"/>
    <row r="223" ht="31.25" customHeight="1"/>
    <row r="224" ht="31.25" customHeight="1"/>
    <row r="225" ht="31.25" customHeight="1"/>
    <row r="226" ht="31.25" customHeight="1"/>
    <row r="227" ht="31.25" customHeight="1"/>
    <row r="228" ht="31.25" customHeight="1"/>
    <row r="229" ht="31.25" customHeight="1"/>
    <row r="230" ht="31.25" customHeight="1"/>
    <row r="231" ht="31.25" customHeight="1"/>
    <row r="232" ht="31.25" customHeight="1"/>
    <row r="233" ht="31.25" customHeight="1"/>
    <row r="234" ht="31.25" customHeight="1"/>
    <row r="235" ht="31.25" customHeight="1"/>
    <row r="236" ht="31.25" customHeight="1"/>
    <row r="237" ht="31.25" customHeight="1"/>
    <row r="238" ht="31.25" customHeight="1"/>
    <row r="239" ht="31.25" customHeight="1"/>
    <row r="240" ht="33" customHeight="1"/>
    <row r="241" ht="29.25" customHeight="1"/>
    <row r="242" ht="31.25" customHeight="1"/>
    <row r="243" ht="31.25" customHeight="1"/>
    <row r="244" ht="42.75" customHeight="1"/>
    <row r="245" ht="31.25" customHeight="1"/>
    <row r="246" ht="31.25" customHeight="1"/>
    <row r="247" ht="31.25" customHeight="1"/>
    <row r="248" ht="31.25" customHeight="1"/>
    <row r="249" ht="31.25" customHeight="1"/>
    <row r="250" ht="31.25" customHeight="1"/>
    <row r="251" ht="31.25" customHeight="1"/>
    <row r="252" ht="31.25" customHeight="1"/>
    <row r="253" ht="31.25" customHeight="1"/>
    <row r="254" ht="31.25" customHeight="1"/>
    <row r="255" ht="31.25" customHeight="1"/>
    <row r="256" ht="31.25" customHeight="1"/>
    <row r="257" ht="31.25" customHeight="1"/>
    <row r="258" ht="31.25" customHeight="1"/>
    <row r="259" ht="31.25" customHeight="1"/>
    <row r="260" ht="31.25" customHeight="1"/>
    <row r="261" ht="31.25" customHeight="1"/>
    <row r="262" ht="31.25" customHeight="1"/>
    <row r="263" ht="31.25" customHeight="1"/>
    <row r="264" ht="31.25" customHeight="1"/>
    <row r="265" ht="31.25" customHeight="1"/>
    <row r="266" ht="36.75" customHeight="1"/>
    <row r="267" ht="31.25" customHeight="1"/>
    <row r="268" ht="31.25" customHeight="1"/>
    <row r="269" ht="31.25" customHeight="1"/>
    <row r="270" ht="31.25" customHeight="1"/>
    <row r="271" ht="31.25" customHeight="1"/>
    <row r="272" ht="31.25" customHeight="1"/>
    <row r="273" ht="31.25" customHeight="1"/>
    <row r="274" ht="31.25" customHeight="1"/>
    <row r="275" ht="31.25" customHeight="1"/>
    <row r="276" ht="31.25" customHeight="1"/>
    <row r="277" ht="31.25" customHeight="1"/>
    <row r="278" ht="31.25" customHeight="1"/>
    <row r="279" ht="31.25" customHeight="1"/>
    <row r="280" ht="31.25" customHeight="1"/>
    <row r="281" ht="31.25" customHeight="1"/>
    <row r="282" ht="31.25" customHeight="1"/>
    <row r="283" ht="31.25" customHeight="1"/>
    <row r="284" ht="31.25" customHeight="1"/>
    <row r="285" ht="31.25" customHeight="1"/>
    <row r="286" ht="31.25" customHeight="1"/>
    <row r="287" ht="31.25" customHeight="1"/>
    <row r="288" ht="31.25" customHeight="1"/>
    <row r="289" ht="31.25" customHeight="1"/>
    <row r="290" ht="31.25" customHeight="1"/>
    <row r="291" ht="31.25" customHeight="1"/>
    <row r="292" ht="31.25" customHeight="1"/>
    <row r="293" ht="31.25" customHeight="1"/>
    <row r="294" ht="31.25" customHeight="1"/>
    <row r="295" ht="31.25" customHeight="1"/>
    <row r="296" ht="31.25" customHeight="1"/>
    <row r="297" ht="51.75" customHeight="1"/>
    <row r="298" ht="31.25" customHeight="1"/>
    <row r="299" ht="31.25" customHeight="1"/>
    <row r="300" ht="31.25" customHeight="1"/>
    <row r="301" ht="31.25" customHeight="1"/>
    <row r="302" ht="31.25" customHeight="1"/>
    <row r="303" ht="31.25" customHeight="1"/>
    <row r="304" ht="31.25" customHeight="1"/>
    <row r="305" ht="31.25" customHeight="1"/>
    <row r="306" ht="31.25" customHeight="1"/>
    <row r="307" ht="31.25" customHeight="1"/>
    <row r="308" ht="31.25" customHeight="1"/>
    <row r="309" ht="31.25" customHeight="1"/>
    <row r="310" ht="36" customHeight="1"/>
    <row r="311" ht="33.75" customHeight="1"/>
    <row r="312" ht="31.25" customHeight="1"/>
    <row r="313" ht="31.25" customHeight="1"/>
    <row r="314" ht="31.25" customHeight="1"/>
    <row r="315" ht="31.25" customHeight="1"/>
    <row r="316" ht="31.25" customHeight="1"/>
    <row r="317" ht="31.25" customHeight="1"/>
    <row r="318" ht="31.25" customHeight="1"/>
    <row r="319" ht="31.25" customHeight="1"/>
    <row r="320" ht="37.5" customHeight="1"/>
    <row r="321" ht="37.5" customHeight="1"/>
    <row r="322" ht="31.25" customHeight="1"/>
    <row r="323" ht="31.25" customHeight="1"/>
    <row r="324" ht="31.25" customHeight="1"/>
    <row r="325" ht="31.25" customHeight="1"/>
    <row r="326" ht="31.25" customHeight="1"/>
    <row r="327" ht="31.25" customHeight="1"/>
    <row r="328" ht="31.25" customHeight="1"/>
    <row r="329" ht="31.25" customHeight="1"/>
    <row r="330" ht="31.25" customHeight="1"/>
    <row r="331" ht="31.25" customHeight="1"/>
    <row r="332" ht="31.25" customHeight="1"/>
    <row r="333" ht="31.25" customHeight="1"/>
    <row r="334" ht="31.25" customHeight="1"/>
    <row r="335" ht="31.25" customHeight="1"/>
    <row r="336" ht="31.25" customHeight="1"/>
    <row r="337" ht="31.25" customHeight="1"/>
    <row r="338" ht="31.25" customHeight="1"/>
    <row r="339" ht="31.25" customHeight="1"/>
    <row r="340" ht="31.25" customHeight="1"/>
    <row r="341" ht="31.25" customHeight="1"/>
    <row r="342" ht="31.25" customHeight="1"/>
    <row r="343" ht="31.25" customHeight="1"/>
    <row r="344" ht="31.25" customHeight="1"/>
    <row r="345" ht="31.25" customHeight="1"/>
    <row r="346" ht="31.25" customHeight="1"/>
    <row r="347" ht="31.25" customHeight="1"/>
    <row r="348" ht="31.25" customHeight="1"/>
    <row r="349" ht="31.25" customHeight="1"/>
    <row r="350" ht="31.25" customHeight="1"/>
    <row r="351" ht="31.25" customHeight="1"/>
    <row r="352" ht="31.25" customHeight="1"/>
    <row r="353" ht="31.25" customHeight="1"/>
    <row r="354" ht="31.25" customHeight="1"/>
    <row r="355" ht="31.25" customHeight="1"/>
    <row r="356" ht="31.25" customHeight="1"/>
    <row r="357" ht="31.25" customHeight="1"/>
    <row r="358" ht="33.75" customHeight="1"/>
    <row r="359" ht="33.75" customHeight="1"/>
    <row r="360" ht="31.25" customHeight="1"/>
    <row r="361" ht="31.25" customHeight="1"/>
    <row r="362" ht="31.25" customHeight="1"/>
    <row r="363" ht="31.25" customHeight="1"/>
    <row r="364" ht="31.25" customHeight="1"/>
    <row r="365" ht="31.25" customHeight="1"/>
    <row r="366" ht="31.25" customHeight="1"/>
    <row r="367" ht="31.25" customHeight="1"/>
    <row r="368" ht="31.25" customHeight="1"/>
    <row r="369" ht="31.25" customHeight="1"/>
    <row r="370" ht="31.25" customHeight="1"/>
    <row r="371" ht="31.25" customHeight="1"/>
    <row r="372" ht="31.25" customHeight="1"/>
    <row r="373" ht="31.25" customHeight="1"/>
    <row r="374" ht="31.25" customHeight="1"/>
    <row r="375" ht="31.25" customHeight="1"/>
    <row r="376" ht="31.25" customHeight="1"/>
    <row r="377" ht="31.25" customHeight="1"/>
    <row r="378" ht="52.5" customHeight="1"/>
    <row r="379" ht="31.25" customHeight="1"/>
    <row r="380" ht="31.25" customHeight="1"/>
    <row r="381" ht="31.25" customHeight="1"/>
    <row r="382" ht="31.25" customHeight="1"/>
    <row r="383" ht="31.25" customHeight="1"/>
    <row r="384" ht="31.25" customHeight="1"/>
    <row r="385" ht="31.25" customHeight="1"/>
    <row r="386" ht="31.25" customHeight="1"/>
    <row r="387" ht="31.25" customHeight="1"/>
    <row r="388" ht="31.25" customHeight="1"/>
    <row r="389" ht="31.25" customHeight="1"/>
    <row r="390" ht="31.25" customHeight="1"/>
    <row r="391" ht="31.25" customHeight="1"/>
    <row r="392" ht="31.25" customHeight="1"/>
    <row r="393" ht="32.25" customHeight="1"/>
    <row r="394" ht="32.25" customHeight="1"/>
    <row r="395" ht="31.25" customHeight="1"/>
    <row r="396" ht="31.25" customHeight="1"/>
    <row r="397" ht="31.25" customHeight="1"/>
    <row r="398" ht="23.25" customHeight="1"/>
    <row r="399" ht="31.25" customHeight="1"/>
    <row r="400" ht="31.25" customHeight="1"/>
    <row r="401" ht="28.5" customHeight="1"/>
    <row r="402" ht="31.25" customHeight="1"/>
    <row r="403" ht="31.25" customHeight="1"/>
    <row r="404" ht="27.75" customHeight="1"/>
    <row r="405" ht="31.25" customHeight="1"/>
    <row r="406" ht="31.25" customHeight="1"/>
    <row r="407" ht="28.5" customHeight="1"/>
    <row r="408" ht="31.25" customHeight="1"/>
    <row r="409" ht="31.25" customHeight="1"/>
    <row r="410" ht="31.25" customHeight="1"/>
    <row r="411" ht="31.25" customHeight="1"/>
    <row r="412" ht="31.25" customHeight="1"/>
    <row r="413" ht="31.25" customHeight="1"/>
    <row r="414" ht="31.25" customHeight="1"/>
    <row r="415" ht="33.75" customHeight="1"/>
    <row r="416" ht="33.75" customHeight="1"/>
    <row r="417" ht="33.75" customHeight="1"/>
    <row r="418" ht="33.75" customHeight="1"/>
    <row r="419" ht="33.75" customHeight="1"/>
    <row r="420" ht="33.75" customHeight="1"/>
    <row r="421" ht="31.25" customHeight="1"/>
    <row r="422" ht="31.25" customHeight="1"/>
    <row r="423" ht="31.25" customHeight="1"/>
    <row r="424" ht="41.25" customHeight="1"/>
    <row r="425" ht="31.25" customHeight="1"/>
    <row r="426" ht="31.25" customHeight="1"/>
    <row r="427" ht="31.25" customHeight="1"/>
    <row r="428" ht="31.25" customHeight="1"/>
    <row r="429" ht="31.25" customHeight="1"/>
    <row r="430" ht="31.25" customHeight="1"/>
    <row r="431" ht="31.25" customHeight="1"/>
    <row r="432" ht="31.25" customHeight="1"/>
    <row r="433" ht="31.25" customHeight="1"/>
    <row r="434" ht="31.25" customHeight="1"/>
    <row r="435" ht="31.25" customHeight="1"/>
    <row r="436" ht="48" customHeight="1"/>
    <row r="437" ht="35.25" customHeight="1"/>
    <row r="438" ht="31.25" customHeight="1"/>
    <row r="439" ht="31.25" customHeight="1"/>
    <row r="440" ht="31.25" customHeight="1"/>
    <row r="441" ht="31.25" customHeight="1"/>
    <row r="442" ht="31.25" customHeight="1"/>
    <row r="443" ht="31.25" customHeight="1"/>
    <row r="444" ht="31.25" customHeight="1"/>
    <row r="445" ht="37.5" customHeight="1"/>
    <row r="446" ht="38.25" customHeight="1"/>
    <row r="447" ht="36.75" customHeight="1"/>
    <row r="448" ht="45.75" customHeight="1"/>
    <row r="449" ht="31.25" customHeight="1"/>
    <row r="450" ht="31.25" customHeight="1"/>
    <row r="451" ht="31.25" customHeight="1"/>
    <row r="452" ht="31.25" customHeight="1"/>
    <row r="453" ht="31.25" customHeight="1"/>
    <row r="454" ht="31.25" customHeight="1"/>
    <row r="455" ht="31.25" customHeight="1"/>
    <row r="456" ht="31.25" customHeight="1"/>
    <row r="457" ht="31.25" customHeight="1"/>
    <row r="458" ht="31.25" customHeight="1"/>
    <row r="459" ht="31.25" customHeight="1"/>
    <row r="460" ht="31.25" customHeight="1"/>
    <row r="461" ht="31.25" customHeight="1"/>
    <row r="462" ht="31.25" customHeight="1"/>
    <row r="463" ht="31.25" customHeight="1"/>
    <row r="464" ht="31.25" customHeight="1"/>
    <row r="465" ht="31.25" customHeight="1"/>
    <row r="466" ht="36.75" customHeight="1"/>
    <row r="467" ht="31.25" customHeight="1"/>
    <row r="468" ht="28.25" customHeight="1"/>
    <row r="469" ht="31.25" customHeight="1"/>
    <row r="470" ht="31.25" customHeight="1"/>
    <row r="471" ht="31.25" customHeight="1"/>
    <row r="472" ht="31.25" customHeight="1"/>
    <row r="473" ht="58.75" customHeight="1"/>
    <row r="474" ht="31.25" customHeight="1"/>
    <row r="475" ht="31.25" customHeight="1"/>
    <row r="476" ht="31.25" customHeight="1"/>
    <row r="477" ht="31.25" customHeight="1"/>
    <row r="478" ht="31.25" customHeight="1"/>
    <row r="479" ht="31.25" customHeight="1"/>
    <row r="480" ht="31.25" customHeight="1"/>
    <row r="481" ht="31.25" customHeight="1"/>
    <row r="482" ht="31.25" customHeight="1"/>
    <row r="483" ht="33.5" customHeight="1"/>
    <row r="484" ht="33.5" customHeight="1"/>
    <row r="485" ht="26.5" customHeight="1"/>
    <row r="486" ht="27.5" customHeight="1"/>
    <row r="487" ht="33.5" customHeight="1"/>
    <row r="488" ht="27.75" customHeight="1"/>
    <row r="489" ht="33.5" customHeight="1"/>
    <row r="490" ht="27.75" customHeight="1"/>
    <row r="491" ht="27.75" customHeight="1"/>
    <row r="492" ht="27.75" customHeight="1"/>
    <row r="493" ht="27.75" customHeight="1"/>
    <row r="494" ht="27.75" customHeight="1"/>
    <row r="495" ht="27.75" customHeight="1"/>
    <row r="496" ht="27.75" customHeight="1"/>
    <row r="497" ht="27.75" customHeight="1"/>
    <row r="498" ht="27.75" customHeight="1"/>
    <row r="499" ht="27.75" customHeight="1"/>
    <row r="500" ht="27.75" customHeight="1"/>
    <row r="501" ht="27.75" customHeight="1"/>
    <row r="502" ht="27.75" customHeight="1"/>
    <row r="503" ht="27.75" customHeight="1"/>
    <row r="504" ht="27.75" customHeight="1"/>
    <row r="505" ht="27.75" customHeight="1"/>
    <row r="506" ht="27.75" customHeight="1"/>
    <row r="507" ht="27.75" customHeight="1"/>
    <row r="508" ht="27.75" customHeight="1"/>
    <row r="509" ht="27.75" customHeight="1"/>
    <row r="510" ht="27.75" customHeight="1"/>
    <row r="511" ht="22.75" customHeight="1"/>
    <row r="512" ht="22.75" customHeight="1"/>
    <row r="513" ht="22.75" customHeight="1"/>
    <row r="514" ht="22.75" customHeight="1"/>
    <row r="515" ht="22.75" customHeight="1"/>
    <row r="516" ht="22.75" customHeight="1"/>
    <row r="517" ht="22.75" customHeight="1"/>
    <row r="518" ht="22.75" customHeight="1"/>
    <row r="519" ht="22.75" customHeight="1"/>
    <row r="520" ht="22.75" customHeight="1"/>
    <row r="521" ht="22.75" customHeight="1"/>
    <row r="522" ht="22.75" customHeight="1"/>
    <row r="523" ht="22.75" customHeight="1"/>
    <row r="524" ht="22.75" customHeight="1"/>
    <row r="525" ht="22.75" customHeight="1"/>
    <row r="526" ht="22.75" customHeight="1"/>
    <row r="527" ht="22.75" customHeight="1"/>
    <row r="528" ht="22.75" customHeight="1"/>
    <row r="529" ht="22.75" customHeight="1"/>
    <row r="530" ht="22.75" customHeight="1"/>
    <row r="531" ht="22.75" customHeight="1"/>
    <row r="532" ht="22.75" customHeight="1"/>
    <row r="533" ht="22.75" customHeight="1"/>
    <row r="534" ht="22.75" customHeight="1"/>
    <row r="535" ht="22.75" customHeight="1"/>
    <row r="536" ht="22.75" customHeight="1"/>
    <row r="537" ht="22.75" customHeight="1"/>
    <row r="538" ht="22.75" customHeight="1"/>
    <row r="539" ht="22.75" customHeight="1"/>
    <row r="540" ht="22.75" customHeight="1"/>
    <row r="541" ht="22.75" customHeight="1"/>
    <row r="542" ht="22.75" customHeight="1"/>
    <row r="543" ht="22.75" customHeight="1"/>
    <row r="544" ht="22.75" customHeight="1"/>
    <row r="545" ht="22.75" customHeight="1"/>
    <row r="546" ht="25.25" customHeight="1"/>
    <row r="547" ht="25.25" customHeight="1"/>
    <row r="548" ht="25.25" customHeight="1"/>
    <row r="549" ht="25.25" customHeight="1"/>
    <row r="550" ht="25.25" customHeight="1"/>
    <row r="551" ht="25.25" customHeight="1"/>
    <row r="552" ht="25.25" customHeight="1"/>
    <row r="553" ht="30" customHeight="1"/>
    <row r="554" ht="23.25" customHeight="1"/>
    <row r="555" ht="27.75" customHeight="1"/>
    <row r="556" ht="30" customHeight="1"/>
    <row r="557" ht="35.25" customHeight="1"/>
  </sheetData>
  <mergeCells count="2">
    <mergeCell ref="A27:F27"/>
    <mergeCell ref="C24:C25"/>
  </mergeCells>
  <pageMargins left="0.70866141732283472" right="0.70866141732283472" top="0.74803149606299213" bottom="0.74803149606299213" header="0.31496062992125984" footer="0.31496062992125984"/>
  <pageSetup paperSize="9" scale="62" firstPageNumber="127" orientation="portrait" useFirstPageNumber="1" r:id="rId1"/>
  <headerFooter>
    <oddHeader>&amp;C&amp;"-,Bold"BURGERSFORT WWTW UPGRADE - SLUDGE HANDLING AND DEWATERING</oddHeader>
    <oddFooter>&amp;LBill of Quantities&amp;CPage &amp;P&amp;RBurgersfort  WWTW</oddFooter>
  </headerFooter>
  <rowBreaks count="7" manualBreakCount="7">
    <brk id="27" max="6" man="1"/>
    <brk id="55" max="16383" man="1"/>
    <brk id="94" max="6" man="1"/>
    <brk id="130" max="6" man="1"/>
    <brk id="355" max="6" man="1"/>
    <brk id="469" max="6" man="1"/>
    <brk id="503" max="6"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22</vt:i4>
      </vt:variant>
      <vt:variant>
        <vt:lpstr>Named Ranges</vt:lpstr>
      </vt:variant>
      <vt:variant>
        <vt:i4>15</vt:i4>
      </vt:variant>
    </vt:vector>
  </HeadingPairs>
  <TitlesOfParts>
    <vt:vector size="37" baseType="lpstr">
      <vt:lpstr>Summary </vt:lpstr>
      <vt:lpstr>P&amp;G </vt:lpstr>
      <vt:lpstr>OHS </vt:lpstr>
      <vt:lpstr>OHS Compliance</vt:lpstr>
      <vt:lpstr>Inlet Works</vt:lpstr>
      <vt:lpstr>Biological System</vt:lpstr>
      <vt:lpstr>Blower Containers</vt:lpstr>
      <vt:lpstr>Clarifiers</vt:lpstr>
      <vt:lpstr>Sludge Dewatering System</vt:lpstr>
      <vt:lpstr>Mechanical HLPS (obsolete) </vt:lpstr>
      <vt:lpstr>Panorama Booster</vt:lpstr>
      <vt:lpstr>Disinfection Facility</vt:lpstr>
      <vt:lpstr>Electrical Works</vt:lpstr>
      <vt:lpstr>Operations and Maintenance </vt:lpstr>
      <vt:lpstr>Design &amp; Quality Assurance Fees</vt:lpstr>
      <vt:lpstr>Phase 1 - C &amp; I</vt:lpstr>
      <vt:lpstr>Paving </vt:lpstr>
      <vt:lpstr>Phase 1 - HLPS Mech  (2)</vt:lpstr>
      <vt:lpstr>Phase 2 - Panorama Booster</vt:lpstr>
      <vt:lpstr>Phase 2 - Ga-Kgapane Booster</vt:lpstr>
      <vt:lpstr>Phase 2 - Electrical</vt:lpstr>
      <vt:lpstr>Phase 2 - C&amp;I</vt:lpstr>
      <vt:lpstr>'Biological System'!Print_Area</vt:lpstr>
      <vt:lpstr>'Blower Containers'!Print_Area</vt:lpstr>
      <vt:lpstr>Clarifiers!Print_Area</vt:lpstr>
      <vt:lpstr>'Design &amp; Quality Assurance Fees'!Print_Area</vt:lpstr>
      <vt:lpstr>'Disinfection Facility'!Print_Area</vt:lpstr>
      <vt:lpstr>'Electrical Works'!Print_Area</vt:lpstr>
      <vt:lpstr>'Inlet Works'!Print_Area</vt:lpstr>
      <vt:lpstr>'Mechanical HLPS (obsolete) '!Print_Area</vt:lpstr>
      <vt:lpstr>'OHS '!Print_Area</vt:lpstr>
      <vt:lpstr>'Operations and Maintenance '!Print_Area</vt:lpstr>
      <vt:lpstr>'P&amp;G '!Print_Area</vt:lpstr>
      <vt:lpstr>'Phase 1 - HLPS Mech  (2)'!Print_Area</vt:lpstr>
      <vt:lpstr>'Phase 2 - Ga-Kgapane Booster'!Print_Area</vt:lpstr>
      <vt:lpstr>'Sludge Dewatering System'!Print_Area</vt:lpstr>
      <vt:lpstr>'Summary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Gundo</dc:creator>
  <cp:lastModifiedBy>Microsoft Office User</cp:lastModifiedBy>
  <cp:lastPrinted>2019-08-04T15:01:53Z</cp:lastPrinted>
  <dcterms:created xsi:type="dcterms:W3CDTF">2010-01-15T20:28:44Z</dcterms:created>
  <dcterms:modified xsi:type="dcterms:W3CDTF">2023-08-07T21:49:08Z</dcterms:modified>
</cp:coreProperties>
</file>